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CM033Q01S" sheetId="2" r:id="rId2"/>
    <s:sheet name="CM474Q01S" sheetId="3" r:id="rId3"/>
    <s:sheet name="DM155Q02C" sheetId="4" r:id="rId4"/>
    <s:sheet name="CM155Q01S" sheetId="5" r:id="rId5"/>
    <s:sheet name="DM155Q03C" sheetId="6" r:id="rId6"/>
    <s:sheet name="CM155Q04S" sheetId="7" r:id="rId7"/>
    <s:sheet name="CM411Q01S" sheetId="8" r:id="rId8"/>
    <s:sheet name="CM411Q02S" sheetId="9" r:id="rId9"/>
    <s:sheet name="CM803Q01S" sheetId="10" r:id="rId10"/>
    <s:sheet name="CM442Q02S" sheetId="11" r:id="rId11"/>
    <s:sheet name="DM462Q01C" sheetId="12" r:id="rId12"/>
    <s:sheet name="CM034Q01S" sheetId="13" r:id="rId13"/>
    <s:sheet name="CM305Q01S" sheetId="14" r:id="rId14"/>
    <s:sheet name="CM496Q01S" sheetId="15" r:id="rId15"/>
    <s:sheet name="CM496Q02S" sheetId="16" r:id="rId16"/>
    <s:sheet name="CM423Q01S" sheetId="17" r:id="rId17"/>
    <s:sheet name="CM192Q01S" sheetId="18" r:id="rId18"/>
    <s:sheet name="DM406Q01C" sheetId="19" r:id="rId19"/>
    <s:sheet name="DM406Q02C" sheetId="20" r:id="rId20"/>
    <s:sheet name="CM603Q01S" sheetId="21" r:id="rId21"/>
    <s:sheet name="CM571Q01S" sheetId="22" r:id="rId22"/>
    <s:sheet name="CM564Q01S" sheetId="23" r:id="rId23"/>
    <s:sheet name="CM564Q02S" sheetId="24" r:id="rId24"/>
    <s:sheet name="CM447Q01S" sheetId="25" r:id="rId25"/>
    <s:sheet name="CM273Q01S" sheetId="26" r:id="rId26"/>
    <s:sheet name="CM408Q01S" sheetId="27" r:id="rId27"/>
    <s:sheet name="CM420Q01S" sheetId="28" r:id="rId28"/>
    <s:sheet name="CM446Q01S" sheetId="29" r:id="rId29"/>
    <s:sheet name="DM446Q02C" sheetId="30" r:id="rId30"/>
    <s:sheet name="CM559Q01S" sheetId="31" r:id="rId31"/>
    <s:sheet name="DM828Q02C" sheetId="32" r:id="rId32"/>
    <s:sheet name="CM828Q03S" sheetId="33" r:id="rId33"/>
    <s:sheet name="CM464Q01S" sheetId="34" r:id="rId34"/>
    <s:sheet name="CM800Q01S" sheetId="35" r:id="rId35"/>
    <s:sheet name="CM982Q01S" sheetId="36" r:id="rId36"/>
    <s:sheet name="CM982Q02S" sheetId="37" r:id="rId37"/>
    <s:sheet name="CM982Q03S" sheetId="38" r:id="rId38"/>
    <s:sheet name="CM982Q04S" sheetId="39" r:id="rId39"/>
    <s:sheet name="CM992Q01S" sheetId="40" r:id="rId40"/>
    <s:sheet name="CM992Q02S" sheetId="41" r:id="rId41"/>
    <s:sheet name="DM992Q03C" sheetId="42" r:id="rId42"/>
    <s:sheet name="CM915Q01S" sheetId="43" r:id="rId43"/>
    <s:sheet name="CM915Q02S" sheetId="44" r:id="rId44"/>
    <s:sheet name="CM906Q01S" sheetId="45" r:id="rId45"/>
    <s:sheet name="DM906Q02C" sheetId="46" r:id="rId46"/>
    <s:sheet name="DM00KQ02C" sheetId="47" r:id="rId47"/>
    <s:sheet name="CM909Q01S" sheetId="48" r:id="rId48"/>
    <s:sheet name="CM909Q02S" sheetId="49" r:id="rId49"/>
    <s:sheet name="CM909Q03S" sheetId="50" r:id="rId50"/>
    <s:sheet name="CM949Q01S" sheetId="51" r:id="rId51"/>
    <s:sheet name="CM949Q02S" sheetId="52" r:id="rId52"/>
    <s:sheet name="DM949Q03C" sheetId="53" r:id="rId53"/>
    <s:sheet name="CM00GQ01S" sheetId="54" r:id="rId54"/>
    <s:sheet name="DM955Q01C" sheetId="55" r:id="rId55"/>
    <s:sheet name="DM955Q02C" sheetId="56" r:id="rId56"/>
    <s:sheet name="CM955Q03S" sheetId="57" r:id="rId57"/>
    <s:sheet name="DM998Q02C" sheetId="58" r:id="rId58"/>
    <s:sheet name="CM998Q04S" sheetId="59" r:id="rId59"/>
    <s:sheet name="CM905Q01S" sheetId="60" r:id="rId60"/>
    <s:sheet name="DM905Q02C" sheetId="61" r:id="rId61"/>
    <s:sheet name="CM919Q01S" sheetId="62" r:id="rId62"/>
    <s:sheet name="CM919Q02S" sheetId="63" r:id="rId63"/>
    <s:sheet name="CM954Q01S" sheetId="64" r:id="rId64"/>
    <s:sheet name="DM954Q02C" sheetId="65" r:id="rId65"/>
    <s:sheet name="CM954Q04S" sheetId="66" r:id="rId66"/>
    <s:sheet name="CM943Q01S" sheetId="67" r:id="rId67"/>
    <s:sheet name="CM943Q02S" sheetId="68" r:id="rId68"/>
    <s:sheet name="DM953Q02C" sheetId="69" r:id="rId69"/>
    <s:sheet name="CM953Q03S" sheetId="70" r:id="rId70"/>
    <s:sheet name="DM953Q04C" sheetId="71" r:id="rId71"/>
    <s:sheet name="CM948Q01S" sheetId="72" r:id="rId72"/>
    <s:sheet name="CM948Q02S" sheetId="73" r:id="rId73"/>
    <s:sheet name="CM948Q03S" sheetId="74" r:id="rId74"/>
    <s:sheet name="CM936Q01S" sheetId="75" r:id="rId75"/>
    <s:sheet name="DM936Q02C" sheetId="76" r:id="rId76"/>
    <s:sheet name="DM961Q02C" sheetId="77" r:id="rId77"/>
    <s:sheet name="CM961Q03S" sheetId="78" r:id="rId78"/>
    <s:sheet name="DM961Q05C" sheetId="79" r:id="rId79"/>
    <s:sheet name="CM939Q01S" sheetId="80" r:id="rId80"/>
    <s:sheet name="CM939Q02S" sheetId="81" r:id="rId81"/>
    <s:sheet name="CM967Q01S" sheetId="82" r:id="rId82"/>
    <s:sheet name="CM967Q03S" sheetId="83" r:id="rId83"/>
    <s:sheet name="PM033Q01S" sheetId="84" r:id="rId84"/>
    <s:sheet name="PM474Q01" sheetId="85" r:id="rId85"/>
    <s:sheet name="PM155Q02" sheetId="86" r:id="rId86"/>
    <s:sheet name="PM155Q01" sheetId="87" r:id="rId87"/>
    <s:sheet name="PM155Q03" sheetId="88" r:id="rId88"/>
    <s:sheet name="PM155Q04S" sheetId="89" r:id="rId89"/>
    <s:sheet name="PM411Q01" sheetId="90" r:id="rId90"/>
    <s:sheet name="PM411Q02S" sheetId="91" r:id="rId91"/>
    <s:sheet name="PM803Q01S" sheetId="92" r:id="rId92"/>
    <s:sheet name="PM442Q02" sheetId="93" r:id="rId93"/>
    <s:sheet name="PM462Q01" sheetId="94" r:id="rId94"/>
    <s:sheet name="PM034Q01S" sheetId="95" r:id="rId95"/>
    <s:sheet name="PM305Q01S" sheetId="96" r:id="rId96"/>
    <s:sheet name="PM496Q01S" sheetId="97" r:id="rId97"/>
    <s:sheet name="PM496Q02" sheetId="98" r:id="rId98"/>
    <s:sheet name="PM423Q01S" sheetId="99" r:id="rId99"/>
    <s:sheet name="PM192Q01S" sheetId="100" r:id="rId100"/>
    <s:sheet name="PM406Q01" sheetId="101" r:id="rId101"/>
    <s:sheet name="PM406Q02" sheetId="102" r:id="rId102"/>
    <s:sheet name="PM603Q01S" sheetId="103" r:id="rId103"/>
    <s:sheet name="PM571Q01S" sheetId="104" r:id="rId104"/>
    <s:sheet name="PM564Q01S" sheetId="105" r:id="rId105"/>
    <s:sheet name="PM564Q02S" sheetId="106" r:id="rId106"/>
    <s:sheet name="PM447Q01S" sheetId="107" r:id="rId107"/>
    <s:sheet name="PM273Q01S" sheetId="108" r:id="rId108"/>
    <s:sheet name="PM408Q01S" sheetId="109" r:id="rId109"/>
    <s:sheet name="PM420Q01S" sheetId="110" r:id="rId110"/>
    <s:sheet name="PM446Q01" sheetId="111" r:id="rId111"/>
    <s:sheet name="PM446Q02" sheetId="112" r:id="rId112"/>
    <s:sheet name="PM559Q01S" sheetId="113" r:id="rId113"/>
    <s:sheet name="PM828Q01" sheetId="114" r:id="rId114"/>
    <s:sheet name="PM828Q02" sheetId="115" r:id="rId115"/>
    <s:sheet name="PM828Q03" sheetId="116" r:id="rId116"/>
    <s:sheet name="PM464Q01S" sheetId="117" r:id="rId117"/>
    <s:sheet name="PM800Q01S" sheetId="118" r:id="rId118"/>
    <s:sheet name="PM982Q01" sheetId="119" r:id="rId119"/>
    <s:sheet name="PM982Q02" sheetId="120" r:id="rId120"/>
    <s:sheet name="PM982Q03S" sheetId="121" r:id="rId121"/>
    <s:sheet name="PM982Q04S" sheetId="122" r:id="rId122"/>
    <s:sheet name="PM992Q01" sheetId="123" r:id="rId123"/>
    <s:sheet name="PM992Q02" sheetId="124" r:id="rId124"/>
    <s:sheet name="PM992Q03" sheetId="125" r:id="rId125"/>
    <s:sheet name="PM915Q01S" sheetId="126" r:id="rId126"/>
    <s:sheet name="PM915Q02" sheetId="127" r:id="rId127"/>
    <s:sheet name="PM906Q01S" sheetId="128" r:id="rId128"/>
    <s:sheet name="PM906Q02" sheetId="129" r:id="rId129"/>
    <s:sheet name="PM00KQ02" sheetId="130" r:id="rId130"/>
    <s:sheet name="PM909Q01" sheetId="131" r:id="rId131"/>
    <s:sheet name="PM909Q02S" sheetId="132" r:id="rId132"/>
    <s:sheet name="PM909Q03" sheetId="133" r:id="rId133"/>
    <s:sheet name="PM949Q01S" sheetId="134" r:id="rId134"/>
    <s:sheet name="PM949Q02S" sheetId="135" r:id="rId135"/>
    <s:sheet name="PM949Q03" sheetId="136" r:id="rId136"/>
    <s:sheet name="PM00GQ01" sheetId="137" r:id="rId137"/>
    <s:sheet name="PM955Q01" sheetId="138" r:id="rId138"/>
    <s:sheet name="PM955Q02" sheetId="139" r:id="rId139"/>
    <s:sheet name="PM955Q03" sheetId="140" r:id="rId140"/>
    <s:sheet name="PM998Q02" sheetId="141" r:id="rId141"/>
    <s:sheet name="PM998Q04S" sheetId="142" r:id="rId142"/>
    <s:sheet name="PM905Q01S" sheetId="143" r:id="rId143"/>
    <s:sheet name="PM905Q02" sheetId="144" r:id="rId144"/>
    <s:sheet name="PM919Q01" sheetId="145" r:id="rId145"/>
    <s:sheet name="PM919Q02" sheetId="146" r:id="rId146"/>
    <s:sheet name="PM954Q01" sheetId="147" r:id="rId147"/>
    <s:sheet name="PM954Q02" sheetId="148" r:id="rId148"/>
    <s:sheet name="PM954Q04" sheetId="149" r:id="rId149"/>
    <s:sheet name="PM943Q01S" sheetId="150" r:id="rId150"/>
    <s:sheet name="PM943Q02" sheetId="151" r:id="rId151"/>
    <s:sheet name="PM953Q02" sheetId="152" r:id="rId152"/>
    <s:sheet name="PM953Q03" sheetId="153" r:id="rId153"/>
    <s:sheet name="PM953Q04" sheetId="154" r:id="rId154"/>
    <s:sheet name="PM948Q01S" sheetId="155" r:id="rId155"/>
    <s:sheet name="PM948Q02" sheetId="156" r:id="rId156"/>
    <s:sheet name="PM948Q03" sheetId="157" r:id="rId157"/>
    <s:sheet name="PM936Q01" sheetId="158" r:id="rId158"/>
    <s:sheet name="PM936Q02" sheetId="159" r:id="rId159"/>
    <s:sheet name="PM961Q02" sheetId="160" r:id="rId160"/>
    <s:sheet name="PM961Q03S" sheetId="161" r:id="rId161"/>
    <s:sheet name="PM961Q05" sheetId="162" r:id="rId162"/>
    <s:sheet name="PM939Q01S" sheetId="163" r:id="rId163"/>
    <s:sheet name="PM939Q02S" sheetId="164" r:id="rId164"/>
    <s:sheet name="PM967Q01" sheetId="165" r:id="rId165"/>
    <s:sheet name="PM967Q03S" sheetId="166" r:id="rId166"/>
  </s:sheets>
  <s:definedNames/>
  <s:calcPr calcId="124519" fullCalcOnLoad="1"/>
</s:workbook>
</file>

<file path=xl/sharedStrings.xml><?xml version="1.0" encoding="utf-8"?>
<sst xmlns="http://schemas.openxmlformats.org/spreadsheetml/2006/main" uniqueCount="617">
  <si>
    <t>Table of Contents</t>
  </si>
  <si>
    <t>CM033Q01S</t>
  </si>
  <si>
    <t>A View Room - Q01 (Scored Response)</t>
  </si>
  <si>
    <t>CM474Q01S</t>
  </si>
  <si>
    <t>Running Time - Q01 (Scored Response)</t>
  </si>
  <si>
    <t>DM155Q02C</t>
  </si>
  <si>
    <t>Population Pyramids - Q02 (Coded Response)</t>
  </si>
  <si>
    <t>CM155Q01S</t>
  </si>
  <si>
    <t>Population Pyramids - Q01 (Scored Response)</t>
  </si>
  <si>
    <t>DM155Q03C</t>
  </si>
  <si>
    <t>Population Pyramids - Q03 (Coded Response)</t>
  </si>
  <si>
    <t>CM155Q04S</t>
  </si>
  <si>
    <t>Population Pyramids - Q04 (Scored Response)</t>
  </si>
  <si>
    <t>CM411Q01S</t>
  </si>
  <si>
    <t>Diving - Q01 (Scored Response)</t>
  </si>
  <si>
    <t>CM411Q02S</t>
  </si>
  <si>
    <t>Diving - Q02 (Scored Response)</t>
  </si>
  <si>
    <t>CM803Q01S</t>
  </si>
  <si>
    <t>Labels - Q01 (Scored Response)</t>
  </si>
  <si>
    <t>CM442Q02S</t>
  </si>
  <si>
    <t>Braille - Q02 (Scored Response)</t>
  </si>
  <si>
    <t>DM462Q01C</t>
  </si>
  <si>
    <t>Third Side - Q01 (Coded Response)</t>
  </si>
  <si>
    <t>CM034Q01S</t>
  </si>
  <si>
    <t>Bricks - Q01 (Scored Response)</t>
  </si>
  <si>
    <t>CM305Q01S</t>
  </si>
  <si>
    <t>Map - Q01 (Scored Response)</t>
  </si>
  <si>
    <t>CM496Q01S</t>
  </si>
  <si>
    <t>Cash Withdrawal - Q01 (Scored Response)</t>
  </si>
  <si>
    <t>CM496Q02S</t>
  </si>
  <si>
    <t>Cash Withdrawal - Q02 (Scored Response)</t>
  </si>
  <si>
    <t>CM423Q01S</t>
  </si>
  <si>
    <t>Tossing Coins - Q01 (Scored Response)</t>
  </si>
  <si>
    <t>CM192Q01S</t>
  </si>
  <si>
    <t>Containers - Q01 (Scored Response)</t>
  </si>
  <si>
    <t>DM406Q01C</t>
  </si>
  <si>
    <t>Running Tracks - Q01 (Coded Response)</t>
  </si>
  <si>
    <t>DM406Q02C</t>
  </si>
  <si>
    <t>Running Tracks - Q02 (Coded Response)</t>
  </si>
  <si>
    <t>CM603Q01S</t>
  </si>
  <si>
    <t>Number Check - Q01 (Scored Response)</t>
  </si>
  <si>
    <t>CM571Q01S</t>
  </si>
  <si>
    <t>Stop The Car - Q01 (Scored Response)</t>
  </si>
  <si>
    <t>CM564Q01S</t>
  </si>
  <si>
    <t>Chair Lift - Q01 (Scored Response)</t>
  </si>
  <si>
    <t>CM564Q02S</t>
  </si>
  <si>
    <t>Chair Lift - Q02 (Scored Response)</t>
  </si>
  <si>
    <t>CM447Q01S</t>
  </si>
  <si>
    <t>Tile Arrangement - Q01 (Scored Response)</t>
  </si>
  <si>
    <t>CM273Q01S</t>
  </si>
  <si>
    <t>Pipelines - Q01 (Scored Response)</t>
  </si>
  <si>
    <t>CM408Q01S</t>
  </si>
  <si>
    <t>Lotteries - Q01 (Scored Response)</t>
  </si>
  <si>
    <t>CM420Q01S</t>
  </si>
  <si>
    <t>Transport - Q01 (Scored Response)</t>
  </si>
  <si>
    <t>CM446Q01S</t>
  </si>
  <si>
    <t>Thermometer Cricket - Q01 (Scored Response)</t>
  </si>
  <si>
    <t>DM446Q02C</t>
  </si>
  <si>
    <t>Thermometer Cricket - Q02 (Coded Response)</t>
  </si>
  <si>
    <t>CM559Q01S</t>
  </si>
  <si>
    <t>Telephone Rates - Q01 (Scored Response)</t>
  </si>
  <si>
    <t>DM828Q02C</t>
  </si>
  <si>
    <t>Carbon Dioxide - Q02 (Coded Response)</t>
  </si>
  <si>
    <t>CM828Q03S</t>
  </si>
  <si>
    <t>Carbon Dioxide - Q03 (Scored Response)</t>
  </si>
  <si>
    <t>CM464Q01S</t>
  </si>
  <si>
    <t>Fence - Q01 (Scored Response)</t>
  </si>
  <si>
    <t>CM800Q01S</t>
  </si>
  <si>
    <t>Computer Game - Q01 (Scored Response)</t>
  </si>
  <si>
    <t>CM982Q01S</t>
  </si>
  <si>
    <t>Employment Data - Q01 (Scored Response)</t>
  </si>
  <si>
    <t>CM982Q02S</t>
  </si>
  <si>
    <t>Employment Data - Q02 (Scored Response)</t>
  </si>
  <si>
    <t>CM982Q03S</t>
  </si>
  <si>
    <t>Employment Data - Q03 (Scored Response)</t>
  </si>
  <si>
    <t>CM982Q04S</t>
  </si>
  <si>
    <t>Employment Data - Q04 (Scored Response)</t>
  </si>
  <si>
    <t>CM992Q01S</t>
  </si>
  <si>
    <t>Spacers - Q01 (Scored Response)</t>
  </si>
  <si>
    <t>CM992Q02S</t>
  </si>
  <si>
    <t>Spacers - Q02 (Scored Response)</t>
  </si>
  <si>
    <t>DM992Q03C</t>
  </si>
  <si>
    <t>Spacers - Q03 (Coded Response)</t>
  </si>
  <si>
    <t>CM915Q01S</t>
  </si>
  <si>
    <t>Carbon Tax - Q01 (Scored Response)</t>
  </si>
  <si>
    <t>CM915Q02S</t>
  </si>
  <si>
    <t>Carbon Tax - Q02 (Scored Response)</t>
  </si>
  <si>
    <t>CM906Q01S</t>
  </si>
  <si>
    <t>Crazy Ants - Q01 (Scored Response)</t>
  </si>
  <si>
    <t>DM906Q02C</t>
  </si>
  <si>
    <t>Crazy Ants - Q02 (Coded Response)</t>
  </si>
  <si>
    <t>DM00KQ02C</t>
  </si>
  <si>
    <t>Wheelchair Basketball - Q02 (Coded Response)</t>
  </si>
  <si>
    <t>CM909Q01S</t>
  </si>
  <si>
    <t>Speeding Fines - Q01 (Scored Response)</t>
  </si>
  <si>
    <t>CM909Q02S</t>
  </si>
  <si>
    <t>Speeding Fines - Q02 (Scored Response)</t>
  </si>
  <si>
    <t>CM909Q03S</t>
  </si>
  <si>
    <t>Speeding Fines - Q03 (Scored Response)</t>
  </si>
  <si>
    <t>CM949Q01S</t>
  </si>
  <si>
    <t>Roof Truss Design - Q01 (Scored Response)</t>
  </si>
  <si>
    <t>CM949Q02S</t>
  </si>
  <si>
    <t>Roof Truss Design - Q02 (Scored Response)</t>
  </si>
  <si>
    <t>DM949Q03C</t>
  </si>
  <si>
    <t>Roof Truss Design - Q03 (Coded Response)</t>
  </si>
  <si>
    <t>CM00GQ01S</t>
  </si>
  <si>
    <t>Advertising Column - Q01 (Scored Response)</t>
  </si>
  <si>
    <t>DM955Q01C</t>
  </si>
  <si>
    <t>Migration - Q01 (Coded Response)</t>
  </si>
  <si>
    <t>DM955Q02C</t>
  </si>
  <si>
    <t>Migration - Q02 (Coded Response)</t>
  </si>
  <si>
    <t>CM955Q03S</t>
  </si>
  <si>
    <t>Migration - Q03 (Scored Response)</t>
  </si>
  <si>
    <t>DM998Q02C</t>
  </si>
  <si>
    <t>Bike Rental - Q02 (Coded Response)</t>
  </si>
  <si>
    <t>CM998Q04S</t>
  </si>
  <si>
    <t>Bike Rental - Q04 (Scored Response)</t>
  </si>
  <si>
    <t>CM905Q01S</t>
  </si>
  <si>
    <t>Tennis balls - Q01 (Scored Response)</t>
  </si>
  <si>
    <t>DM905Q02C</t>
  </si>
  <si>
    <t>Tennis balls - Q02 (Coded Response)</t>
  </si>
  <si>
    <t>CM919Q01S</t>
  </si>
  <si>
    <t>Fan Merchandise - Q01 (Scored Response)</t>
  </si>
  <si>
    <t>CM919Q02S</t>
  </si>
  <si>
    <t>Fan Merchandise - Q02 (Scored Response)</t>
  </si>
  <si>
    <t>CM954Q01S</t>
  </si>
  <si>
    <t>Medicine doses - Q01 (Scored Response)</t>
  </si>
  <si>
    <t>DM954Q02C</t>
  </si>
  <si>
    <t>Medicine doses - Q02 (Coded Response)</t>
  </si>
  <si>
    <t>CM954Q04S</t>
  </si>
  <si>
    <t>Medicine doses - Q04 (Scored Response)</t>
  </si>
  <si>
    <t>CM943Q01S</t>
  </si>
  <si>
    <t>Arches - Q01 (Scored Response)</t>
  </si>
  <si>
    <t>CM943Q02S</t>
  </si>
  <si>
    <t>Arches - Q02 (Scored Response)</t>
  </si>
  <si>
    <t>DM953Q02C</t>
  </si>
  <si>
    <t>Flu test - Q02 (Coded Response)</t>
  </si>
  <si>
    <t>CM953Q03S</t>
  </si>
  <si>
    <t>Flu test - Q03 (Scored Response)</t>
  </si>
  <si>
    <t>DM953Q04C</t>
  </si>
  <si>
    <t>Flu test - Q04 (Coded Response)</t>
  </si>
  <si>
    <t>CM948Q01S</t>
  </si>
  <si>
    <t>Part Time Work - Q01 (Scored Response)</t>
  </si>
  <si>
    <t>CM948Q02S</t>
  </si>
  <si>
    <t>Part Time Work - Q02 (Scored Response)</t>
  </si>
  <si>
    <t>CM948Q03S</t>
  </si>
  <si>
    <t>Part Time Work - Q03 (Scored Response)</t>
  </si>
  <si>
    <t>CM936Q01S</t>
  </si>
  <si>
    <t>Seats in a Theatre - Q01 (Scored Response)</t>
  </si>
  <si>
    <t>DM936Q02C</t>
  </si>
  <si>
    <t>Seats in a Theatre - Q02 (Coded Response)</t>
  </si>
  <si>
    <t>DM961Q02C</t>
  </si>
  <si>
    <t>Chocolate - Q02 (Coded Response)</t>
  </si>
  <si>
    <t>CM961Q03S</t>
  </si>
  <si>
    <t>Chocolate - Q03 (Scored Response)</t>
  </si>
  <si>
    <t>DM961Q05C</t>
  </si>
  <si>
    <t>Chocolate - Q05 (Coded Response)</t>
  </si>
  <si>
    <t>CM939Q01S</t>
  </si>
  <si>
    <t>Racing - Q01 (Scored Response)</t>
  </si>
  <si>
    <t>CM939Q02S</t>
  </si>
  <si>
    <t>Racing - Q02 (Scored Response)</t>
  </si>
  <si>
    <t>CM967Q01S</t>
  </si>
  <si>
    <t>Wooden Train Set - Q01 (Scored Response)</t>
  </si>
  <si>
    <t>CM967Q03S</t>
  </si>
  <si>
    <t>Wooden Train Set - Q03 (Scored Response)</t>
  </si>
  <si>
    <t>PM033Q01S</t>
  </si>
  <si>
    <t>A View Room - Q01 (Paper Scored Response)</t>
  </si>
  <si>
    <t>PM474Q01</t>
  </si>
  <si>
    <t>Running Time - Q01 (Coded Paper Response)</t>
  </si>
  <si>
    <t>PM155Q02</t>
  </si>
  <si>
    <t>Population Pyramids - Q02 (Coded Paper Response)</t>
  </si>
  <si>
    <t>PM155Q01</t>
  </si>
  <si>
    <t>Population Pyramids - Q01 (Coded Paper Response)</t>
  </si>
  <si>
    <t>PM155Q03</t>
  </si>
  <si>
    <t>Population Pyramids - Q03 (Coded Paper Response)</t>
  </si>
  <si>
    <t>PM155Q04S</t>
  </si>
  <si>
    <t>Population Pyramids - Q04 (Paper Scored Response)</t>
  </si>
  <si>
    <t>PM411Q01</t>
  </si>
  <si>
    <t>Diving - Q01 (Coded Paper Response)</t>
  </si>
  <si>
    <t>PM411Q02S</t>
  </si>
  <si>
    <t>Diving - Q02 (Paper Scored Response)</t>
  </si>
  <si>
    <t>PM803Q01S</t>
  </si>
  <si>
    <t>Labels - Q01 (Paper Scored Response)</t>
  </si>
  <si>
    <t>PM442Q02</t>
  </si>
  <si>
    <t>Braille - Q02 (Coded Paper Response)</t>
  </si>
  <si>
    <t>PM462Q01</t>
  </si>
  <si>
    <t>Third Side - Q01 (Coded Paper Response)</t>
  </si>
  <si>
    <t>PM034Q01S</t>
  </si>
  <si>
    <t>Bricks - Q01 (Paper Scored Response)</t>
  </si>
  <si>
    <t>PM305Q01S</t>
  </si>
  <si>
    <t>Map - Q01 (Paper Scored Response)</t>
  </si>
  <si>
    <t>PM496Q01S</t>
  </si>
  <si>
    <t>Cash Withdrawal - Q01 (Paper Scored Response)</t>
  </si>
  <si>
    <t>PM496Q02</t>
  </si>
  <si>
    <t>Cash Withdrawal - Q02 (Coded Paper Response)</t>
  </si>
  <si>
    <t>PM423Q01S</t>
  </si>
  <si>
    <t>Tossing Coins - Q01 (Paper Scored Response)</t>
  </si>
  <si>
    <t>PM192Q01S</t>
  </si>
  <si>
    <t>Containers - Q01 (Paper Scored Response)</t>
  </si>
  <si>
    <t>PM406Q01</t>
  </si>
  <si>
    <t>Running Tracks - Q01 (Coded Paper Response)</t>
  </si>
  <si>
    <t>PM406Q02</t>
  </si>
  <si>
    <t>Running Tracks - Q02 (Coded Paper Response)</t>
  </si>
  <si>
    <t>PM603Q01S</t>
  </si>
  <si>
    <t>Number Check - Q01 (Paper Scored Response)</t>
  </si>
  <si>
    <t>PM571Q01S</t>
  </si>
  <si>
    <t>Stop The Car - Q01 (Paper Scored Response)</t>
  </si>
  <si>
    <t>PM564Q01S</t>
  </si>
  <si>
    <t>Chair Lift - Q01 (Paper Scored Response)</t>
  </si>
  <si>
    <t>PM564Q02S</t>
  </si>
  <si>
    <t>Chair Lift - Q02 (Paper Scored Response)</t>
  </si>
  <si>
    <t>PM447Q01S</t>
  </si>
  <si>
    <t>Tile Arrangement - Q01 (Paper Scored Response)</t>
  </si>
  <si>
    <t>PM273Q01S</t>
  </si>
  <si>
    <t>Pipelines - Q01 (Paper Scored Response)</t>
  </si>
  <si>
    <t>PM408Q01S</t>
  </si>
  <si>
    <t>Lotteries - Q01 (Paper Scored Response)</t>
  </si>
  <si>
    <t>PM420Q01S</t>
  </si>
  <si>
    <t>Transport - Q01 (Paper Scored Response)</t>
  </si>
  <si>
    <t>PM446Q01</t>
  </si>
  <si>
    <t>Thermometer Cricket - Q01 (Coded Paper Response)</t>
  </si>
  <si>
    <t>PM446Q02</t>
  </si>
  <si>
    <t>Thermometer Cricket - Q02 (Coded Paper Response)</t>
  </si>
  <si>
    <t>PM559Q01S</t>
  </si>
  <si>
    <t>Telephone Rates - Q01 (Paper Scored Response)</t>
  </si>
  <si>
    <t>PM828Q01</t>
  </si>
  <si>
    <t>Carbon Dioxide - Q01 (Coded Paper Response)</t>
  </si>
  <si>
    <t>PM828Q02</t>
  </si>
  <si>
    <t>Carbon Dioxide - Q02 (Coded Paper Response)</t>
  </si>
  <si>
    <t>PM828Q03</t>
  </si>
  <si>
    <t>Carbon Dioxide - Q03 (Coded Paper Response)</t>
  </si>
  <si>
    <t>PM464Q01S</t>
  </si>
  <si>
    <t>Fence - Q01 (Paper Scored Response)</t>
  </si>
  <si>
    <t>PM800Q01S</t>
  </si>
  <si>
    <t>Computer Game - Q01 (Paper Scored Response)</t>
  </si>
  <si>
    <t>PM982Q01</t>
  </si>
  <si>
    <t>Employment Data - Q01 (Coded Paper Response)</t>
  </si>
  <si>
    <t>PM982Q02</t>
  </si>
  <si>
    <t>Employment Data - Q02 (Coded Paper Response)</t>
  </si>
  <si>
    <t>PM982Q03S</t>
  </si>
  <si>
    <t>Employment Data - Q03 (Paper Scored Response)</t>
  </si>
  <si>
    <t>PM982Q04S</t>
  </si>
  <si>
    <t>Employment Data - Q04 (Paper Scored Response)</t>
  </si>
  <si>
    <t>PM992Q01</t>
  </si>
  <si>
    <t>Spacers - Q01 (Coded Paper Response)</t>
  </si>
  <si>
    <t>PM992Q02</t>
  </si>
  <si>
    <t>Spacers - Q02 (Coded Paper Response)</t>
  </si>
  <si>
    <t>PM992Q03</t>
  </si>
  <si>
    <t>Spacers - Q03 (Coded Paper Response)</t>
  </si>
  <si>
    <t>PM915Q01S</t>
  </si>
  <si>
    <t>Carbon Tax - Q01 (Paper Scored Response)</t>
  </si>
  <si>
    <t>PM915Q02</t>
  </si>
  <si>
    <t>Carbon Tax - Q02 (Coded Paper Response)</t>
  </si>
  <si>
    <t>PM906Q01S</t>
  </si>
  <si>
    <t>Crazy Ants - Q01 (Paper Scored Response)</t>
  </si>
  <si>
    <t>PM906Q02</t>
  </si>
  <si>
    <t>Crazy Ants - Q02 (Coded Paper Response)</t>
  </si>
  <si>
    <t>PM00KQ02</t>
  </si>
  <si>
    <t>Wheelchair Basketball - Q02 (Coded Paper Response)</t>
  </si>
  <si>
    <t>PM909Q01</t>
  </si>
  <si>
    <t>Speeding Fines - Q01 (Coded Paper Response)</t>
  </si>
  <si>
    <t>PM909Q02S</t>
  </si>
  <si>
    <t>Speeding Fines - Q02 (Paper Scored Response)</t>
  </si>
  <si>
    <t>PM909Q03</t>
  </si>
  <si>
    <t>Speeding Fines - Q03 (Coded Paper Response)</t>
  </si>
  <si>
    <t>PM949Q01S</t>
  </si>
  <si>
    <t>Roof Truss Design - Q01 (Paper Scored Response)</t>
  </si>
  <si>
    <t>PM949Q02S</t>
  </si>
  <si>
    <t>Roof Truss Design - Q02 (Paper Scored Response)</t>
  </si>
  <si>
    <t>PM949Q03</t>
  </si>
  <si>
    <t>Roof Truss Design - Q03 (Coded Paper Response)</t>
  </si>
  <si>
    <t>PM00GQ01</t>
  </si>
  <si>
    <t>Advertising Column - Q01 (Coded Paper Response)</t>
  </si>
  <si>
    <t>PM955Q01</t>
  </si>
  <si>
    <t>Migration - Q01 (Coded Paper Response)</t>
  </si>
  <si>
    <t>PM955Q02</t>
  </si>
  <si>
    <t>Migration - Q02 (Coded Paper Response)</t>
  </si>
  <si>
    <t>PM955Q03</t>
  </si>
  <si>
    <t>Migration - Q03 (Coded Paper Response)</t>
  </si>
  <si>
    <t>PM998Q02</t>
  </si>
  <si>
    <t>Bike Rental - Q02 (Coded Paper Response)</t>
  </si>
  <si>
    <t>PM998Q04S</t>
  </si>
  <si>
    <t>Bike Rental - Q04 (Paper Scored Response)</t>
  </si>
  <si>
    <t>PM905Q01S</t>
  </si>
  <si>
    <t>Tennis balls - Q01 (Paper Scored Response)</t>
  </si>
  <si>
    <t>PM905Q02</t>
  </si>
  <si>
    <t>Tennis balls - Q02 (Coded Paper Response)</t>
  </si>
  <si>
    <t>PM919Q01</t>
  </si>
  <si>
    <t>Fan Merchandise - Q01 (Coded Paper Response)</t>
  </si>
  <si>
    <t>PM919Q02</t>
  </si>
  <si>
    <t>Fan Merchandise - Q02 (Coded Paper Response)</t>
  </si>
  <si>
    <t>PM954Q01</t>
  </si>
  <si>
    <t>Medicine doses - Q01 (Coded Paper Response)</t>
  </si>
  <si>
    <t>PM954Q02</t>
  </si>
  <si>
    <t>Medicine doses - Q02 (Coded Paper Response)</t>
  </si>
  <si>
    <t>PM954Q04</t>
  </si>
  <si>
    <t>Medicine doses - Q04 (Coded Paper Response)</t>
  </si>
  <si>
    <t>PM943Q01S</t>
  </si>
  <si>
    <t>Arches - Q01 (Paper Scored Response)</t>
  </si>
  <si>
    <t>PM943Q02</t>
  </si>
  <si>
    <t>Arches - Q02 (Coded Paper Response)</t>
  </si>
  <si>
    <t>PM953Q02</t>
  </si>
  <si>
    <t>Flu test - Q02 (Coded Paper Response)</t>
  </si>
  <si>
    <t>PM953Q03</t>
  </si>
  <si>
    <t>Flu test - Q03 (Coded Paper Response)</t>
  </si>
  <si>
    <t>PM953Q04</t>
  </si>
  <si>
    <t>Flu test - Q04 (Coded Paper Response)</t>
  </si>
  <si>
    <t>PM948Q01S</t>
  </si>
  <si>
    <t>Part Time Work - Q01 (Paper Scored Response)</t>
  </si>
  <si>
    <t>PM948Q02</t>
  </si>
  <si>
    <t>Part Time Work - Q02 (Coded Paper Response)</t>
  </si>
  <si>
    <t>PM948Q03</t>
  </si>
  <si>
    <t>Part Time Work - Q03 (Coded Paper Response)</t>
  </si>
  <si>
    <t>PM936Q01</t>
  </si>
  <si>
    <t>Seats in a Theatre - Q01 (Coded Paper Response)</t>
  </si>
  <si>
    <t>PM936Q02</t>
  </si>
  <si>
    <t>Seats in a Theatre - Q02 (Coded Paper Response)</t>
  </si>
  <si>
    <t>PM961Q02</t>
  </si>
  <si>
    <t>Chocolate - Q02 (Coded Paper Response)</t>
  </si>
  <si>
    <t>PM961Q03S</t>
  </si>
  <si>
    <t>Chocolate - Q03 (Paper Scored Response)</t>
  </si>
  <si>
    <t>PM961Q05</t>
  </si>
  <si>
    <t>Chocolate - Q05 (Coded Paper Response)</t>
  </si>
  <si>
    <t>PM939Q01S</t>
  </si>
  <si>
    <t>Racing - Q01 (Paper Scored Response)</t>
  </si>
  <si>
    <t>PM939Q02S</t>
  </si>
  <si>
    <t>Racing - Q02 (Paper Scored Response)</t>
  </si>
  <si>
    <t>PM967Q01</t>
  </si>
  <si>
    <t>Wooden Train Set - Q01 (Coded Paper Response)</t>
  </si>
  <si>
    <t>PM967Q03S</t>
  </si>
  <si>
    <t>Wooden Train Set - Q03 (Paper Scored Response)</t>
  </si>
  <si>
    <t>Cognitive items: Overall Mathematics results</t>
  </si>
  <si>
    <t>CM033Q01S: A View Room - Q01 (Scored Response)</t>
  </si>
  <si>
    <t>N</t>
  </si>
  <si>
    <t>System</t>
  </si>
  <si>
    <t>No credit</t>
  </si>
  <si>
    <t>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</si>
  <si>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</si>
  <si>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</si>
  <si>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</si>
  <si>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</si>
  <si>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</si>
  <si>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</si>
  <si>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</si>
  <si>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</si>
  <si>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</si>
  <si>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</si>
  <si>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</si>
  <si>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</si>
  <si>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</si>
  <si>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</si>
  <si>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</si>
  <si>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</si>
  <si>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</si>
  <si>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</si>
  <si>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</si>
  <si>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</si>
  <si>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</si>
  <si>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</si>
  <si>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</si>
  <si>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</si>
  <si>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</si>
  <si>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</si>
  <si>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</si>
  <si>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</si>
  <si>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</si>
  <si>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</si>
  <si>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</si>
  <si>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</si>
  <si>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</si>
  <si>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</si>
  <si>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</si>
  <si>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</si>
  <si>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</si>
  <si>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</si>
  <si>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</si>
  <si>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</si>
  <si>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</si>
  <si>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</si>
  <si>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</si>
  <si>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</si>
  <si>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</si>
  <si>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</si>
  <si>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</si>
  <si>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</si>
  <si>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</si>
  <si>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</si>
  <si>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</si>
  <si>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</si>
  <si>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</si>
  <si>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</si>
  <si>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</si>
  <si>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</si>
  <si>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</si>
  <si>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</si>
  <si>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</si>
  <si>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</si>
  <si>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</si>
  <si>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</si>
  <si>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</si>
  <si>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</si>
  <si>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</si>
  <si>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</si>
  <si>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</si>
  <si>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</si>
  <si>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</si>
  <si>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</si>
  <si>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</si>
  <si>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</si>
  <si>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</si>
  <si>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</si>
  <si>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</si>
  <si>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</si>
  <si>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</si>
  <si>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</si>
  <si>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</si>
  <si>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</si>
  <si>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</si>
  <si>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</si>
  <si>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</si>
  <si>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</si>
  <si>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</si>
  <si>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</si>
  <si>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</si>
  <si>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</si>
  <si>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</si>
  <si>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</si>
  <si>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</si>
  <si>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</si>
  <si>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</si>
  <si>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</si>
  <si>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</si>
  <si>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</si>
  <si>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</si>
  <si>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</si>
  <si>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</si>
  <si>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</si>
  <si>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</si>
  <si>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CM474Q01S: Running Time - Q01 (Scored Response)</t>
  </si>
  <si>
    <t>DM155Q02C: Population Pyramids - Q02 (Coded Response)</t>
  </si>
  <si>
    <t>00 - No credit</t>
  </si>
  <si>
    <t>11 - Partial credit</t>
  </si>
  <si>
    <t>12 - Partial credit</t>
  </si>
  <si>
    <t>13 - Partial credit</t>
  </si>
  <si>
    <t>21 - Full credit</t>
  </si>
  <si>
    <t>CM155Q01S: Population Pyramids - Q01 (Scored Response)</t>
  </si>
  <si>
    <t>DM155Q03C: Population Pyramids - Q03 (Coded Response)</t>
  </si>
  <si>
    <t>22 - Full credit</t>
  </si>
  <si>
    <t>23 - Full credit</t>
  </si>
  <si>
    <t>CM155Q04S: Population Pyramids - Q04 (Scored Response)</t>
  </si>
  <si>
    <t>CM411Q01S: Diving - Q01 (Scored Response)</t>
  </si>
  <si>
    <t>CM411Q02S: Diving - Q02 (Scored Response)</t>
  </si>
  <si>
    <t>CM803Q01S: Labels - Q01 (Scored Response)</t>
  </si>
  <si>
    <t>CM442Q02S: Braille - Q02 (Scored Response)</t>
  </si>
  <si>
    <t>DM462Q01C: Third Side - Q01 (Coded Response)</t>
  </si>
  <si>
    <t>01 - No credit</t>
  </si>
  <si>
    <t>02 - No credit</t>
  </si>
  <si>
    <t>CM034Q01S: Bricks - Q01 (Scored Response)</t>
  </si>
  <si>
    <t>CM305Q01S: Map - Q01 (Scored Response)</t>
  </si>
  <si>
    <t>CM496Q01S: Cash Withdrawal - Q01 (Scored Response)</t>
  </si>
  <si>
    <t>CM496Q02S: Cash Withdrawal - Q02 (Scored Response)</t>
  </si>
  <si>
    <t>CM423Q01S: Tossing Coins - Q01 (Scored Response)</t>
  </si>
  <si>
    <t>CM192Q01S: Containers - Q01 (Scored Response)</t>
  </si>
  <si>
    <t>DM406Q01C: Running Tracks - Q01 (Coded Response)</t>
  </si>
  <si>
    <t>0 - No credit</t>
  </si>
  <si>
    <t>1 - Full credit</t>
  </si>
  <si>
    <t>DM406Q02C: Running Tracks - Q02 (Coded Response)</t>
  </si>
  <si>
    <t>CM603Q01S: Number Check - Q01 (Scored Response)</t>
  </si>
  <si>
    <t>CM571Q01S: Stop The Car - Q01 (Scored Response)</t>
  </si>
  <si>
    <t>CM564Q01S: Chair Lift - Q01 (Scored Response)</t>
  </si>
  <si>
    <t>CM564Q02S: Chair Lift - Q02 (Scored Response)</t>
  </si>
  <si>
    <t>CM447Q01S: Tile Arrangement - Q01 (Scored Response)</t>
  </si>
  <si>
    <t>CM273Q01S: Pipelines - Q01 (Scored Response)</t>
  </si>
  <si>
    <t>CM408Q01S: Lotteries - Q01 (Scored Response)</t>
  </si>
  <si>
    <t>CM420Q01S: Transport - Q01 (Scored Response)</t>
  </si>
  <si>
    <t>CM446Q01S: Thermometer Cricket - Q01 (Scored Response)</t>
  </si>
  <si>
    <t>DM446Q02C: Thermometer Cricket - Q02 (Coded Response)</t>
  </si>
  <si>
    <t>CM559Q01S: Telephone Rates - Q01 (Scored Response)</t>
  </si>
  <si>
    <t>DM828Q02C: Carbon Dioxide - Q02 (Coded Response)</t>
  </si>
  <si>
    <t>CM828Q03S: Carbon Dioxide - Q03 (Scored Response)</t>
  </si>
  <si>
    <t>CM464Q01S: Fence - Q01 (Scored Response)</t>
  </si>
  <si>
    <t>CM800Q01S: Computer Game - Q01 (Scored Response)</t>
  </si>
  <si>
    <t>CM982Q01S: Employment Data - Q01 (Scored Response)</t>
  </si>
  <si>
    <t>CM982Q02S: Employment Data - Q02 (Scored Response)</t>
  </si>
  <si>
    <t>CM982Q03S: Employment Data - Q03 (Scored Response)</t>
  </si>
  <si>
    <t>CM982Q04S: Employment Data - Q04 (Scored Response)</t>
  </si>
  <si>
    <t>CM992Q01S: Spacers - Q01 (Scored Response)</t>
  </si>
  <si>
    <t>CM992Q02S: Spacers - Q02 (Scored Response)</t>
  </si>
  <si>
    <t>DM992Q03C: Spacers - Q03 (Coded Response)</t>
  </si>
  <si>
    <t>CM915Q01S: Carbon Tax - Q01 (Scored Response)</t>
  </si>
  <si>
    <t>CM915Q02S: Carbon Tax - Q02 (Scored Response)</t>
  </si>
  <si>
    <t>CM906Q01S: Crazy Ants - Q01 (Scored Response)</t>
  </si>
  <si>
    <t>DM906Q02C: Crazy Ants - Q02 (Coded Response)</t>
  </si>
  <si>
    <t>1 - Partial credit</t>
  </si>
  <si>
    <t>2 - Full credit</t>
  </si>
  <si>
    <t>DM00KQ02C: Wheelchair Basketball - Q02 (Coded Response)</t>
  </si>
  <si>
    <t>CM909Q01S: Speeding Fines - Q01 (Scored Response)</t>
  </si>
  <si>
    <t>CM909Q02S: Speeding Fines - Q02 (Scored Response)</t>
  </si>
  <si>
    <t>CM909Q03S: Speeding Fines - Q03 (Scored Response)</t>
  </si>
  <si>
    <t>CM949Q01S: Roof Truss Design - Q01 (Scored Response)</t>
  </si>
  <si>
    <t>CM949Q02S: Roof Truss Design - Q02 (Scored Response)</t>
  </si>
  <si>
    <t>DM949Q03C: Roof Truss Design - Q03 (Coded Response)</t>
  </si>
  <si>
    <t>CM00GQ01S: Advertising Column - Q01 (Scored Response)</t>
  </si>
  <si>
    <t>DM955Q01C: Migration - Q01 (Coded Response)</t>
  </si>
  <si>
    <t>DM955Q02C: Migration - Q02 (Coded Response)</t>
  </si>
  <si>
    <t>CM955Q03S: Migration - Q03 (Scored Response)</t>
  </si>
  <si>
    <t>Partial credit</t>
  </si>
  <si>
    <t>DM998Q02C: Bike Rental - Q02 (Coded Response)</t>
  </si>
  <si>
    <t>CM998Q04S: Bike Rental - Q04 (Scored Response)</t>
  </si>
  <si>
    <t>CM905Q01S: Tennis balls - Q01 (Scored Response)</t>
  </si>
  <si>
    <t>DM905Q02C: Tennis balls - Q02 (Coded Response)</t>
  </si>
  <si>
    <t>CM919Q01S: Fan Merchandise - Q01 (Scored Response)</t>
  </si>
  <si>
    <t>CM919Q02S: Fan Merchandise - Q02 (Scored Response)</t>
  </si>
  <si>
    <t>CM954Q01S: Medicine doses - Q01 (Scored Response)</t>
  </si>
  <si>
    <t>DM954Q02C: Medicine doses - Q02 (Coded Response)</t>
  </si>
  <si>
    <t>CM954Q04S: Medicine doses - Q04 (Scored Response)</t>
  </si>
  <si>
    <t>CM943Q01S: Arches - Q01 (Scored Response)</t>
  </si>
  <si>
    <t>CM943Q02S: Arches - Q02 (Scored Response)</t>
  </si>
  <si>
    <t>DM953Q02C: Flu test - Q02 (Coded Response)</t>
  </si>
  <si>
    <t>CM953Q03S: Flu test - Q03 (Scored Response)</t>
  </si>
  <si>
    <t>DM953Q04C: Flu test - Q04 (Coded Response)</t>
  </si>
  <si>
    <t>CM948Q01S: Part Time Work - Q01 (Scored Response)</t>
  </si>
  <si>
    <t>CM948Q02S: Part Time Work - Q02 (Scored Response)</t>
  </si>
  <si>
    <t>CM948Q03S: Part Time Work - Q03 (Scored Response)</t>
  </si>
  <si>
    <t>CM936Q01S: Seats in a Theatre - Q01 (Scored Response)</t>
  </si>
  <si>
    <t>DM936Q02C: Seats in a Theatre - Q02 (Coded Response)</t>
  </si>
  <si>
    <t>DM961Q02C: Chocolate - Q02 (Coded Response)</t>
  </si>
  <si>
    <t>CM961Q03S: Chocolate - Q03 (Scored Response)</t>
  </si>
  <si>
    <t>DM961Q05C: Chocolate - Q05 (Coded Response)</t>
  </si>
  <si>
    <t>CM939Q01S: Racing - Q01 (Scored Response)</t>
  </si>
  <si>
    <t>CM939Q02S: Racing - Q02 (Scored Response)</t>
  </si>
  <si>
    <t>CM967Q01S: Wooden Train Set - Q01 (Scored Response)</t>
  </si>
  <si>
    <t>CM967Q03S: Wooden Train Set - Q03 (Scored Response)</t>
  </si>
  <si>
    <t>PM033Q01S: A View Room - Q01 (Paper Scored Response)</t>
  </si>
  <si>
    <t>PM474Q01: Running Time - Q01 (Coded Paper Response)</t>
  </si>
  <si>
    <t>PM155Q02: Population Pyramids - Q02 (Coded Paper Response)</t>
  </si>
  <si>
    <t>9 - No data (CBA only)</t>
  </si>
  <si>
    <t>PM155Q01: Population Pyramids - Q01 (Coded Paper Response)</t>
  </si>
  <si>
    <t>PM155Q03: Population Pyramids - Q03 (Coded Paper Response)</t>
  </si>
  <si>
    <t>PM155Q04S: Population Pyramids - Q04 (Paper Scored Response)</t>
  </si>
  <si>
    <t>PM411Q01: Diving - Q01 (Coded Paper Response)</t>
  </si>
  <si>
    <t>PM411Q02S: Diving - Q02 (Paper Scored Response)</t>
  </si>
  <si>
    <t>PM803Q01S: Labels - Q01 (Paper Scored Response)</t>
  </si>
  <si>
    <t>PM442Q02: Braille - Q02 (Coded Paper Response)</t>
  </si>
  <si>
    <t>PM462Q01: Third Side - Q01 (Coded Paper Response)</t>
  </si>
  <si>
    <t>PM034Q01S: Bricks - Q01 (Paper Scored Response)</t>
  </si>
  <si>
    <t>PM305Q01S: Map - Q01 (Paper Scored Response)</t>
  </si>
  <si>
    <t>PM496Q01S: Cash Withdrawal - Q01 (Paper Scored Response)</t>
  </si>
  <si>
    <t>PM496Q02: Cash Withdrawal - Q02 (Coded Paper Response)</t>
  </si>
  <si>
    <t>PM423Q01S: Tossing Coins - Q01 (Paper Scored Response)</t>
  </si>
  <si>
    <t>PM192Q01S: Containers - Q01 (Paper Scored Response)</t>
  </si>
  <si>
    <t>PM406Q01: Running Tracks - Q01 (Coded Paper Response)</t>
  </si>
  <si>
    <t>PM406Q02: Running Tracks - Q02 (Coded Paper Response)</t>
  </si>
  <si>
    <t>PM603Q01S: Number Check - Q01 (Paper Scored Response)</t>
  </si>
  <si>
    <t>PM571Q01S: Stop The Car - Q01 (Paper Scored Response)</t>
  </si>
  <si>
    <t>PM564Q01S: Chair Lift - Q01 (Paper Scored Response)</t>
  </si>
  <si>
    <t>PM564Q02S: Chair Lift - Q02 (Paper Scored Response)</t>
  </si>
  <si>
    <t>PM447Q01S: Tile Arrangement - Q01 (Paper Scored Response)</t>
  </si>
  <si>
    <t>PM273Q01S: Pipelines - Q01 (Paper Scored Response)</t>
  </si>
  <si>
    <t>PM408Q01S: Lotteries - Q01 (Paper Scored Response)</t>
  </si>
  <si>
    <t>PM420Q01S: Transport - Q01 (Paper Scored Response)</t>
  </si>
  <si>
    <t>PM446Q01: Thermometer Cricket - Q01 (Coded Paper Response)</t>
  </si>
  <si>
    <t>PM446Q02: Thermometer Cricket - Q02 (Coded Paper Response)</t>
  </si>
  <si>
    <t>PM559Q01S: Telephone Rates - Q01 (Paper Scored Response)</t>
  </si>
  <si>
    <t>PM828Q01: Carbon Dioxide - Q01 (Coded Paper Response)</t>
  </si>
  <si>
    <t>PM828Q02: Carbon Dioxide - Q02 (Coded Paper Response)</t>
  </si>
  <si>
    <t>PM828Q03: Carbon Dioxide - Q03 (Coded Paper Response)</t>
  </si>
  <si>
    <t>PM464Q01S: Fence - Q01 (Paper Scored Response)</t>
  </si>
  <si>
    <t>PM800Q01S: Computer Game - Q01 (Paper Scored Response)</t>
  </si>
  <si>
    <t>PM982Q01: Employment Data - Q01 (Coded Paper Response)</t>
  </si>
  <si>
    <t>PM982Q02: Employment Data - Q02 (Coded Paper Response)</t>
  </si>
  <si>
    <t>PM982Q03S: Employment Data - Q03 (Paper Scored Response)</t>
  </si>
  <si>
    <t>PM982Q04S: Employment Data - Q04 (Paper Scored Response)</t>
  </si>
  <si>
    <t>PM992Q01: Spacers - Q01 (Coded Paper Response)</t>
  </si>
  <si>
    <t>PM992Q02: Spacers - Q02 (Coded Paper Response)</t>
  </si>
  <si>
    <t>PM992Q03: Spacers - Q03 (Coded Paper Response)</t>
  </si>
  <si>
    <t>PM915Q01S: Carbon Tax - Q01 (Paper Scored Response)</t>
  </si>
  <si>
    <t>PM915Q02: Carbon Tax - Q02 (Coded Paper Response)</t>
  </si>
  <si>
    <t>PM906Q01S: Crazy Ants - Q01 (Paper Scored Response)</t>
  </si>
  <si>
    <t>PM906Q02: Crazy Ants - Q02 (Coded Paper Response)</t>
  </si>
  <si>
    <t>PM00KQ02: Wheelchair Basketball - Q02 (Coded Paper Response)</t>
  </si>
  <si>
    <t>PM909Q01: Speeding Fines - Q01 (Coded Paper Response)</t>
  </si>
  <si>
    <t>PM909Q02S: Speeding Fines - Q02 (Paper Scored Response)</t>
  </si>
  <si>
    <t>PM909Q03: Speeding Fines - Q03 (Coded Paper Response)</t>
  </si>
  <si>
    <t>PM949Q01S: Roof Truss Design - Q01 (Paper Scored Response)</t>
  </si>
  <si>
    <t>PM949Q02S: Roof Truss Design - Q02 (Paper Scored Response)</t>
  </si>
  <si>
    <t>PM949Q03: Roof Truss Design - Q03 (Coded Paper Response)</t>
  </si>
  <si>
    <t>PM00GQ01: Advertising Column - Q01 (Coded Paper Response)</t>
  </si>
  <si>
    <t>PM955Q01: Migration - Q01 (Coded Paper Response)</t>
  </si>
  <si>
    <t>PM955Q02: Migration - Q02 (Coded Paper Response)</t>
  </si>
  <si>
    <t>PM955Q03: Migration - Q03 (Coded Paper Response)</t>
  </si>
  <si>
    <t>PM998Q02: Bike Rental - Q02 (Coded Paper Response)</t>
  </si>
  <si>
    <t>PM998Q04S: Bike Rental - Q04 (Paper Scored Response)</t>
  </si>
  <si>
    <t>PM905Q01S: Tennis balls - Q01 (Paper Scored Response)</t>
  </si>
  <si>
    <t>PM905Q02: Tennis balls - Q02 (Coded Paper Response)</t>
  </si>
  <si>
    <t>PM919Q01: Fan Merchandise - Q01 (Coded Paper Response)</t>
  </si>
  <si>
    <t>PM919Q02: Fan Merchandise - Q02 (Coded Paper Response)</t>
  </si>
  <si>
    <t>PM954Q01: Medicine doses - Q01 (Coded Paper Response)</t>
  </si>
  <si>
    <t>PM954Q02: Medicine doses - Q02 (Coded Paper Response)</t>
  </si>
  <si>
    <t>PM954Q04: Medicine doses - Q04 (Coded Paper Response)</t>
  </si>
  <si>
    <t>PM943Q01S: Arches - Q01 (Paper Scored Response)</t>
  </si>
  <si>
    <t>PM943Q02: Arches - Q02 (Coded Paper Response)</t>
  </si>
  <si>
    <t>PM953Q02: Flu test - Q02 (Coded Paper Response)</t>
  </si>
  <si>
    <t>PM953Q03: Flu test - Q03 (Coded Paper Response)</t>
  </si>
  <si>
    <t>PM953Q04: Flu test - Q04 (Coded Paper Response)</t>
  </si>
  <si>
    <t>PM948Q01S: Part Time Work - Q01 (Paper Scored Response)</t>
  </si>
  <si>
    <t>PM948Q02: Part Time Work - Q02 (Coded Paper Response)</t>
  </si>
  <si>
    <t>PM948Q03: Part Time Work - Q03 (Coded Paper Response)</t>
  </si>
  <si>
    <t>PM936Q01: Seats in a Theatre - Q01 (Coded Paper Response)</t>
  </si>
  <si>
    <t>PM936Q02: Seats in a Theatre - Q02 (Coded Paper Response)</t>
  </si>
  <si>
    <t>PM961Q02: Chocolate - Q02 (Coded Paper Response)</t>
  </si>
  <si>
    <t>PM961Q03S: Chocolate - Q03 (Paper Scored Response)</t>
  </si>
  <si>
    <t>PM961Q05: Chocolate - Q05 (Coded Paper Response)</t>
  </si>
  <si>
    <t>PM939Q01S: Racing - Q01 (Paper Scored Response)</t>
  </si>
  <si>
    <t>PM939Q02S: Racing - Q02 (Paper Scored Response)</t>
  </si>
  <si>
    <t>PM967Q01: Wooden Train Set - Q01 (Coded Paper Response)</t>
  </si>
  <si>
    <t>PM967Q03S: Wooden Train Set - Q03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</si>
</sst>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4">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borderId="3" fillId="3" fontId="3" numFmtId="0" xfId="0"/>
    <xf borderId="2" fillId="3" fontId="0" numFmtId="0" xfId="0"/>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sharedStrings.xml" Type="http://schemas.openxmlformats.org/officeDocument/2006/relationships/sharedStrings"/><Relationship Id="rId168" Target="styles.xml" Type="http://schemas.openxmlformats.org/officeDocument/2006/relationships/styles"/><Relationship Id="rId16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CM033Q01S'!A6" TargetMode="External" Type="http://schemas.openxmlformats.org/officeDocument/2006/relationships/hyperlink"/><Relationship Id="rId2" Target="#'CM474Q01S'!A6" TargetMode="External" Type="http://schemas.openxmlformats.org/officeDocument/2006/relationships/hyperlink"/><Relationship Id="rId3" Target="#'DM155Q02C'!A6" TargetMode="External" Type="http://schemas.openxmlformats.org/officeDocument/2006/relationships/hyperlink"/><Relationship Id="rId4" Target="#'CM155Q01S'!A6" TargetMode="External" Type="http://schemas.openxmlformats.org/officeDocument/2006/relationships/hyperlink"/><Relationship Id="rId5" Target="#'DM155Q03C'!A6" TargetMode="External" Type="http://schemas.openxmlformats.org/officeDocument/2006/relationships/hyperlink"/><Relationship Id="rId6" Target="#'CM155Q04S'!A6" TargetMode="External" Type="http://schemas.openxmlformats.org/officeDocument/2006/relationships/hyperlink"/><Relationship Id="rId7" Target="#'CM411Q01S'!A6" TargetMode="External" Type="http://schemas.openxmlformats.org/officeDocument/2006/relationships/hyperlink"/><Relationship Id="rId8" Target="#'CM411Q02S'!A6" TargetMode="External" Type="http://schemas.openxmlformats.org/officeDocument/2006/relationships/hyperlink"/><Relationship Id="rId9" Target="#'CM803Q01S'!A6" TargetMode="External" Type="http://schemas.openxmlformats.org/officeDocument/2006/relationships/hyperlink"/><Relationship Id="rId10" Target="#'CM442Q02S'!A6" TargetMode="External" Type="http://schemas.openxmlformats.org/officeDocument/2006/relationships/hyperlink"/><Relationship Id="rId11" Target="#'DM462Q01C'!A6" TargetMode="External" Type="http://schemas.openxmlformats.org/officeDocument/2006/relationships/hyperlink"/><Relationship Id="rId12" Target="#'CM034Q01S'!A6" TargetMode="External" Type="http://schemas.openxmlformats.org/officeDocument/2006/relationships/hyperlink"/><Relationship Id="rId13" Target="#'CM305Q01S'!A6" TargetMode="External" Type="http://schemas.openxmlformats.org/officeDocument/2006/relationships/hyperlink"/><Relationship Id="rId14" Target="#'CM496Q01S'!A6" TargetMode="External" Type="http://schemas.openxmlformats.org/officeDocument/2006/relationships/hyperlink"/><Relationship Id="rId15" Target="#'CM496Q02S'!A6" TargetMode="External" Type="http://schemas.openxmlformats.org/officeDocument/2006/relationships/hyperlink"/><Relationship Id="rId16" Target="#'CM423Q01S'!A6" TargetMode="External" Type="http://schemas.openxmlformats.org/officeDocument/2006/relationships/hyperlink"/><Relationship Id="rId17" Target="#'CM192Q01S'!A6" TargetMode="External" Type="http://schemas.openxmlformats.org/officeDocument/2006/relationships/hyperlink"/><Relationship Id="rId18" Target="#'DM406Q01C'!A6" TargetMode="External" Type="http://schemas.openxmlformats.org/officeDocument/2006/relationships/hyperlink"/><Relationship Id="rId19" Target="#'DM406Q02C'!A6" TargetMode="External" Type="http://schemas.openxmlformats.org/officeDocument/2006/relationships/hyperlink"/><Relationship Id="rId20" Target="#'CM603Q01S'!A6" TargetMode="External" Type="http://schemas.openxmlformats.org/officeDocument/2006/relationships/hyperlink"/><Relationship Id="rId21" Target="#'CM571Q01S'!A6" TargetMode="External" Type="http://schemas.openxmlformats.org/officeDocument/2006/relationships/hyperlink"/><Relationship Id="rId22" Target="#'CM564Q01S'!A6" TargetMode="External" Type="http://schemas.openxmlformats.org/officeDocument/2006/relationships/hyperlink"/><Relationship Id="rId23" Target="#'CM564Q02S'!A6" TargetMode="External" Type="http://schemas.openxmlformats.org/officeDocument/2006/relationships/hyperlink"/><Relationship Id="rId24" Target="#'CM447Q01S'!A6" TargetMode="External" Type="http://schemas.openxmlformats.org/officeDocument/2006/relationships/hyperlink"/><Relationship Id="rId25" Target="#'CM273Q01S'!A6" TargetMode="External" Type="http://schemas.openxmlformats.org/officeDocument/2006/relationships/hyperlink"/><Relationship Id="rId26" Target="#'CM408Q01S'!A6" TargetMode="External" Type="http://schemas.openxmlformats.org/officeDocument/2006/relationships/hyperlink"/><Relationship Id="rId27" Target="#'CM420Q01S'!A6" TargetMode="External" Type="http://schemas.openxmlformats.org/officeDocument/2006/relationships/hyperlink"/><Relationship Id="rId28" Target="#'CM446Q01S'!A6" TargetMode="External" Type="http://schemas.openxmlformats.org/officeDocument/2006/relationships/hyperlink"/><Relationship Id="rId29" Target="#'DM446Q02C'!A6" TargetMode="External" Type="http://schemas.openxmlformats.org/officeDocument/2006/relationships/hyperlink"/><Relationship Id="rId30" Target="#'CM559Q01S'!A6" TargetMode="External" Type="http://schemas.openxmlformats.org/officeDocument/2006/relationships/hyperlink"/><Relationship Id="rId31" Target="#'DM828Q02C'!A6" TargetMode="External" Type="http://schemas.openxmlformats.org/officeDocument/2006/relationships/hyperlink"/><Relationship Id="rId32" Target="#'CM828Q03S'!A6" TargetMode="External" Type="http://schemas.openxmlformats.org/officeDocument/2006/relationships/hyperlink"/><Relationship Id="rId33" Target="#'CM464Q01S'!A6" TargetMode="External" Type="http://schemas.openxmlformats.org/officeDocument/2006/relationships/hyperlink"/><Relationship Id="rId34" Target="#'CM800Q01S'!A6" TargetMode="External" Type="http://schemas.openxmlformats.org/officeDocument/2006/relationships/hyperlink"/><Relationship Id="rId35" Target="#'CM982Q01S'!A6" TargetMode="External" Type="http://schemas.openxmlformats.org/officeDocument/2006/relationships/hyperlink"/><Relationship Id="rId36" Target="#'CM982Q02S'!A6" TargetMode="External" Type="http://schemas.openxmlformats.org/officeDocument/2006/relationships/hyperlink"/><Relationship Id="rId37" Target="#'CM982Q03S'!A6" TargetMode="External" Type="http://schemas.openxmlformats.org/officeDocument/2006/relationships/hyperlink"/><Relationship Id="rId38" Target="#'CM982Q04S'!A6" TargetMode="External" Type="http://schemas.openxmlformats.org/officeDocument/2006/relationships/hyperlink"/><Relationship Id="rId39" Target="#'CM992Q01S'!A6" TargetMode="External" Type="http://schemas.openxmlformats.org/officeDocument/2006/relationships/hyperlink"/><Relationship Id="rId40" Target="#'CM992Q02S'!A6" TargetMode="External" Type="http://schemas.openxmlformats.org/officeDocument/2006/relationships/hyperlink"/><Relationship Id="rId41" Target="#'DM992Q03C'!A6" TargetMode="External" Type="http://schemas.openxmlformats.org/officeDocument/2006/relationships/hyperlink"/><Relationship Id="rId42" Target="#'CM915Q01S'!A6" TargetMode="External" Type="http://schemas.openxmlformats.org/officeDocument/2006/relationships/hyperlink"/><Relationship Id="rId43" Target="#'CM915Q02S'!A6" TargetMode="External" Type="http://schemas.openxmlformats.org/officeDocument/2006/relationships/hyperlink"/><Relationship Id="rId44" Target="#'CM906Q01S'!A6" TargetMode="External" Type="http://schemas.openxmlformats.org/officeDocument/2006/relationships/hyperlink"/><Relationship Id="rId45" Target="#'DM906Q02C'!A6" TargetMode="External" Type="http://schemas.openxmlformats.org/officeDocument/2006/relationships/hyperlink"/><Relationship Id="rId46" Target="#'DM00KQ02C'!A6" TargetMode="External" Type="http://schemas.openxmlformats.org/officeDocument/2006/relationships/hyperlink"/><Relationship Id="rId47" Target="#'CM909Q01S'!A6" TargetMode="External" Type="http://schemas.openxmlformats.org/officeDocument/2006/relationships/hyperlink"/><Relationship Id="rId48" Target="#'CM909Q02S'!A6" TargetMode="External" Type="http://schemas.openxmlformats.org/officeDocument/2006/relationships/hyperlink"/><Relationship Id="rId49" Target="#'CM909Q03S'!A6" TargetMode="External" Type="http://schemas.openxmlformats.org/officeDocument/2006/relationships/hyperlink"/><Relationship Id="rId50" Target="#'CM949Q01S'!A6" TargetMode="External" Type="http://schemas.openxmlformats.org/officeDocument/2006/relationships/hyperlink"/><Relationship Id="rId51" Target="#'CM949Q02S'!A6" TargetMode="External" Type="http://schemas.openxmlformats.org/officeDocument/2006/relationships/hyperlink"/><Relationship Id="rId52" Target="#'DM949Q03C'!A6" TargetMode="External" Type="http://schemas.openxmlformats.org/officeDocument/2006/relationships/hyperlink"/><Relationship Id="rId53" Target="#'CM00GQ01S'!A6" TargetMode="External" Type="http://schemas.openxmlformats.org/officeDocument/2006/relationships/hyperlink"/><Relationship Id="rId54" Target="#'DM955Q01C'!A6" TargetMode="External" Type="http://schemas.openxmlformats.org/officeDocument/2006/relationships/hyperlink"/><Relationship Id="rId55" Target="#'DM955Q02C'!A6" TargetMode="External" Type="http://schemas.openxmlformats.org/officeDocument/2006/relationships/hyperlink"/><Relationship Id="rId56" Target="#'CM955Q03S'!A6" TargetMode="External" Type="http://schemas.openxmlformats.org/officeDocument/2006/relationships/hyperlink"/><Relationship Id="rId57" Target="#'DM998Q02C'!A6" TargetMode="External" Type="http://schemas.openxmlformats.org/officeDocument/2006/relationships/hyperlink"/><Relationship Id="rId58" Target="#'CM998Q04S'!A6" TargetMode="External" Type="http://schemas.openxmlformats.org/officeDocument/2006/relationships/hyperlink"/><Relationship Id="rId59" Target="#'CM905Q01S'!A6" TargetMode="External" Type="http://schemas.openxmlformats.org/officeDocument/2006/relationships/hyperlink"/><Relationship Id="rId60" Target="#'DM905Q02C'!A6" TargetMode="External" Type="http://schemas.openxmlformats.org/officeDocument/2006/relationships/hyperlink"/><Relationship Id="rId61" Target="#'CM919Q01S'!A6" TargetMode="External" Type="http://schemas.openxmlformats.org/officeDocument/2006/relationships/hyperlink"/><Relationship Id="rId62" Target="#'CM919Q02S'!A6" TargetMode="External" Type="http://schemas.openxmlformats.org/officeDocument/2006/relationships/hyperlink"/><Relationship Id="rId63" Target="#'CM954Q01S'!A6" TargetMode="External" Type="http://schemas.openxmlformats.org/officeDocument/2006/relationships/hyperlink"/><Relationship Id="rId64" Target="#'DM954Q02C'!A6" TargetMode="External" Type="http://schemas.openxmlformats.org/officeDocument/2006/relationships/hyperlink"/><Relationship Id="rId65" Target="#'CM954Q04S'!A6" TargetMode="External" Type="http://schemas.openxmlformats.org/officeDocument/2006/relationships/hyperlink"/><Relationship Id="rId66" Target="#'CM943Q01S'!A6" TargetMode="External" Type="http://schemas.openxmlformats.org/officeDocument/2006/relationships/hyperlink"/><Relationship Id="rId67" Target="#'CM943Q02S'!A6" TargetMode="External" Type="http://schemas.openxmlformats.org/officeDocument/2006/relationships/hyperlink"/><Relationship Id="rId68" Target="#'DM953Q02C'!A6" TargetMode="External" Type="http://schemas.openxmlformats.org/officeDocument/2006/relationships/hyperlink"/><Relationship Id="rId69" Target="#'CM953Q03S'!A6" TargetMode="External" Type="http://schemas.openxmlformats.org/officeDocument/2006/relationships/hyperlink"/><Relationship Id="rId70" Target="#'DM953Q04C'!A6" TargetMode="External" Type="http://schemas.openxmlformats.org/officeDocument/2006/relationships/hyperlink"/><Relationship Id="rId71" Target="#'CM948Q01S'!A6" TargetMode="External" Type="http://schemas.openxmlformats.org/officeDocument/2006/relationships/hyperlink"/><Relationship Id="rId72" Target="#'CM948Q02S'!A6" TargetMode="External" Type="http://schemas.openxmlformats.org/officeDocument/2006/relationships/hyperlink"/><Relationship Id="rId73" Target="#'CM948Q03S'!A6" TargetMode="External" Type="http://schemas.openxmlformats.org/officeDocument/2006/relationships/hyperlink"/><Relationship Id="rId74" Target="#'CM936Q01S'!A6" TargetMode="External" Type="http://schemas.openxmlformats.org/officeDocument/2006/relationships/hyperlink"/><Relationship Id="rId75" Target="#'DM936Q02C'!A6" TargetMode="External" Type="http://schemas.openxmlformats.org/officeDocument/2006/relationships/hyperlink"/><Relationship Id="rId76" Target="#'DM961Q02C'!A6" TargetMode="External" Type="http://schemas.openxmlformats.org/officeDocument/2006/relationships/hyperlink"/><Relationship Id="rId77" Target="#'CM961Q03S'!A6" TargetMode="External" Type="http://schemas.openxmlformats.org/officeDocument/2006/relationships/hyperlink"/><Relationship Id="rId78" Target="#'DM961Q05C'!A6" TargetMode="External" Type="http://schemas.openxmlformats.org/officeDocument/2006/relationships/hyperlink"/><Relationship Id="rId79" Target="#'CM939Q01S'!A6" TargetMode="External" Type="http://schemas.openxmlformats.org/officeDocument/2006/relationships/hyperlink"/><Relationship Id="rId80" Target="#'CM939Q02S'!A6" TargetMode="External" Type="http://schemas.openxmlformats.org/officeDocument/2006/relationships/hyperlink"/><Relationship Id="rId81" Target="#'CM967Q01S'!A6" TargetMode="External" Type="http://schemas.openxmlformats.org/officeDocument/2006/relationships/hyperlink"/><Relationship Id="rId82" Target="#'CM967Q03S'!A6" TargetMode="External" Type="http://schemas.openxmlformats.org/officeDocument/2006/relationships/hyperlink"/><Relationship Id="rId83" Target="#'PM033Q01S'!A6" TargetMode="External" Type="http://schemas.openxmlformats.org/officeDocument/2006/relationships/hyperlink"/><Relationship Id="rId84" Target="#'PM474Q01'!A6" TargetMode="External" Type="http://schemas.openxmlformats.org/officeDocument/2006/relationships/hyperlink"/><Relationship Id="rId85" Target="#'PM155Q02'!A6" TargetMode="External" Type="http://schemas.openxmlformats.org/officeDocument/2006/relationships/hyperlink"/><Relationship Id="rId86" Target="#'PM155Q01'!A6" TargetMode="External" Type="http://schemas.openxmlformats.org/officeDocument/2006/relationships/hyperlink"/><Relationship Id="rId87" Target="#'PM155Q03'!A6" TargetMode="External" Type="http://schemas.openxmlformats.org/officeDocument/2006/relationships/hyperlink"/><Relationship Id="rId88" Target="#'PM155Q04S'!A6" TargetMode="External" Type="http://schemas.openxmlformats.org/officeDocument/2006/relationships/hyperlink"/><Relationship Id="rId89" Target="#'PM411Q01'!A6" TargetMode="External" Type="http://schemas.openxmlformats.org/officeDocument/2006/relationships/hyperlink"/><Relationship Id="rId90" Target="#'PM411Q02S'!A6" TargetMode="External" Type="http://schemas.openxmlformats.org/officeDocument/2006/relationships/hyperlink"/><Relationship Id="rId91" Target="#'PM803Q01S'!A6" TargetMode="External" Type="http://schemas.openxmlformats.org/officeDocument/2006/relationships/hyperlink"/><Relationship Id="rId92" Target="#'PM442Q02'!A6" TargetMode="External" Type="http://schemas.openxmlformats.org/officeDocument/2006/relationships/hyperlink"/><Relationship Id="rId93" Target="#'PM462Q01'!A6" TargetMode="External" Type="http://schemas.openxmlformats.org/officeDocument/2006/relationships/hyperlink"/><Relationship Id="rId94" Target="#'PM034Q01S'!A6" TargetMode="External" Type="http://schemas.openxmlformats.org/officeDocument/2006/relationships/hyperlink"/><Relationship Id="rId95" Target="#'PM305Q01S'!A6" TargetMode="External" Type="http://schemas.openxmlformats.org/officeDocument/2006/relationships/hyperlink"/><Relationship Id="rId96" Target="#'PM496Q01S'!A6" TargetMode="External" Type="http://schemas.openxmlformats.org/officeDocument/2006/relationships/hyperlink"/><Relationship Id="rId97" Target="#'PM496Q02'!A6" TargetMode="External" Type="http://schemas.openxmlformats.org/officeDocument/2006/relationships/hyperlink"/><Relationship Id="rId98" Target="#'PM423Q01S'!A6" TargetMode="External" Type="http://schemas.openxmlformats.org/officeDocument/2006/relationships/hyperlink"/><Relationship Id="rId99" Target="#'PM192Q01S'!A6" TargetMode="External" Type="http://schemas.openxmlformats.org/officeDocument/2006/relationships/hyperlink"/><Relationship Id="rId100" Target="#'PM406Q01'!A6" TargetMode="External" Type="http://schemas.openxmlformats.org/officeDocument/2006/relationships/hyperlink"/><Relationship Id="rId101" Target="#'PM406Q02'!A6" TargetMode="External" Type="http://schemas.openxmlformats.org/officeDocument/2006/relationships/hyperlink"/><Relationship Id="rId102" Target="#'PM603Q01S'!A6" TargetMode="External" Type="http://schemas.openxmlformats.org/officeDocument/2006/relationships/hyperlink"/><Relationship Id="rId103" Target="#'PM571Q01S'!A6" TargetMode="External" Type="http://schemas.openxmlformats.org/officeDocument/2006/relationships/hyperlink"/><Relationship Id="rId104" Target="#'PM564Q01S'!A6" TargetMode="External" Type="http://schemas.openxmlformats.org/officeDocument/2006/relationships/hyperlink"/><Relationship Id="rId105" Target="#'PM564Q02S'!A6" TargetMode="External" Type="http://schemas.openxmlformats.org/officeDocument/2006/relationships/hyperlink"/><Relationship Id="rId106" Target="#'PM447Q01S'!A6" TargetMode="External" Type="http://schemas.openxmlformats.org/officeDocument/2006/relationships/hyperlink"/><Relationship Id="rId107" Target="#'PM273Q01S'!A6" TargetMode="External" Type="http://schemas.openxmlformats.org/officeDocument/2006/relationships/hyperlink"/><Relationship Id="rId108" Target="#'PM408Q01S'!A6" TargetMode="External" Type="http://schemas.openxmlformats.org/officeDocument/2006/relationships/hyperlink"/><Relationship Id="rId109" Target="#'PM420Q01S'!A6" TargetMode="External" Type="http://schemas.openxmlformats.org/officeDocument/2006/relationships/hyperlink"/><Relationship Id="rId110" Target="#'PM446Q01'!A6" TargetMode="External" Type="http://schemas.openxmlformats.org/officeDocument/2006/relationships/hyperlink"/><Relationship Id="rId111" Target="#'PM446Q02'!A6" TargetMode="External" Type="http://schemas.openxmlformats.org/officeDocument/2006/relationships/hyperlink"/><Relationship Id="rId112" Target="#'PM559Q01S'!A6" TargetMode="External" Type="http://schemas.openxmlformats.org/officeDocument/2006/relationships/hyperlink"/><Relationship Id="rId113" Target="#'PM828Q01'!A6" TargetMode="External" Type="http://schemas.openxmlformats.org/officeDocument/2006/relationships/hyperlink"/><Relationship Id="rId114" Target="#'PM828Q02'!A6" TargetMode="External" Type="http://schemas.openxmlformats.org/officeDocument/2006/relationships/hyperlink"/><Relationship Id="rId115" Target="#'PM828Q03'!A6" TargetMode="External" Type="http://schemas.openxmlformats.org/officeDocument/2006/relationships/hyperlink"/><Relationship Id="rId116" Target="#'PM464Q01S'!A6" TargetMode="External" Type="http://schemas.openxmlformats.org/officeDocument/2006/relationships/hyperlink"/><Relationship Id="rId117" Target="#'PM800Q01S'!A6" TargetMode="External" Type="http://schemas.openxmlformats.org/officeDocument/2006/relationships/hyperlink"/><Relationship Id="rId118" Target="#'PM982Q01'!A6" TargetMode="External" Type="http://schemas.openxmlformats.org/officeDocument/2006/relationships/hyperlink"/><Relationship Id="rId119" Target="#'PM982Q02'!A6" TargetMode="External" Type="http://schemas.openxmlformats.org/officeDocument/2006/relationships/hyperlink"/><Relationship Id="rId120" Target="#'PM982Q03S'!A6" TargetMode="External" Type="http://schemas.openxmlformats.org/officeDocument/2006/relationships/hyperlink"/><Relationship Id="rId121" Target="#'PM982Q04S'!A6" TargetMode="External" Type="http://schemas.openxmlformats.org/officeDocument/2006/relationships/hyperlink"/><Relationship Id="rId122" Target="#'PM992Q01'!A6" TargetMode="External" Type="http://schemas.openxmlformats.org/officeDocument/2006/relationships/hyperlink"/><Relationship Id="rId123" Target="#'PM992Q02'!A6" TargetMode="External" Type="http://schemas.openxmlformats.org/officeDocument/2006/relationships/hyperlink"/><Relationship Id="rId124" Target="#'PM992Q03'!A6" TargetMode="External" Type="http://schemas.openxmlformats.org/officeDocument/2006/relationships/hyperlink"/><Relationship Id="rId125" Target="#'PM915Q01S'!A6" TargetMode="External" Type="http://schemas.openxmlformats.org/officeDocument/2006/relationships/hyperlink"/><Relationship Id="rId126" Target="#'PM915Q02'!A6" TargetMode="External" Type="http://schemas.openxmlformats.org/officeDocument/2006/relationships/hyperlink"/><Relationship Id="rId127" Target="#'PM906Q01S'!A6" TargetMode="External" Type="http://schemas.openxmlformats.org/officeDocument/2006/relationships/hyperlink"/><Relationship Id="rId128" Target="#'PM906Q02'!A6" TargetMode="External" Type="http://schemas.openxmlformats.org/officeDocument/2006/relationships/hyperlink"/><Relationship Id="rId129" Target="#'PM00KQ02'!A6" TargetMode="External" Type="http://schemas.openxmlformats.org/officeDocument/2006/relationships/hyperlink"/><Relationship Id="rId130" Target="#'PM909Q01'!A6" TargetMode="External" Type="http://schemas.openxmlformats.org/officeDocument/2006/relationships/hyperlink"/><Relationship Id="rId131" Target="#'PM909Q02S'!A6" TargetMode="External" Type="http://schemas.openxmlformats.org/officeDocument/2006/relationships/hyperlink"/><Relationship Id="rId132" Target="#'PM909Q03'!A6" TargetMode="External" Type="http://schemas.openxmlformats.org/officeDocument/2006/relationships/hyperlink"/><Relationship Id="rId133" Target="#'PM949Q01S'!A6" TargetMode="External" Type="http://schemas.openxmlformats.org/officeDocument/2006/relationships/hyperlink"/><Relationship Id="rId134" Target="#'PM949Q02S'!A6" TargetMode="External" Type="http://schemas.openxmlformats.org/officeDocument/2006/relationships/hyperlink"/><Relationship Id="rId135" Target="#'PM949Q03'!A6" TargetMode="External" Type="http://schemas.openxmlformats.org/officeDocument/2006/relationships/hyperlink"/><Relationship Id="rId136" Target="#'PM00GQ01'!A6" TargetMode="External" Type="http://schemas.openxmlformats.org/officeDocument/2006/relationships/hyperlink"/><Relationship Id="rId137" Target="#'PM955Q01'!A6" TargetMode="External" Type="http://schemas.openxmlformats.org/officeDocument/2006/relationships/hyperlink"/><Relationship Id="rId138" Target="#'PM955Q02'!A6" TargetMode="External" Type="http://schemas.openxmlformats.org/officeDocument/2006/relationships/hyperlink"/><Relationship Id="rId139" Target="#'PM955Q03'!A6" TargetMode="External" Type="http://schemas.openxmlformats.org/officeDocument/2006/relationships/hyperlink"/><Relationship Id="rId140" Target="#'PM998Q02'!A6" TargetMode="External" Type="http://schemas.openxmlformats.org/officeDocument/2006/relationships/hyperlink"/><Relationship Id="rId141" Target="#'PM998Q04S'!A6" TargetMode="External" Type="http://schemas.openxmlformats.org/officeDocument/2006/relationships/hyperlink"/><Relationship Id="rId142" Target="#'PM905Q01S'!A6" TargetMode="External" Type="http://schemas.openxmlformats.org/officeDocument/2006/relationships/hyperlink"/><Relationship Id="rId143" Target="#'PM905Q02'!A6" TargetMode="External" Type="http://schemas.openxmlformats.org/officeDocument/2006/relationships/hyperlink"/><Relationship Id="rId144" Target="#'PM919Q01'!A6" TargetMode="External" Type="http://schemas.openxmlformats.org/officeDocument/2006/relationships/hyperlink"/><Relationship Id="rId145" Target="#'PM919Q02'!A6" TargetMode="External" Type="http://schemas.openxmlformats.org/officeDocument/2006/relationships/hyperlink"/><Relationship Id="rId146" Target="#'PM954Q01'!A6" TargetMode="External" Type="http://schemas.openxmlformats.org/officeDocument/2006/relationships/hyperlink"/><Relationship Id="rId147" Target="#'PM954Q02'!A6" TargetMode="External" Type="http://schemas.openxmlformats.org/officeDocument/2006/relationships/hyperlink"/><Relationship Id="rId148" Target="#'PM954Q04'!A6" TargetMode="External" Type="http://schemas.openxmlformats.org/officeDocument/2006/relationships/hyperlink"/><Relationship Id="rId149" Target="#'PM943Q01S'!A6" TargetMode="External" Type="http://schemas.openxmlformats.org/officeDocument/2006/relationships/hyperlink"/><Relationship Id="rId150" Target="#'PM943Q02'!A6" TargetMode="External" Type="http://schemas.openxmlformats.org/officeDocument/2006/relationships/hyperlink"/><Relationship Id="rId151" Target="#'PM953Q02'!A6" TargetMode="External" Type="http://schemas.openxmlformats.org/officeDocument/2006/relationships/hyperlink"/><Relationship Id="rId152" Target="#'PM953Q03'!A6" TargetMode="External" Type="http://schemas.openxmlformats.org/officeDocument/2006/relationships/hyperlink"/><Relationship Id="rId153" Target="#'PM953Q04'!A6" TargetMode="External" Type="http://schemas.openxmlformats.org/officeDocument/2006/relationships/hyperlink"/><Relationship Id="rId154" Target="#'PM948Q01S'!A6" TargetMode="External" Type="http://schemas.openxmlformats.org/officeDocument/2006/relationships/hyperlink"/><Relationship Id="rId155" Target="#'PM948Q02'!A6" TargetMode="External" Type="http://schemas.openxmlformats.org/officeDocument/2006/relationships/hyperlink"/><Relationship Id="rId156" Target="#'PM948Q03'!A6" TargetMode="External" Type="http://schemas.openxmlformats.org/officeDocument/2006/relationships/hyperlink"/><Relationship Id="rId157" Target="#'PM936Q01'!A6" TargetMode="External" Type="http://schemas.openxmlformats.org/officeDocument/2006/relationships/hyperlink"/><Relationship Id="rId158" Target="#'PM936Q02'!A6" TargetMode="External" Type="http://schemas.openxmlformats.org/officeDocument/2006/relationships/hyperlink"/><Relationship Id="rId159" Target="#'PM961Q02'!A6" TargetMode="External" Type="http://schemas.openxmlformats.org/officeDocument/2006/relationships/hyperlink"/><Relationship Id="rId160" Target="#'PM961Q03S'!A6" TargetMode="External" Type="http://schemas.openxmlformats.org/officeDocument/2006/relationships/hyperlink"/><Relationship Id="rId161" Target="#'PM961Q05'!A6" TargetMode="External" Type="http://schemas.openxmlformats.org/officeDocument/2006/relationships/hyperlink"/><Relationship Id="rId162" Target="#'PM939Q01S'!A6" TargetMode="External" Type="http://schemas.openxmlformats.org/officeDocument/2006/relationships/hyperlink"/><Relationship Id="rId163" Target="#'PM939Q02S'!A6" TargetMode="External" Type="http://schemas.openxmlformats.org/officeDocument/2006/relationships/hyperlink"/><Relationship Id="rId164" Target="#'PM967Q01'!A6" TargetMode="External" Type="http://schemas.openxmlformats.org/officeDocument/2006/relationships/hyperlink"/><Relationship Id="rId165" Target="#'PM967Q03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166"/>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332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(12692.0/B7*100)</f>
        <v/>
      </c>
      <c r="D7" s="19" t="n">
        <v>1838</v>
      </c>
      <c r="E7" s="18" t="n">
        <v>18.35984557</v>
      </c>
      <c r="F7" s="20" t="n">
        <v>1.02008713</v>
      </c>
      <c r="G7" s="18" t="n">
        <v>80.48269121</v>
      </c>
      <c r="H7" s="20" t="n">
        <v>1.06957388</v>
      </c>
      <c r="I7" s="18" t="s">
        <v>349</v>
      </c>
      <c r="J7" s="20" t="s">
        <v>349</v>
      </c>
      <c r="K7" s="18" t="n">
        <v>0.27607374</v>
      </c>
      <c r="L7" s="20" t="n">
        <v>0.13614468</v>
      </c>
      <c r="M7" s="18" t="n">
        <v>0</v>
      </c>
      <c r="N7" s="20" t="n">
        <v>0</v>
      </c>
      <c r="O7" s="18" t="n">
        <v>0</v>
      </c>
      <c r="P7" s="20" t="n">
        <v>0</v>
      </c>
      <c r="Q7" s="18" t="n">
        <v>0.8813894799999999</v>
      </c>
      <c r="R7" s="20" t="n">
        <v>0.27493569</v>
      </c>
    </row>
    <row r="8" spans="1:18">
      <c r="A8" s="15" t="s">
        <v>350</v>
      </c>
      <c r="B8" s="17" t="n">
        <v>7007</v>
      </c>
      <c r="C8" s="18">
        <f>(6163.0/B8*100)</f>
        <v/>
      </c>
      <c r="D8" s="19" t="n">
        <v>844</v>
      </c>
      <c r="E8" s="18" t="n">
        <v>15.32293619</v>
      </c>
      <c r="F8" s="20" t="n">
        <v>1.33130612</v>
      </c>
      <c r="G8" s="18" t="n">
        <v>84.28352644</v>
      </c>
      <c r="H8" s="20" t="n">
        <v>1.32699437</v>
      </c>
      <c r="I8" s="18" t="s">
        <v>349</v>
      </c>
      <c r="J8" s="20" t="s">
        <v>349</v>
      </c>
      <c r="K8" s="18" t="n">
        <v>0</v>
      </c>
      <c r="L8" s="20" t="n">
        <v>0</v>
      </c>
      <c r="M8" s="18" t="n">
        <v>0</v>
      </c>
      <c r="N8" s="20" t="n">
        <v>0</v>
      </c>
      <c r="O8" s="18" t="n">
        <v>0</v>
      </c>
      <c r="P8" s="20" t="n">
        <v>0</v>
      </c>
      <c r="Q8" s="18" t="n">
        <v>0.39353737</v>
      </c>
      <c r="R8" s="20" t="n">
        <v>0.22839649</v>
      </c>
    </row>
    <row r="9" spans="1:18">
      <c r="A9" s="15" t="s">
        <v>351</v>
      </c>
      <c r="B9" s="17" t="n">
        <v>9651</v>
      </c>
      <c r="C9" s="18">
        <f>(8494.0/B9*100)</f>
        <v/>
      </c>
      <c r="D9" s="19" t="n">
        <v>1157</v>
      </c>
      <c r="E9" s="18" t="n">
        <v>15.16391703</v>
      </c>
      <c r="F9" s="20" t="n">
        <v>1.01395614</v>
      </c>
      <c r="G9" s="18" t="n">
        <v>84.08258576999999</v>
      </c>
      <c r="H9" s="20" t="n">
        <v>1.05643521</v>
      </c>
      <c r="I9" s="18" t="s">
        <v>349</v>
      </c>
      <c r="J9" s="20" t="s">
        <v>349</v>
      </c>
      <c r="K9" s="18" t="n">
        <v>0.11057576</v>
      </c>
      <c r="L9" s="20" t="n">
        <v>0.11077886</v>
      </c>
      <c r="M9" s="18" t="n">
        <v>0</v>
      </c>
      <c r="N9" s="20" t="n">
        <v>0</v>
      </c>
      <c r="O9" s="18" t="n">
        <v>0</v>
      </c>
      <c r="P9" s="20" t="n">
        <v>0</v>
      </c>
      <c r="Q9" s="18" t="n">
        <v>0.64292144</v>
      </c>
      <c r="R9" s="20" t="n">
        <v>0.27207795</v>
      </c>
    </row>
    <row r="10" spans="1:18">
      <c r="A10" s="15" t="s">
        <v>352</v>
      </c>
      <c r="B10" s="17" t="n">
        <v>20058</v>
      </c>
      <c r="C10" s="18">
        <f>(17628.0/B10*100)</f>
        <v/>
      </c>
      <c r="D10" s="19" t="n">
        <v>2430</v>
      </c>
      <c r="E10" s="18" t="n">
        <v>15.99861447</v>
      </c>
      <c r="F10" s="20" t="n">
        <v>1.14011733</v>
      </c>
      <c r="G10" s="18" t="n">
        <v>83.27109514</v>
      </c>
      <c r="H10" s="20" t="n">
        <v>1.17851956</v>
      </c>
      <c r="I10" s="18" t="s">
        <v>349</v>
      </c>
      <c r="J10" s="20" t="s">
        <v>349</v>
      </c>
      <c r="K10" s="18" t="n">
        <v>0.04356079</v>
      </c>
      <c r="L10" s="20" t="n">
        <v>0.02488215</v>
      </c>
      <c r="M10" s="18" t="n">
        <v>0</v>
      </c>
      <c r="N10" s="20" t="n">
        <v>0</v>
      </c>
      <c r="O10" s="18" t="n">
        <v>0</v>
      </c>
      <c r="P10" s="20" t="n">
        <v>0</v>
      </c>
      <c r="Q10" s="18" t="n">
        <v>0.6867296000000001</v>
      </c>
      <c r="R10" s="20" t="n">
        <v>0.24071302</v>
      </c>
    </row>
    <row r="11" spans="1:18">
      <c r="A11" s="15" t="s">
        <v>353</v>
      </c>
      <c r="B11" s="17" t="n">
        <v>7053</v>
      </c>
      <c r="C11" s="18">
        <f>(6193.0/B11*100)</f>
        <v/>
      </c>
      <c r="D11" s="19" t="n">
        <v>860</v>
      </c>
      <c r="E11" s="18" t="n">
        <v>24.34683332</v>
      </c>
      <c r="F11" s="20" t="n">
        <v>1.71441678</v>
      </c>
      <c r="G11" s="18" t="n">
        <v>73.46143923</v>
      </c>
      <c r="H11" s="20" t="n">
        <v>1.83954197</v>
      </c>
      <c r="I11" s="18" t="s">
        <v>349</v>
      </c>
      <c r="J11" s="20" t="s">
        <v>349</v>
      </c>
      <c r="K11" s="18" t="n">
        <v>0.22943301</v>
      </c>
      <c r="L11" s="20" t="n">
        <v>0.11880398</v>
      </c>
      <c r="M11" s="18" t="n">
        <v>0</v>
      </c>
      <c r="N11" s="20" t="n">
        <v>0</v>
      </c>
      <c r="O11" s="18" t="n">
        <v>0</v>
      </c>
      <c r="P11" s="20" t="n">
        <v>0</v>
      </c>
      <c r="Q11" s="18" t="n">
        <v>1.96229444</v>
      </c>
      <c r="R11" s="20" t="n">
        <v>0.81020538</v>
      </c>
    </row>
    <row r="12" spans="1:18">
      <c r="A12" s="15" t="s">
        <v>354</v>
      </c>
      <c r="B12" s="17" t="n">
        <v>6894</v>
      </c>
      <c r="C12" s="18">
        <f>(6071.0/B12*100)</f>
        <v/>
      </c>
      <c r="D12" s="19" t="n">
        <v>823</v>
      </c>
      <c r="E12" s="18" t="n">
        <v>15.26440569</v>
      </c>
      <c r="F12" s="20" t="n">
        <v>1.45675567</v>
      </c>
      <c r="G12" s="18" t="n">
        <v>83.95833813</v>
      </c>
      <c r="H12" s="20" t="n">
        <v>1.53041369</v>
      </c>
      <c r="I12" s="18" t="s">
        <v>349</v>
      </c>
      <c r="J12" s="20" t="s">
        <v>349</v>
      </c>
      <c r="K12" s="18" t="n">
        <v>0</v>
      </c>
      <c r="L12" s="20" t="n">
        <v>0</v>
      </c>
      <c r="M12" s="18" t="n">
        <v>0</v>
      </c>
      <c r="N12" s="20" t="n">
        <v>0</v>
      </c>
      <c r="O12" s="18" t="n">
        <v>0</v>
      </c>
      <c r="P12" s="20" t="n">
        <v>0</v>
      </c>
      <c r="Q12" s="18" t="n">
        <v>0.77725618</v>
      </c>
      <c r="R12" s="20" t="n">
        <v>0.37677122</v>
      </c>
    </row>
    <row r="13" spans="1:18">
      <c r="A13" s="15" t="s">
        <v>355</v>
      </c>
      <c r="B13" s="17" t="n">
        <v>7161</v>
      </c>
      <c r="C13" s="18">
        <f>(6335.0/B13*100)</f>
        <v/>
      </c>
      <c r="D13" s="19" t="n">
        <v>826</v>
      </c>
      <c r="E13" s="18" t="n">
        <v>11.32509486</v>
      </c>
      <c r="F13" s="20" t="n">
        <v>1.20686168</v>
      </c>
      <c r="G13" s="18" t="n">
        <v>88.4131517</v>
      </c>
      <c r="H13" s="20" t="n">
        <v>1.22119344</v>
      </c>
      <c r="I13" s="18" t="s">
        <v>349</v>
      </c>
      <c r="J13" s="20" t="s">
        <v>349</v>
      </c>
      <c r="K13" s="18" t="n">
        <v>0.22445712</v>
      </c>
      <c r="L13" s="20" t="n">
        <v>0.17020595</v>
      </c>
      <c r="M13" s="18" t="n">
        <v>0</v>
      </c>
      <c r="N13" s="20" t="n">
        <v>0</v>
      </c>
      <c r="O13" s="18" t="n">
        <v>0</v>
      </c>
      <c r="P13" s="20" t="n">
        <v>0</v>
      </c>
      <c r="Q13" s="18" t="n">
        <v>0.03729631</v>
      </c>
      <c r="R13" s="20" t="n">
        <v>0.03766833</v>
      </c>
    </row>
    <row r="14" spans="1:18">
      <c r="A14" s="15" t="s">
        <v>356</v>
      </c>
      <c r="B14" s="17" t="n">
        <v>5587</v>
      </c>
      <c r="C14" s="18">
        <f>(4887.0/B14*100)</f>
        <v/>
      </c>
      <c r="D14" s="19" t="n">
        <v>700</v>
      </c>
      <c r="E14" s="18" t="n">
        <v>17.53667355</v>
      </c>
      <c r="F14" s="20" t="n">
        <v>1.76860133</v>
      </c>
      <c r="G14" s="18" t="n">
        <v>82.46332645</v>
      </c>
      <c r="H14" s="20" t="n">
        <v>1.76860133</v>
      </c>
      <c r="I14" s="18" t="s">
        <v>349</v>
      </c>
      <c r="J14" s="20" t="s">
        <v>349</v>
      </c>
      <c r="K14" s="18" t="n">
        <v>0</v>
      </c>
      <c r="L14" s="20" t="n">
        <v>0</v>
      </c>
      <c r="M14" s="18" t="n">
        <v>0</v>
      </c>
      <c r="N14" s="20" t="n">
        <v>0</v>
      </c>
      <c r="O14" s="18" t="n">
        <v>0</v>
      </c>
      <c r="P14" s="20" t="n">
        <v>0</v>
      </c>
      <c r="Q14" s="18" t="n">
        <v>0</v>
      </c>
      <c r="R14" s="20" t="n">
        <v>0</v>
      </c>
    </row>
    <row r="15" spans="1:18">
      <c r="A15" s="15" t="s">
        <v>357</v>
      </c>
      <c r="B15" s="17" t="n">
        <v>5882</v>
      </c>
      <c r="C15" s="18">
        <f>(5159.0/B15*100)</f>
        <v/>
      </c>
      <c r="D15" s="19" t="n">
        <v>723</v>
      </c>
      <c r="E15" s="18" t="n">
        <v>13.30923536</v>
      </c>
      <c r="F15" s="20" t="n">
        <v>1.2803021</v>
      </c>
      <c r="G15" s="18" t="n">
        <v>86.31621871</v>
      </c>
      <c r="H15" s="20" t="n">
        <v>1.26624761</v>
      </c>
      <c r="I15" s="18" t="s">
        <v>349</v>
      </c>
      <c r="J15" s="20" t="s">
        <v>349</v>
      </c>
      <c r="K15" s="18" t="n">
        <v>0</v>
      </c>
      <c r="L15" s="20" t="n">
        <v>0</v>
      </c>
      <c r="M15" s="18" t="n">
        <v>0</v>
      </c>
      <c r="N15" s="20" t="n">
        <v>0</v>
      </c>
      <c r="O15" s="18" t="n">
        <v>0</v>
      </c>
      <c r="P15" s="20" t="n">
        <v>0</v>
      </c>
      <c r="Q15" s="18" t="n">
        <v>0.37454593</v>
      </c>
      <c r="R15" s="20" t="n">
        <v>0.21935899</v>
      </c>
    </row>
    <row r="16" spans="1:18">
      <c r="A16" s="15" t="s">
        <v>358</v>
      </c>
      <c r="B16" s="17" t="n">
        <v>6108</v>
      </c>
      <c r="C16" s="18">
        <f>(5340.0/B16*100)</f>
        <v/>
      </c>
      <c r="D16" s="19" t="n">
        <v>768</v>
      </c>
      <c r="E16" s="18" t="n">
        <v>20.6612286</v>
      </c>
      <c r="F16" s="20" t="n">
        <v>1.65054043</v>
      </c>
      <c r="G16" s="18" t="n">
        <v>78.42242179</v>
      </c>
      <c r="H16" s="20" t="n">
        <v>1.63877796</v>
      </c>
      <c r="I16" s="18" t="s">
        <v>349</v>
      </c>
      <c r="J16" s="20" t="s">
        <v>349</v>
      </c>
      <c r="K16" s="18" t="n">
        <v>0</v>
      </c>
      <c r="L16" s="20" t="n">
        <v>0</v>
      </c>
      <c r="M16" s="18" t="n">
        <v>0</v>
      </c>
      <c r="N16" s="20" t="n">
        <v>0</v>
      </c>
      <c r="O16" s="18" t="n">
        <v>0</v>
      </c>
      <c r="P16" s="20" t="n">
        <v>0</v>
      </c>
      <c r="Q16" s="18" t="n">
        <v>0.91634962</v>
      </c>
      <c r="R16" s="20" t="n">
        <v>0.40294053</v>
      </c>
    </row>
    <row r="17" spans="1:18">
      <c r="A17" s="15" t="s">
        <v>359</v>
      </c>
      <c r="B17" s="17" t="n">
        <v>6504</v>
      </c>
      <c r="C17" s="18">
        <f>(5720.0/B17*100)</f>
        <v/>
      </c>
      <c r="D17" s="19" t="n">
        <v>784</v>
      </c>
      <c r="E17" s="18" t="n">
        <v>16.07597948</v>
      </c>
      <c r="F17" s="20" t="n">
        <v>1.27525086</v>
      </c>
      <c r="G17" s="18" t="n">
        <v>83.34915628</v>
      </c>
      <c r="H17" s="20" t="n">
        <v>1.26176663</v>
      </c>
      <c r="I17" s="18" t="s">
        <v>349</v>
      </c>
      <c r="J17" s="20" t="s">
        <v>349</v>
      </c>
      <c r="K17" s="18" t="n">
        <v>0.14339852</v>
      </c>
      <c r="L17" s="20" t="n">
        <v>0.14394947</v>
      </c>
      <c r="M17" s="18" t="n">
        <v>0</v>
      </c>
      <c r="N17" s="20" t="n">
        <v>0</v>
      </c>
      <c r="O17" s="18" t="n">
        <v>0</v>
      </c>
      <c r="P17" s="20" t="n">
        <v>0</v>
      </c>
      <c r="Q17" s="18" t="n">
        <v>0.43146572</v>
      </c>
      <c r="R17" s="20" t="n">
        <v>0.14984105</v>
      </c>
    </row>
    <row r="18" spans="1:18">
      <c r="A18" s="15" t="s">
        <v>360</v>
      </c>
      <c r="B18" s="17" t="n">
        <v>5532</v>
      </c>
      <c r="C18" s="18">
        <f>(4866.0/B18*100)</f>
        <v/>
      </c>
      <c r="D18" s="19" t="n">
        <v>666</v>
      </c>
      <c r="E18" s="18" t="n">
        <v>26.50140648</v>
      </c>
      <c r="F18" s="20" t="n">
        <v>1.86640516</v>
      </c>
      <c r="G18" s="18" t="n">
        <v>72.30530611</v>
      </c>
      <c r="H18" s="20" t="n">
        <v>1.92887778</v>
      </c>
      <c r="I18" s="18" t="s">
        <v>349</v>
      </c>
      <c r="J18" s="20" t="s">
        <v>349</v>
      </c>
      <c r="K18" s="18" t="n">
        <v>0.12256964</v>
      </c>
      <c r="L18" s="20" t="n">
        <v>0.12150401</v>
      </c>
      <c r="M18" s="18" t="n">
        <v>0</v>
      </c>
      <c r="N18" s="20" t="n">
        <v>0</v>
      </c>
      <c r="O18" s="18" t="n">
        <v>0</v>
      </c>
      <c r="P18" s="20" t="n">
        <v>0</v>
      </c>
      <c r="Q18" s="18" t="n">
        <v>1.07071777</v>
      </c>
      <c r="R18" s="20" t="n">
        <v>0.48855684</v>
      </c>
    </row>
    <row r="19" spans="1:18">
      <c r="A19" s="15" t="s">
        <v>361</v>
      </c>
      <c r="B19" s="17" t="n">
        <v>5658</v>
      </c>
      <c r="C19" s="18">
        <f>(4960.0/B19*100)</f>
        <v/>
      </c>
      <c r="D19" s="19" t="n">
        <v>698</v>
      </c>
      <c r="E19" s="18" t="n">
        <v>23.65766036</v>
      </c>
      <c r="F19" s="20" t="n">
        <v>1.68487604</v>
      </c>
      <c r="G19" s="18" t="n">
        <v>75.3243303</v>
      </c>
      <c r="H19" s="20" t="n">
        <v>1.84531342</v>
      </c>
      <c r="I19" s="18" t="s">
        <v>349</v>
      </c>
      <c r="J19" s="20" t="s">
        <v>349</v>
      </c>
      <c r="K19" s="18" t="n">
        <v>0</v>
      </c>
      <c r="L19" s="20" t="n">
        <v>0</v>
      </c>
      <c r="M19" s="18" t="n">
        <v>0</v>
      </c>
      <c r="N19" s="20" t="n">
        <v>0</v>
      </c>
      <c r="O19" s="18" t="n">
        <v>0</v>
      </c>
      <c r="P19" s="20" t="n">
        <v>0</v>
      </c>
      <c r="Q19" s="18" t="n">
        <v>1.01800934</v>
      </c>
      <c r="R19" s="20" t="n">
        <v>0.43085891</v>
      </c>
    </row>
    <row r="20" spans="1:18">
      <c r="A20" s="15" t="s">
        <v>362</v>
      </c>
      <c r="B20" s="17" t="n">
        <v>3371</v>
      </c>
      <c r="C20" s="18">
        <f>(2936.0/B20*100)</f>
        <v/>
      </c>
      <c r="D20" s="19" t="n">
        <v>435</v>
      </c>
      <c r="E20" s="18" t="n">
        <v>15.79944523</v>
      </c>
      <c r="F20" s="20" t="n">
        <v>1.83179081</v>
      </c>
      <c r="G20" s="18" t="n">
        <v>83.50290871999999</v>
      </c>
      <c r="H20" s="20" t="n">
        <v>1.84474699</v>
      </c>
      <c r="I20" s="18" t="s">
        <v>349</v>
      </c>
      <c r="J20" s="20" t="s">
        <v>349</v>
      </c>
      <c r="K20" s="18" t="n">
        <v>0.22631516</v>
      </c>
      <c r="L20" s="20" t="n">
        <v>0.23024743</v>
      </c>
      <c r="M20" s="18" t="n">
        <v>0</v>
      </c>
      <c r="N20" s="20" t="n">
        <v>0</v>
      </c>
      <c r="O20" s="18" t="n">
        <v>0</v>
      </c>
      <c r="P20" s="20" t="n">
        <v>0</v>
      </c>
      <c r="Q20" s="18" t="n">
        <v>0.47133089</v>
      </c>
      <c r="R20" s="20" t="n">
        <v>0.33524341</v>
      </c>
    </row>
    <row r="21" spans="1:18">
      <c r="A21" s="15" t="s">
        <v>363</v>
      </c>
      <c r="B21" s="17" t="n">
        <v>5741</v>
      </c>
      <c r="C21" s="18">
        <f>(4809.0/B21*100)</f>
        <v/>
      </c>
      <c r="D21" s="19" t="n">
        <v>932</v>
      </c>
      <c r="E21" s="18" t="n">
        <v>24.67304695</v>
      </c>
      <c r="F21" s="20" t="n">
        <v>1.48079657</v>
      </c>
      <c r="G21" s="18" t="n">
        <v>74.91447247000001</v>
      </c>
      <c r="H21" s="20" t="n">
        <v>1.47021644</v>
      </c>
      <c r="I21" s="18" t="s">
        <v>349</v>
      </c>
      <c r="J21" s="20" t="s">
        <v>349</v>
      </c>
      <c r="K21" s="18" t="n">
        <v>0.08611700999999999</v>
      </c>
      <c r="L21" s="20" t="n">
        <v>0.08600604000000001</v>
      </c>
      <c r="M21" s="18" t="n">
        <v>0</v>
      </c>
      <c r="N21" s="20" t="n">
        <v>0</v>
      </c>
      <c r="O21" s="18" t="n">
        <v>0</v>
      </c>
      <c r="P21" s="20" t="n">
        <v>0</v>
      </c>
      <c r="Q21" s="18" t="n">
        <v>0.32636357</v>
      </c>
      <c r="R21" s="20" t="n">
        <v>0.18270541</v>
      </c>
    </row>
    <row r="22" spans="1:18">
      <c r="A22" s="15" t="s">
        <v>364</v>
      </c>
      <c r="B22" s="17" t="n">
        <v>6598</v>
      </c>
      <c r="C22" s="18">
        <f>(5769.0/B22*100)</f>
        <v/>
      </c>
      <c r="D22" s="19" t="n">
        <v>829</v>
      </c>
      <c r="E22" s="18" t="n">
        <v>33.84723096</v>
      </c>
      <c r="F22" s="20" t="n">
        <v>1.58497616</v>
      </c>
      <c r="G22" s="18" t="n">
        <v>64.74650187</v>
      </c>
      <c r="H22" s="20" t="n">
        <v>1.61714235</v>
      </c>
      <c r="I22" s="18" t="s">
        <v>349</v>
      </c>
      <c r="J22" s="20" t="s">
        <v>349</v>
      </c>
      <c r="K22" s="18" t="n">
        <v>0</v>
      </c>
      <c r="L22" s="20" t="n">
        <v>0</v>
      </c>
      <c r="M22" s="18" t="n">
        <v>0</v>
      </c>
      <c r="N22" s="20" t="n">
        <v>0</v>
      </c>
      <c r="O22" s="18" t="n">
        <v>0</v>
      </c>
      <c r="P22" s="20" t="n">
        <v>0</v>
      </c>
      <c r="Q22" s="18" t="n">
        <v>1.40626717</v>
      </c>
      <c r="R22" s="20" t="n">
        <v>0.41357031</v>
      </c>
    </row>
    <row r="23" spans="1:18">
      <c r="A23" s="15" t="s">
        <v>365</v>
      </c>
      <c r="B23" s="17" t="n">
        <v>11583</v>
      </c>
      <c r="C23" s="18">
        <f>(10150.0/B23*100)</f>
        <v/>
      </c>
      <c r="D23" s="19" t="n">
        <v>1433</v>
      </c>
      <c r="E23" s="18" t="n">
        <v>20.14213849</v>
      </c>
      <c r="F23" s="20" t="n">
        <v>1.633735</v>
      </c>
      <c r="G23" s="18" t="n">
        <v>79.19894812</v>
      </c>
      <c r="H23" s="20" t="n">
        <v>1.69940723</v>
      </c>
      <c r="I23" s="18" t="s">
        <v>349</v>
      </c>
      <c r="J23" s="20" t="s">
        <v>349</v>
      </c>
      <c r="K23" s="18" t="n">
        <v>0.14256789</v>
      </c>
      <c r="L23" s="20" t="n">
        <v>0.10976729</v>
      </c>
      <c r="M23" s="18" t="n">
        <v>0</v>
      </c>
      <c r="N23" s="20" t="n">
        <v>0</v>
      </c>
      <c r="O23" s="18" t="n">
        <v>0</v>
      </c>
      <c r="P23" s="20" t="n">
        <v>0</v>
      </c>
      <c r="Q23" s="18" t="n">
        <v>0.5163455</v>
      </c>
      <c r="R23" s="20" t="n">
        <v>0.2797441</v>
      </c>
    </row>
    <row r="24" spans="1:18">
      <c r="A24" s="15" t="s">
        <v>366</v>
      </c>
      <c r="B24" s="17" t="n">
        <v>6647</v>
      </c>
      <c r="C24" s="18">
        <f>(5811.0/B24*100)</f>
        <v/>
      </c>
      <c r="D24" s="19" t="n">
        <v>836</v>
      </c>
      <c r="E24" s="18" t="n">
        <v>12.81361531</v>
      </c>
      <c r="F24" s="20" t="n">
        <v>1.14623738</v>
      </c>
      <c r="G24" s="18" t="n">
        <v>87.06100332</v>
      </c>
      <c r="H24" s="20" t="n">
        <v>1.18227115</v>
      </c>
      <c r="I24" s="18" t="s">
        <v>349</v>
      </c>
      <c r="J24" s="20" t="s">
        <v>349</v>
      </c>
      <c r="K24" s="18" t="n">
        <v>0.12538137</v>
      </c>
      <c r="L24" s="20" t="n">
        <v>0.12151911</v>
      </c>
      <c r="M24" s="18" t="n">
        <v>0</v>
      </c>
      <c r="N24" s="20" t="n">
        <v>0</v>
      </c>
      <c r="O24" s="18" t="n">
        <v>0</v>
      </c>
      <c r="P24" s="20" t="n">
        <v>0</v>
      </c>
      <c r="Q24" s="18" t="n">
        <v>0</v>
      </c>
      <c r="R24" s="20" t="n">
        <v>0</v>
      </c>
    </row>
    <row r="25" spans="1:18">
      <c r="A25" s="15" t="s">
        <v>367</v>
      </c>
      <c r="B25" s="17" t="n">
        <v>5581</v>
      </c>
      <c r="C25" s="18">
        <f>(4887.0/B25*100)</f>
        <v/>
      </c>
      <c r="D25" s="19" t="n">
        <v>694</v>
      </c>
      <c r="E25" s="18" t="n">
        <v>21.0936176</v>
      </c>
      <c r="F25" s="20" t="n">
        <v>1.61435471</v>
      </c>
      <c r="G25" s="18" t="n">
        <v>78.9063824</v>
      </c>
      <c r="H25" s="20" t="n">
        <v>1.61435471</v>
      </c>
      <c r="I25" s="18" t="s">
        <v>349</v>
      </c>
      <c r="J25" s="20" t="s">
        <v>349</v>
      </c>
      <c r="K25" s="18" t="n">
        <v>0</v>
      </c>
      <c r="L25" s="20" t="n">
        <v>0</v>
      </c>
      <c r="M25" s="18" t="n">
        <v>0</v>
      </c>
      <c r="N25" s="20" t="n">
        <v>0</v>
      </c>
      <c r="O25" s="18" t="n">
        <v>0</v>
      </c>
      <c r="P25" s="20" t="n">
        <v>0</v>
      </c>
      <c r="Q25" s="18" t="n">
        <v>0</v>
      </c>
      <c r="R25" s="20" t="n">
        <v>0</v>
      </c>
    </row>
    <row r="26" spans="1:18">
      <c r="A26" s="15" t="s">
        <v>368</v>
      </c>
      <c r="B26" s="17" t="n">
        <v>4869</v>
      </c>
      <c r="C26" s="18">
        <f>(4282.0/B26*100)</f>
        <v/>
      </c>
      <c r="D26" s="19" t="n">
        <v>587</v>
      </c>
      <c r="E26" s="18" t="n">
        <v>22.20883757</v>
      </c>
      <c r="F26" s="20" t="n">
        <v>2.02941737</v>
      </c>
      <c r="G26" s="18" t="n">
        <v>77.42028261999999</v>
      </c>
      <c r="H26" s="20" t="n">
        <v>2.03492065</v>
      </c>
      <c r="I26" s="18" t="s">
        <v>349</v>
      </c>
      <c r="J26" s="20" t="s">
        <v>349</v>
      </c>
      <c r="K26" s="18" t="n">
        <v>0</v>
      </c>
      <c r="L26" s="20" t="n">
        <v>0</v>
      </c>
      <c r="M26" s="18" t="n">
        <v>0</v>
      </c>
      <c r="N26" s="20" t="n">
        <v>0</v>
      </c>
      <c r="O26" s="18" t="n">
        <v>0</v>
      </c>
      <c r="P26" s="20" t="n">
        <v>0</v>
      </c>
      <c r="Q26" s="18" t="n">
        <v>0.37087981</v>
      </c>
      <c r="R26" s="20" t="n">
        <v>0.27146979</v>
      </c>
    </row>
    <row r="27" spans="1:18">
      <c r="A27" s="15" t="s">
        <v>369</v>
      </c>
      <c r="B27" s="17" t="n">
        <v>5299</v>
      </c>
      <c r="C27" s="18">
        <f>(4663.0/B27*100)</f>
        <v/>
      </c>
      <c r="D27" s="19" t="n">
        <v>636</v>
      </c>
      <c r="E27" s="18" t="n">
        <v>15.90317763</v>
      </c>
      <c r="F27" s="20" t="n">
        <v>1.15717097</v>
      </c>
      <c r="G27" s="18" t="n">
        <v>83.61415671</v>
      </c>
      <c r="H27" s="20" t="n">
        <v>1.19697097</v>
      </c>
      <c r="I27" s="18" t="s">
        <v>349</v>
      </c>
      <c r="J27" s="20" t="s">
        <v>349</v>
      </c>
      <c r="K27" s="18" t="n">
        <v>0</v>
      </c>
      <c r="L27" s="20" t="n">
        <v>0</v>
      </c>
      <c r="M27" s="18" t="n">
        <v>0</v>
      </c>
      <c r="N27" s="20" t="n">
        <v>0</v>
      </c>
      <c r="O27" s="18" t="n">
        <v>0</v>
      </c>
      <c r="P27" s="20" t="n">
        <v>0</v>
      </c>
      <c r="Q27" s="18" t="n">
        <v>0.48266565</v>
      </c>
      <c r="R27" s="20" t="n">
        <v>0.27775505</v>
      </c>
    </row>
    <row r="28" spans="1:18">
      <c r="A28" s="15" t="s">
        <v>370</v>
      </c>
      <c r="B28" s="17" t="n">
        <v>7568</v>
      </c>
      <c r="C28" s="18">
        <f>(6657.0/B28*100)</f>
        <v/>
      </c>
      <c r="D28" s="19" t="n">
        <v>911</v>
      </c>
      <c r="E28" s="18" t="n">
        <v>33.94642906</v>
      </c>
      <c r="F28" s="20" t="n">
        <v>1.7547657</v>
      </c>
      <c r="G28" s="18" t="n">
        <v>64.92125699</v>
      </c>
      <c r="H28" s="20" t="n">
        <v>1.6790735</v>
      </c>
      <c r="I28" s="18" t="s">
        <v>349</v>
      </c>
      <c r="J28" s="20" t="s">
        <v>349</v>
      </c>
      <c r="K28" s="18" t="n">
        <v>0</v>
      </c>
      <c r="L28" s="20" t="n">
        <v>0</v>
      </c>
      <c r="M28" s="18" t="n">
        <v>0</v>
      </c>
      <c r="N28" s="20" t="n">
        <v>0</v>
      </c>
      <c r="O28" s="18" t="n">
        <v>0</v>
      </c>
      <c r="P28" s="20" t="n">
        <v>0</v>
      </c>
      <c r="Q28" s="18" t="n">
        <v>1.13231396</v>
      </c>
      <c r="R28" s="20" t="n">
        <v>0.44444313</v>
      </c>
    </row>
    <row r="29" spans="1:18">
      <c r="A29" s="15" t="s">
        <v>371</v>
      </c>
      <c r="B29" s="17" t="n">
        <v>5385</v>
      </c>
      <c r="C29" s="18">
        <f>(4744.0/B29*100)</f>
        <v/>
      </c>
      <c r="D29" s="19" t="n">
        <v>641</v>
      </c>
      <c r="E29" s="18" t="n">
        <v>15.98811367</v>
      </c>
      <c r="F29" s="20" t="n">
        <v>1.53662112</v>
      </c>
      <c r="G29" s="18" t="n">
        <v>83.85388076</v>
      </c>
      <c r="H29" s="20" t="n">
        <v>1.52992523</v>
      </c>
      <c r="I29" s="18" t="s">
        <v>349</v>
      </c>
      <c r="J29" s="20" t="s">
        <v>349</v>
      </c>
      <c r="K29" s="18" t="n">
        <v>0</v>
      </c>
      <c r="L29" s="20" t="n">
        <v>0</v>
      </c>
      <c r="M29" s="18" t="n">
        <v>0</v>
      </c>
      <c r="N29" s="20" t="n">
        <v>0</v>
      </c>
      <c r="O29" s="18" t="n">
        <v>0</v>
      </c>
      <c r="P29" s="20" t="n">
        <v>0</v>
      </c>
      <c r="Q29" s="18" t="n">
        <v>0.15800558</v>
      </c>
      <c r="R29" s="20" t="n">
        <v>0.1740018</v>
      </c>
    </row>
    <row r="30" spans="1:18">
      <c r="A30" s="15" t="s">
        <v>372</v>
      </c>
      <c r="B30" s="17" t="n">
        <v>4520</v>
      </c>
      <c r="C30" s="18">
        <f>(3950.0/B30*100)</f>
        <v/>
      </c>
      <c r="D30" s="19" t="n">
        <v>570</v>
      </c>
      <c r="E30" s="18" t="n">
        <v>19.88940104</v>
      </c>
      <c r="F30" s="20" t="n">
        <v>1.79127321</v>
      </c>
      <c r="G30" s="18" t="n">
        <v>79.66476781</v>
      </c>
      <c r="H30" s="20" t="n">
        <v>1.7954856</v>
      </c>
      <c r="I30" s="18" t="s">
        <v>349</v>
      </c>
      <c r="J30" s="20" t="s">
        <v>349</v>
      </c>
      <c r="K30" s="18" t="n">
        <v>0</v>
      </c>
      <c r="L30" s="20" t="n">
        <v>0</v>
      </c>
      <c r="M30" s="18" t="n">
        <v>0</v>
      </c>
      <c r="N30" s="20" t="n">
        <v>0</v>
      </c>
      <c r="O30" s="18" t="n">
        <v>0</v>
      </c>
      <c r="P30" s="20" t="n">
        <v>0</v>
      </c>
      <c r="Q30" s="18" t="n">
        <v>0.44583114</v>
      </c>
      <c r="R30" s="20" t="n">
        <v>0.27164671</v>
      </c>
    </row>
    <row r="31" spans="1:18">
      <c r="A31" s="15" t="s">
        <v>373</v>
      </c>
      <c r="B31" s="17" t="n">
        <v>5456</v>
      </c>
      <c r="C31" s="18">
        <f>(4759.0/B31*100)</f>
        <v/>
      </c>
      <c r="D31" s="19" t="n">
        <v>697</v>
      </c>
      <c r="E31" s="18" t="n">
        <v>16.64614614</v>
      </c>
      <c r="F31" s="20" t="n">
        <v>1.4347386</v>
      </c>
      <c r="G31" s="18" t="n">
        <v>82.68438327</v>
      </c>
      <c r="H31" s="20" t="n">
        <v>1.46115066</v>
      </c>
      <c r="I31" s="18" t="s">
        <v>349</v>
      </c>
      <c r="J31" s="20" t="s">
        <v>349</v>
      </c>
      <c r="K31" s="18" t="n">
        <v>0</v>
      </c>
      <c r="L31" s="20" t="n">
        <v>0</v>
      </c>
      <c r="M31" s="18" t="n">
        <v>0</v>
      </c>
      <c r="N31" s="20" t="n">
        <v>0</v>
      </c>
      <c r="O31" s="18" t="n">
        <v>0</v>
      </c>
      <c r="P31" s="20" t="n">
        <v>0</v>
      </c>
      <c r="Q31" s="18" t="n">
        <v>0.66947059</v>
      </c>
      <c r="R31" s="20" t="n">
        <v>0.30406948</v>
      </c>
    </row>
    <row r="32" spans="1:18">
      <c r="A32" s="15" t="s">
        <v>374</v>
      </c>
      <c r="B32" s="17" t="n">
        <v>4478</v>
      </c>
      <c r="C32" s="18">
        <f>(3755.0/B32*100)</f>
        <v/>
      </c>
      <c r="D32" s="19" t="n">
        <v>723</v>
      </c>
      <c r="E32" s="18" t="n">
        <v>23.10995807</v>
      </c>
      <c r="F32" s="20" t="n">
        <v>1.73736424</v>
      </c>
      <c r="G32" s="18" t="n">
        <v>76.48555146</v>
      </c>
      <c r="H32" s="20" t="n">
        <v>1.75364337</v>
      </c>
      <c r="I32" s="18" t="s">
        <v>349</v>
      </c>
      <c r="J32" s="20" t="s">
        <v>349</v>
      </c>
      <c r="K32" s="18" t="n">
        <v>0</v>
      </c>
      <c r="L32" s="20" t="n">
        <v>0</v>
      </c>
      <c r="M32" s="18" t="n">
        <v>0</v>
      </c>
      <c r="N32" s="20" t="n">
        <v>0</v>
      </c>
      <c r="O32" s="18" t="n">
        <v>0</v>
      </c>
      <c r="P32" s="20" t="n">
        <v>0</v>
      </c>
      <c r="Q32" s="18" t="n">
        <v>0.40449047</v>
      </c>
      <c r="R32" s="20" t="n">
        <v>0.29206722</v>
      </c>
    </row>
    <row r="33" spans="1:18">
      <c r="A33" s="15" t="s">
        <v>375</v>
      </c>
      <c r="B33" s="17" t="n">
        <v>7325</v>
      </c>
      <c r="C33" s="18">
        <f>(6408.0/B33*100)</f>
        <v/>
      </c>
      <c r="D33" s="19" t="n">
        <v>917</v>
      </c>
      <c r="E33" s="18" t="n">
        <v>20.04677185</v>
      </c>
      <c r="F33" s="20" t="n">
        <v>1.41733109</v>
      </c>
      <c r="G33" s="18" t="n">
        <v>79.0631376</v>
      </c>
      <c r="H33" s="20" t="n">
        <v>1.42594538</v>
      </c>
      <c r="I33" s="18" t="s">
        <v>349</v>
      </c>
      <c r="J33" s="20" t="s">
        <v>349</v>
      </c>
      <c r="K33" s="18" t="n">
        <v>0.16776336</v>
      </c>
      <c r="L33" s="20" t="n">
        <v>0.14067801</v>
      </c>
      <c r="M33" s="18" t="n">
        <v>0</v>
      </c>
      <c r="N33" s="20" t="n">
        <v>0</v>
      </c>
      <c r="O33" s="18" t="n">
        <v>0</v>
      </c>
      <c r="P33" s="20" t="n">
        <v>0</v>
      </c>
      <c r="Q33" s="18" t="n">
        <v>0.72232719</v>
      </c>
      <c r="R33" s="20" t="n">
        <v>0.33269462</v>
      </c>
    </row>
    <row r="34" spans="1:18">
      <c r="A34" s="15" t="s">
        <v>376</v>
      </c>
      <c r="B34" s="17" t="n">
        <v>6350</v>
      </c>
      <c r="C34" s="18">
        <f>(5577.0/B34*100)</f>
        <v/>
      </c>
      <c r="D34" s="19" t="n">
        <v>773</v>
      </c>
      <c r="E34" s="18" t="n">
        <v>22.07722281</v>
      </c>
      <c r="F34" s="20" t="n">
        <v>1.86379682</v>
      </c>
      <c r="G34" s="18" t="n">
        <v>76.73570682</v>
      </c>
      <c r="H34" s="20" t="n">
        <v>1.80686666</v>
      </c>
      <c r="I34" s="18" t="s">
        <v>349</v>
      </c>
      <c r="J34" s="20" t="s">
        <v>349</v>
      </c>
      <c r="K34" s="18" t="n">
        <v>0.19083877</v>
      </c>
      <c r="L34" s="20" t="n">
        <v>0.18891793</v>
      </c>
      <c r="M34" s="18" t="n">
        <v>0</v>
      </c>
      <c r="N34" s="20" t="n">
        <v>0</v>
      </c>
      <c r="O34" s="18" t="n">
        <v>0</v>
      </c>
      <c r="P34" s="20" t="n">
        <v>0</v>
      </c>
      <c r="Q34" s="18" t="n">
        <v>0.99623161</v>
      </c>
      <c r="R34" s="20" t="n">
        <v>0.34730009</v>
      </c>
    </row>
    <row r="35" spans="1:18">
      <c r="A35" s="15" t="s">
        <v>377</v>
      </c>
      <c r="B35" s="17" t="n">
        <v>6406</v>
      </c>
      <c r="C35" s="18">
        <f>(5637.0/B35*100)</f>
        <v/>
      </c>
      <c r="D35" s="19" t="n">
        <v>769</v>
      </c>
      <c r="E35" s="18" t="n">
        <v>19.05367016</v>
      </c>
      <c r="F35" s="20" t="n">
        <v>1.99513129</v>
      </c>
      <c r="G35" s="18" t="n">
        <v>80.15706548999999</v>
      </c>
      <c r="H35" s="20" t="n">
        <v>2.08690369</v>
      </c>
      <c r="I35" s="18" t="s">
        <v>349</v>
      </c>
      <c r="J35" s="20" t="s">
        <v>349</v>
      </c>
      <c r="K35" s="18" t="n">
        <v>0</v>
      </c>
      <c r="L35" s="20" t="n">
        <v>0</v>
      </c>
      <c r="M35" s="18" t="n">
        <v>0</v>
      </c>
      <c r="N35" s="20" t="n">
        <v>0</v>
      </c>
      <c r="O35" s="18" t="n">
        <v>0</v>
      </c>
      <c r="P35" s="20" t="n">
        <v>0</v>
      </c>
      <c r="Q35" s="18" t="n">
        <v>0.7892643499999999</v>
      </c>
      <c r="R35" s="20" t="n">
        <v>0.49825209</v>
      </c>
    </row>
    <row r="36" spans="1:18">
      <c r="A36" s="15" t="s">
        <v>378</v>
      </c>
      <c r="B36" s="17" t="n">
        <v>6736</v>
      </c>
      <c r="C36" s="18">
        <f>(5921.0/B36*100)</f>
        <v/>
      </c>
      <c r="D36" s="19" t="n">
        <v>815</v>
      </c>
      <c r="E36" s="18" t="n">
        <v>21.90462213</v>
      </c>
      <c r="F36" s="20" t="n">
        <v>1.43362662</v>
      </c>
      <c r="G36" s="18" t="n">
        <v>77.51812237999999</v>
      </c>
      <c r="H36" s="20" t="n">
        <v>1.39858649</v>
      </c>
      <c r="I36" s="18" t="s">
        <v>349</v>
      </c>
      <c r="J36" s="20" t="s">
        <v>349</v>
      </c>
      <c r="K36" s="18" t="n">
        <v>0.33491496</v>
      </c>
      <c r="L36" s="20" t="n">
        <v>0.24050018</v>
      </c>
      <c r="M36" s="18" t="n">
        <v>0</v>
      </c>
      <c r="N36" s="20" t="n">
        <v>0</v>
      </c>
      <c r="O36" s="18" t="n">
        <v>0</v>
      </c>
      <c r="P36" s="20" t="n">
        <v>0</v>
      </c>
      <c r="Q36" s="18" t="n">
        <v>0.24234052</v>
      </c>
      <c r="R36" s="20" t="n">
        <v>0.18685683</v>
      </c>
    </row>
    <row r="37" spans="1:18">
      <c r="A37" s="15" t="s">
        <v>379</v>
      </c>
      <c r="B37" s="17" t="n">
        <v>5458</v>
      </c>
      <c r="C37" s="18">
        <f>(4826.0/B37*100)</f>
        <v/>
      </c>
      <c r="D37" s="19" t="n">
        <v>632</v>
      </c>
      <c r="E37" s="18" t="n">
        <v>14.78898217</v>
      </c>
      <c r="F37" s="20" t="n">
        <v>1.35953518</v>
      </c>
      <c r="G37" s="18" t="n">
        <v>84.1277085</v>
      </c>
      <c r="H37" s="20" t="n">
        <v>1.42682374</v>
      </c>
      <c r="I37" s="18" t="s">
        <v>349</v>
      </c>
      <c r="J37" s="20" t="s">
        <v>349</v>
      </c>
      <c r="K37" s="18" t="n">
        <v>0.17684372</v>
      </c>
      <c r="L37" s="20" t="n">
        <v>0.17467745</v>
      </c>
      <c r="M37" s="18" t="n">
        <v>0</v>
      </c>
      <c r="N37" s="20" t="n">
        <v>0</v>
      </c>
      <c r="O37" s="18" t="n">
        <v>0</v>
      </c>
      <c r="P37" s="20" t="n">
        <v>0</v>
      </c>
      <c r="Q37" s="18" t="n">
        <v>0.90646561</v>
      </c>
      <c r="R37" s="20" t="n">
        <v>0.37129588</v>
      </c>
    </row>
    <row r="38" spans="1:18">
      <c r="A38" s="15" t="s">
        <v>380</v>
      </c>
      <c r="B38" s="17" t="n">
        <v>5860</v>
      </c>
      <c r="C38" s="18">
        <f>(4894.0/B38*100)</f>
        <v/>
      </c>
      <c r="D38" s="19" t="n">
        <v>966</v>
      </c>
      <c r="E38" s="18" t="n">
        <v>11.29089648</v>
      </c>
      <c r="F38" s="20" t="n">
        <v>1.32728098</v>
      </c>
      <c r="G38" s="18" t="n">
        <v>88.31040596</v>
      </c>
      <c r="H38" s="20" t="n">
        <v>1.35708469</v>
      </c>
      <c r="I38" s="18" t="s">
        <v>349</v>
      </c>
      <c r="J38" s="20" t="s">
        <v>349</v>
      </c>
      <c r="K38" s="18" t="n">
        <v>0</v>
      </c>
      <c r="L38" s="20" t="n">
        <v>0</v>
      </c>
      <c r="M38" s="18" t="n">
        <v>0</v>
      </c>
      <c r="N38" s="20" t="n">
        <v>0</v>
      </c>
      <c r="O38" s="18" t="n">
        <v>0</v>
      </c>
      <c r="P38" s="20" t="n">
        <v>0</v>
      </c>
      <c r="Q38" s="18" t="n">
        <v>0.39869756</v>
      </c>
      <c r="R38" s="20" t="n">
        <v>0.21368545</v>
      </c>
    </row>
    <row r="39" spans="1:18">
      <c r="A39" s="15" t="s">
        <v>381</v>
      </c>
      <c r="B39" s="17" t="n">
        <v>5895</v>
      </c>
      <c r="C39" s="18">
        <f>(5171.0/B39*100)</f>
        <v/>
      </c>
      <c r="D39" s="19" t="n">
        <v>724</v>
      </c>
      <c r="E39" s="18" t="n">
        <v>39.23703631</v>
      </c>
      <c r="F39" s="20" t="n">
        <v>1.9352338</v>
      </c>
      <c r="G39" s="18" t="n">
        <v>58.23401393</v>
      </c>
      <c r="H39" s="20" t="n">
        <v>2.09647384</v>
      </c>
      <c r="I39" s="18" t="s">
        <v>349</v>
      </c>
      <c r="J39" s="20" t="s">
        <v>349</v>
      </c>
      <c r="K39" s="18" t="n">
        <v>0.15145627</v>
      </c>
      <c r="L39" s="20" t="n">
        <v>0.21487175</v>
      </c>
      <c r="M39" s="18" t="n">
        <v>0</v>
      </c>
      <c r="N39" s="20" t="n">
        <v>0</v>
      </c>
      <c r="O39" s="18" t="n">
        <v>0</v>
      </c>
      <c r="P39" s="20" t="n">
        <v>0</v>
      </c>
      <c r="Q39" s="18" t="n">
        <v>2.3774935</v>
      </c>
      <c r="R39" s="20" t="n">
        <v>0.71365736</v>
      </c>
    </row>
    <row r="40" spans="1:18">
      <c r="A40" s="15" t="s">
        <v>382</v>
      </c>
      <c r="B40" s="17" t="n">
        <v>14157</v>
      </c>
      <c r="C40" s="18">
        <f>(12402.0/B40*100)</f>
        <v/>
      </c>
      <c r="D40" s="19" t="n">
        <v>1755</v>
      </c>
      <c r="E40" s="18" t="n">
        <v>21.46617947</v>
      </c>
      <c r="F40" s="20" t="n">
        <v>1.53656193</v>
      </c>
      <c r="G40" s="18" t="n">
        <v>77.78330526000001</v>
      </c>
      <c r="H40" s="20" t="n">
        <v>1.51226879</v>
      </c>
      <c r="I40" s="18" t="s">
        <v>349</v>
      </c>
      <c r="J40" s="20" t="s">
        <v>349</v>
      </c>
      <c r="K40" s="18" t="n">
        <v>0</v>
      </c>
      <c r="L40" s="20" t="n">
        <v>0</v>
      </c>
      <c r="M40" s="18" t="n">
        <v>0</v>
      </c>
      <c r="N40" s="20" t="n">
        <v>0</v>
      </c>
      <c r="O40" s="18" t="n">
        <v>0</v>
      </c>
      <c r="P40" s="20" t="n">
        <v>0</v>
      </c>
      <c r="Q40" s="18" t="n">
        <v>0.75051528</v>
      </c>
      <c r="R40" s="20" t="n">
        <v>0.37105198</v>
      </c>
    </row>
    <row r="41" spans="1:18">
      <c r="A41" s="15" t="s">
        <v>383</v>
      </c>
      <c r="B41" s="17" t="n">
        <v>5712</v>
      </c>
      <c r="C41" s="18">
        <f>(5045.0/B41*100)</f>
        <v/>
      </c>
      <c r="D41" s="19" t="n">
        <v>667</v>
      </c>
      <c r="E41" s="18" t="n">
        <v>22.03197963</v>
      </c>
      <c r="F41" s="20" t="n">
        <v>1.81244666</v>
      </c>
      <c r="G41" s="18" t="n">
        <v>77.53651918</v>
      </c>
      <c r="H41" s="20" t="n">
        <v>1.83707756</v>
      </c>
      <c r="I41" s="18" t="s">
        <v>349</v>
      </c>
      <c r="J41" s="20" t="s">
        <v>349</v>
      </c>
      <c r="K41" s="18" t="n">
        <v>0.14239308</v>
      </c>
      <c r="L41" s="20" t="n">
        <v>0.13796651</v>
      </c>
      <c r="M41" s="18" t="n">
        <v>0</v>
      </c>
      <c r="N41" s="20" t="n">
        <v>0</v>
      </c>
      <c r="O41" s="18" t="n">
        <v>0</v>
      </c>
      <c r="P41" s="20" t="n">
        <v>0</v>
      </c>
      <c r="Q41" s="18" t="n">
        <v>0.28910811</v>
      </c>
      <c r="R41" s="20" t="n">
        <v>0.21088926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(20413.0/B46*100)</f>
        <v/>
      </c>
      <c r="D46" s="19" t="n">
        <v>2728</v>
      </c>
      <c r="E46" s="18" t="n">
        <v>35.3042485</v>
      </c>
      <c r="F46" s="20" t="n">
        <v>1.12762253</v>
      </c>
      <c r="G46" s="18" t="n">
        <v>61.070833</v>
      </c>
      <c r="H46" s="20" t="n">
        <v>1.11067106</v>
      </c>
      <c r="I46" s="18" t="s">
        <v>349</v>
      </c>
      <c r="J46" s="20" t="s">
        <v>349</v>
      </c>
      <c r="K46" s="18" t="n">
        <v>0.28005738</v>
      </c>
      <c r="L46" s="20" t="n">
        <v>0.1284521</v>
      </c>
      <c r="M46" s="18" t="n">
        <v>0</v>
      </c>
      <c r="N46" s="20" t="n">
        <v>0</v>
      </c>
      <c r="O46" s="18" t="n">
        <v>0</v>
      </c>
      <c r="P46" s="20" t="n">
        <v>0</v>
      </c>
      <c r="Q46" s="18" t="n">
        <v>3.34486113</v>
      </c>
      <c r="R46" s="20" t="n">
        <v>0.43888</v>
      </c>
    </row>
    <row r="47" spans="1:18">
      <c r="A47" s="15" t="s">
        <v>389</v>
      </c>
      <c r="B47" s="17" t="n">
        <v>5928</v>
      </c>
      <c r="C47" s="18">
        <f>(5210.0/B47*100)</f>
        <v/>
      </c>
      <c r="D47" s="19" t="n">
        <v>718</v>
      </c>
      <c r="E47" s="18" t="n">
        <v>28.89316325</v>
      </c>
      <c r="F47" s="20" t="n">
        <v>1.76988911</v>
      </c>
      <c r="G47" s="18" t="n">
        <v>69.18610931000001</v>
      </c>
      <c r="H47" s="20" t="n">
        <v>1.88247431</v>
      </c>
      <c r="I47" s="18" t="s">
        <v>349</v>
      </c>
      <c r="J47" s="20" t="s">
        <v>349</v>
      </c>
      <c r="K47" s="18" t="n">
        <v>0</v>
      </c>
      <c r="L47" s="20" t="n">
        <v>0</v>
      </c>
      <c r="M47" s="18" t="n">
        <v>0</v>
      </c>
      <c r="N47" s="20" t="n">
        <v>0</v>
      </c>
      <c r="O47" s="18" t="n">
        <v>0</v>
      </c>
      <c r="P47" s="20" t="n">
        <v>0</v>
      </c>
      <c r="Q47" s="18" t="n">
        <v>1.92072743</v>
      </c>
      <c r="R47" s="20" t="n">
        <v>0.55656406</v>
      </c>
    </row>
    <row r="48" spans="1:18">
      <c r="A48" s="15" t="s">
        <v>390</v>
      </c>
      <c r="B48" s="17" t="n">
        <v>9841</v>
      </c>
      <c r="C48" s="18">
        <f>(8598.0/B48*100)</f>
        <v/>
      </c>
      <c r="D48" s="19" t="n">
        <v>1243</v>
      </c>
      <c r="E48" s="18" t="n">
        <v>27.05532416</v>
      </c>
      <c r="F48" s="20" t="n">
        <v>1.88032502</v>
      </c>
      <c r="G48" s="18" t="n">
        <v>71.86560133</v>
      </c>
      <c r="H48" s="20" t="n">
        <v>1.90746189</v>
      </c>
      <c r="I48" s="18" t="s">
        <v>349</v>
      </c>
      <c r="J48" s="20" t="s">
        <v>349</v>
      </c>
      <c r="K48" s="18" t="n">
        <v>0.15747613</v>
      </c>
      <c r="L48" s="20" t="n">
        <v>0.11781106</v>
      </c>
      <c r="M48" s="18" t="n">
        <v>0</v>
      </c>
      <c r="N48" s="20" t="n">
        <v>0</v>
      </c>
      <c r="O48" s="18" t="n">
        <v>0</v>
      </c>
      <c r="P48" s="20" t="n">
        <v>0</v>
      </c>
      <c r="Q48" s="18" t="n">
        <v>0.92159837</v>
      </c>
      <c r="R48" s="20" t="n">
        <v>0.32547144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(10350.0/B50*100)</f>
        <v/>
      </c>
      <c r="D50" s="19" t="n">
        <v>1445</v>
      </c>
      <c r="E50" s="18" t="n">
        <v>36.69983585</v>
      </c>
      <c r="F50" s="20" t="n">
        <v>1.71207331</v>
      </c>
      <c r="G50" s="18" t="n">
        <v>61.35390244</v>
      </c>
      <c r="H50" s="20" t="n">
        <v>1.67497561</v>
      </c>
      <c r="I50" s="18" t="s">
        <v>349</v>
      </c>
      <c r="J50" s="20" t="s">
        <v>349</v>
      </c>
      <c r="K50" s="18" t="n">
        <v>0.21619235</v>
      </c>
      <c r="L50" s="20" t="n">
        <v>0.12607563</v>
      </c>
      <c r="M50" s="18" t="n">
        <v>0</v>
      </c>
      <c r="N50" s="20" t="n">
        <v>0</v>
      </c>
      <c r="O50" s="18" t="n">
        <v>0</v>
      </c>
      <c r="P50" s="20" t="n">
        <v>0</v>
      </c>
      <c r="Q50" s="18" t="n">
        <v>1.73006935</v>
      </c>
      <c r="R50" s="20" t="n">
        <v>0.48541687</v>
      </c>
    </row>
    <row r="51" spans="1:18">
      <c r="A51" s="15" t="s">
        <v>393</v>
      </c>
      <c r="B51" s="17" t="n">
        <v>6866</v>
      </c>
      <c r="C51" s="18">
        <f>(6113.0/B51*100)</f>
        <v/>
      </c>
      <c r="D51" s="19" t="n">
        <v>753</v>
      </c>
      <c r="E51" s="18" t="n">
        <v>34.07259821</v>
      </c>
      <c r="F51" s="20" t="n">
        <v>1.60585023</v>
      </c>
      <c r="G51" s="18" t="n">
        <v>64.69054436</v>
      </c>
      <c r="H51" s="20" t="n">
        <v>1.58641326</v>
      </c>
      <c r="I51" s="18" t="s">
        <v>349</v>
      </c>
      <c r="J51" s="20" t="s">
        <v>349</v>
      </c>
      <c r="K51" s="18" t="n">
        <v>0</v>
      </c>
      <c r="L51" s="20" t="n">
        <v>0</v>
      </c>
      <c r="M51" s="18" t="n">
        <v>0</v>
      </c>
      <c r="N51" s="20" t="n">
        <v>0</v>
      </c>
      <c r="O51" s="18" t="n">
        <v>0</v>
      </c>
      <c r="P51" s="20" t="n">
        <v>0</v>
      </c>
      <c r="Q51" s="18" t="n">
        <v>1.23685743</v>
      </c>
      <c r="R51" s="20" t="n">
        <v>0.45150369</v>
      </c>
    </row>
    <row r="52" spans="1:18">
      <c r="A52" s="15" t="s">
        <v>394</v>
      </c>
      <c r="B52" s="17" t="n">
        <v>5809</v>
      </c>
      <c r="C52" s="18">
        <f>(5090.0/B52*100)</f>
        <v/>
      </c>
      <c r="D52" s="19" t="n">
        <v>719</v>
      </c>
      <c r="E52" s="18" t="n">
        <v>29.46694431</v>
      </c>
      <c r="F52" s="20" t="n">
        <v>1.87534615</v>
      </c>
      <c r="G52" s="18" t="n">
        <v>69.90758105</v>
      </c>
      <c r="H52" s="20" t="n">
        <v>1.92638795</v>
      </c>
      <c r="I52" s="18" t="s">
        <v>349</v>
      </c>
      <c r="J52" s="20" t="s">
        <v>349</v>
      </c>
      <c r="K52" s="18" t="n">
        <v>0</v>
      </c>
      <c r="L52" s="20" t="n">
        <v>0</v>
      </c>
      <c r="M52" s="18" t="n">
        <v>0</v>
      </c>
      <c r="N52" s="20" t="n">
        <v>0</v>
      </c>
      <c r="O52" s="18" t="n">
        <v>0</v>
      </c>
      <c r="P52" s="20" t="n">
        <v>0</v>
      </c>
      <c r="Q52" s="18" t="n">
        <v>0.62547464</v>
      </c>
      <c r="R52" s="20" t="n">
        <v>0.31986365</v>
      </c>
    </row>
    <row r="53" spans="1:18">
      <c r="A53" s="15" t="s">
        <v>395</v>
      </c>
      <c r="B53" s="17" t="n">
        <v>5571</v>
      </c>
      <c r="C53" s="18">
        <f>(4864.0/B53*100)</f>
        <v/>
      </c>
      <c r="D53" s="19" t="n">
        <v>707</v>
      </c>
      <c r="E53" s="18" t="n">
        <v>26.49111187</v>
      </c>
      <c r="F53" s="20" t="n">
        <v>1.70885633</v>
      </c>
      <c r="G53" s="18" t="n">
        <v>71.9071873</v>
      </c>
      <c r="H53" s="20" t="n">
        <v>1.77168084</v>
      </c>
      <c r="I53" s="18" t="s">
        <v>349</v>
      </c>
      <c r="J53" s="20" t="s">
        <v>349</v>
      </c>
      <c r="K53" s="18" t="n">
        <v>0.13922061</v>
      </c>
      <c r="L53" s="20" t="n">
        <v>0.1387469</v>
      </c>
      <c r="M53" s="18" t="n">
        <v>0</v>
      </c>
      <c r="N53" s="20" t="n">
        <v>0</v>
      </c>
      <c r="O53" s="18" t="n">
        <v>0</v>
      </c>
      <c r="P53" s="20" t="n">
        <v>0</v>
      </c>
      <c r="Q53" s="18" t="n">
        <v>1.46248022</v>
      </c>
      <c r="R53" s="20" t="n">
        <v>0.46464881</v>
      </c>
    </row>
    <row r="54" spans="1:18">
      <c r="A54" s="15" t="s">
        <v>396</v>
      </c>
      <c r="B54" s="17" t="n">
        <v>4740</v>
      </c>
      <c r="C54" s="18">
        <f>(3946.0/B54*100)</f>
        <v/>
      </c>
      <c r="D54" s="19" t="n">
        <v>794</v>
      </c>
      <c r="E54" s="18" t="n">
        <v>50.52674917</v>
      </c>
      <c r="F54" s="20" t="n">
        <v>1.91846441</v>
      </c>
      <c r="G54" s="18" t="n">
        <v>42.79649327</v>
      </c>
      <c r="H54" s="20" t="n">
        <v>2.10395626</v>
      </c>
      <c r="I54" s="18" t="s">
        <v>349</v>
      </c>
      <c r="J54" s="20" t="s">
        <v>349</v>
      </c>
      <c r="K54" s="18" t="n">
        <v>2.21065389</v>
      </c>
      <c r="L54" s="20" t="n">
        <v>0.5988097999999999</v>
      </c>
      <c r="M54" s="18" t="n">
        <v>0</v>
      </c>
      <c r="N54" s="20" t="n">
        <v>0</v>
      </c>
      <c r="O54" s="18" t="n">
        <v>0</v>
      </c>
      <c r="P54" s="20" t="n">
        <v>0</v>
      </c>
      <c r="Q54" s="18" t="n">
        <v>4.46610367</v>
      </c>
      <c r="R54" s="20" t="n">
        <v>0.88193934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(4682.0/B56*100)</f>
        <v/>
      </c>
      <c r="D56" s="19" t="n">
        <v>677</v>
      </c>
      <c r="E56" s="18" t="n">
        <v>18.05924738</v>
      </c>
      <c r="F56" s="20" t="n">
        <v>1.46299371</v>
      </c>
      <c r="G56" s="18" t="n">
        <v>81.57547381000001</v>
      </c>
      <c r="H56" s="20" t="n">
        <v>1.47449534</v>
      </c>
      <c r="I56" s="18" t="s">
        <v>349</v>
      </c>
      <c r="J56" s="20" t="s">
        <v>349</v>
      </c>
      <c r="K56" s="18" t="n">
        <v>0</v>
      </c>
      <c r="L56" s="20" t="n">
        <v>0</v>
      </c>
      <c r="M56" s="18" t="n">
        <v>0</v>
      </c>
      <c r="N56" s="20" t="n">
        <v>0</v>
      </c>
      <c r="O56" s="18" t="n">
        <v>0</v>
      </c>
      <c r="P56" s="20" t="n">
        <v>0</v>
      </c>
      <c r="Q56" s="18" t="n">
        <v>0.36527881</v>
      </c>
      <c r="R56" s="20" t="n">
        <v>0.18425811</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(5711.0/B61*100)</f>
        <v/>
      </c>
      <c r="D61" s="19" t="n">
        <v>814</v>
      </c>
      <c r="E61" s="18" t="n">
        <v>25.8014621</v>
      </c>
      <c r="F61" s="20" t="n">
        <v>1.70869147</v>
      </c>
      <c r="G61" s="18" t="n">
        <v>72.93863525</v>
      </c>
      <c r="H61" s="20" t="n">
        <v>1.69135439</v>
      </c>
      <c r="I61" s="18" t="s">
        <v>349</v>
      </c>
      <c r="J61" s="20" t="s">
        <v>349</v>
      </c>
      <c r="K61" s="18" t="n">
        <v>0.28038669</v>
      </c>
      <c r="L61" s="20" t="n">
        <v>0.20029446</v>
      </c>
      <c r="M61" s="18" t="n">
        <v>0</v>
      </c>
      <c r="N61" s="20" t="n">
        <v>0</v>
      </c>
      <c r="O61" s="18" t="n">
        <v>0</v>
      </c>
      <c r="P61" s="20" t="n">
        <v>0</v>
      </c>
      <c r="Q61" s="18" t="n">
        <v>0.97951596</v>
      </c>
      <c r="R61" s="20" t="n">
        <v>0.3188355</v>
      </c>
    </row>
    <row r="62" spans="1:18">
      <c r="A62" s="15" t="s">
        <v>404</v>
      </c>
      <c r="B62" s="17" t="n">
        <v>4476</v>
      </c>
      <c r="C62" s="18">
        <f>(3923.0/B62*100)</f>
        <v/>
      </c>
      <c r="D62" s="19" t="n">
        <v>553</v>
      </c>
      <c r="E62" s="18" t="n">
        <v>16.99942175</v>
      </c>
      <c r="F62" s="20" t="n">
        <v>1.74446259</v>
      </c>
      <c r="G62" s="18" t="n">
        <v>83.00057825</v>
      </c>
      <c r="H62" s="20" t="n">
        <v>1.74446259</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(4961.0/B66*100)</f>
        <v/>
      </c>
      <c r="D66" s="19" t="n">
        <v>704</v>
      </c>
      <c r="E66" s="18" t="n">
        <v>36.51680547</v>
      </c>
      <c r="F66" s="20" t="n">
        <v>1.56624143</v>
      </c>
      <c r="G66" s="18" t="n">
        <v>61.68955627</v>
      </c>
      <c r="H66" s="20" t="n">
        <v>1.66820937</v>
      </c>
      <c r="I66" s="18" t="s">
        <v>349</v>
      </c>
      <c r="J66" s="20" t="s">
        <v>349</v>
      </c>
      <c r="K66" s="18" t="n">
        <v>0.24856912</v>
      </c>
      <c r="L66" s="20" t="n">
        <v>0.17682769</v>
      </c>
      <c r="M66" s="18" t="n">
        <v>0</v>
      </c>
      <c r="N66" s="20" t="n">
        <v>0</v>
      </c>
      <c r="O66" s="18" t="n">
        <v>0</v>
      </c>
      <c r="P66" s="20" t="n">
        <v>0</v>
      </c>
      <c r="Q66" s="18" t="n">
        <v>1.54506914</v>
      </c>
      <c r="R66" s="20" t="n">
        <v>0.40617016</v>
      </c>
    </row>
    <row r="67" spans="1:18">
      <c r="A67" s="15" t="s">
        <v>409</v>
      </c>
      <c r="B67" s="17" t="n">
        <v>6971</v>
      </c>
      <c r="C67" s="18">
        <f>(6125.0/B67*100)</f>
        <v/>
      </c>
      <c r="D67" s="19" t="n">
        <v>846</v>
      </c>
      <c r="E67" s="18" t="n">
        <v>37.61860454</v>
      </c>
      <c r="F67" s="20" t="n">
        <v>1.74666822</v>
      </c>
      <c r="G67" s="18" t="n">
        <v>59.27616681</v>
      </c>
      <c r="H67" s="20" t="n">
        <v>1.73419498</v>
      </c>
      <c r="I67" s="18" t="s">
        <v>349</v>
      </c>
      <c r="J67" s="20" t="s">
        <v>349</v>
      </c>
      <c r="K67" s="18" t="n">
        <v>0</v>
      </c>
      <c r="L67" s="20" t="n">
        <v>0</v>
      </c>
      <c r="M67" s="18" t="n">
        <v>0</v>
      </c>
      <c r="N67" s="20" t="n">
        <v>0</v>
      </c>
      <c r="O67" s="18" t="n">
        <v>0</v>
      </c>
      <c r="P67" s="20" t="n">
        <v>0</v>
      </c>
      <c r="Q67" s="18" t="n">
        <v>3.10522866</v>
      </c>
      <c r="R67" s="20" t="n">
        <v>0.59157017</v>
      </c>
    </row>
    <row r="68" spans="1:18">
      <c r="A68" s="15" t="s">
        <v>410</v>
      </c>
      <c r="B68" s="17" t="n">
        <v>12083</v>
      </c>
      <c r="C68" s="18">
        <f>(10061.0/B68*100)</f>
        <v/>
      </c>
      <c r="D68" s="19" t="n">
        <v>2022</v>
      </c>
      <c r="E68" s="18" t="n">
        <v>36.79344171</v>
      </c>
      <c r="F68" s="20" t="n">
        <v>1.0949595</v>
      </c>
      <c r="G68" s="18" t="n">
        <v>60.04621352</v>
      </c>
      <c r="H68" s="20" t="n">
        <v>1.12727003</v>
      </c>
      <c r="I68" s="18" t="s">
        <v>349</v>
      </c>
      <c r="J68" s="20" t="s">
        <v>349</v>
      </c>
      <c r="K68" s="18" t="n">
        <v>0.83537507</v>
      </c>
      <c r="L68" s="20" t="n">
        <v>0.19953628</v>
      </c>
      <c r="M68" s="18" t="n">
        <v>0</v>
      </c>
      <c r="N68" s="20" t="n">
        <v>0</v>
      </c>
      <c r="O68" s="18" t="n">
        <v>0</v>
      </c>
      <c r="P68" s="20" t="n">
        <v>0</v>
      </c>
      <c r="Q68" s="18" t="n">
        <v>2.32496969</v>
      </c>
      <c r="R68" s="20" t="n">
        <v>0.3669174</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(5283.0/B70*100)</f>
        <v/>
      </c>
      <c r="D70" s="19" t="n">
        <v>753</v>
      </c>
      <c r="E70" s="18" t="n">
        <v>18.39704087</v>
      </c>
      <c r="F70" s="20" t="n">
        <v>1.56754095</v>
      </c>
      <c r="G70" s="18" t="n">
        <v>81.13620708000001</v>
      </c>
      <c r="H70" s="20" t="n">
        <v>1.58986881</v>
      </c>
      <c r="I70" s="18" t="s">
        <v>349</v>
      </c>
      <c r="J70" s="20" t="s">
        <v>349</v>
      </c>
      <c r="K70" s="18" t="n">
        <v>0</v>
      </c>
      <c r="L70" s="20" t="n">
        <v>0</v>
      </c>
      <c r="M70" s="18" t="n">
        <v>0</v>
      </c>
      <c r="N70" s="20" t="n">
        <v>0</v>
      </c>
      <c r="O70" s="18" t="n">
        <v>0</v>
      </c>
      <c r="P70" s="20" t="n">
        <v>0</v>
      </c>
      <c r="Q70" s="18" t="n">
        <v>0.46675205</v>
      </c>
      <c r="R70" s="20" t="n">
        <v>0.17885057</v>
      </c>
    </row>
    <row r="71" spans="1:18">
      <c r="A71" s="15" t="s">
        <v>413</v>
      </c>
      <c r="B71" s="17" t="n">
        <v>6115</v>
      </c>
      <c r="C71" s="18">
        <f>(5365.0/B71*100)</f>
        <v/>
      </c>
      <c r="D71" s="19" t="n">
        <v>750</v>
      </c>
      <c r="E71" s="18" t="n">
        <v>17.34677449</v>
      </c>
      <c r="F71" s="20" t="n">
        <v>1.40154742</v>
      </c>
      <c r="G71" s="18" t="n">
        <v>82.27642006000001</v>
      </c>
      <c r="H71" s="20" t="n">
        <v>1.40551275</v>
      </c>
      <c r="I71" s="18" t="s">
        <v>349</v>
      </c>
      <c r="J71" s="20" t="s">
        <v>349</v>
      </c>
      <c r="K71" s="18" t="n">
        <v>0.15308522</v>
      </c>
      <c r="L71" s="20" t="n">
        <v>0.15357098</v>
      </c>
      <c r="M71" s="18" t="n">
        <v>0</v>
      </c>
      <c r="N71" s="20" t="n">
        <v>0</v>
      </c>
      <c r="O71" s="18" t="n">
        <v>0</v>
      </c>
      <c r="P71" s="20" t="n">
        <v>0</v>
      </c>
      <c r="Q71" s="18" t="n">
        <v>0.22372022</v>
      </c>
      <c r="R71" s="20" t="n">
        <v>0.16701732</v>
      </c>
    </row>
    <row r="72" spans="1:18">
      <c r="A72" s="15" t="s">
        <v>414</v>
      </c>
      <c r="B72" s="17" t="n">
        <v>7708</v>
      </c>
      <c r="C72" s="18">
        <f>(6767.0/B72*100)</f>
        <v/>
      </c>
      <c r="D72" s="19" t="n">
        <v>941</v>
      </c>
      <c r="E72" s="18" t="n">
        <v>20.76293012</v>
      </c>
      <c r="F72" s="20" t="n">
        <v>1.34716006</v>
      </c>
      <c r="G72" s="18" t="n">
        <v>78.9533794</v>
      </c>
      <c r="H72" s="20" t="n">
        <v>1.32695763</v>
      </c>
      <c r="I72" s="18" t="s">
        <v>349</v>
      </c>
      <c r="J72" s="20" t="s">
        <v>349</v>
      </c>
      <c r="K72" s="18" t="n">
        <v>0</v>
      </c>
      <c r="L72" s="20" t="n">
        <v>0</v>
      </c>
      <c r="M72" s="18" t="n">
        <v>0</v>
      </c>
      <c r="N72" s="20" t="n">
        <v>0</v>
      </c>
      <c r="O72" s="18" t="n">
        <v>0</v>
      </c>
      <c r="P72" s="20" t="n">
        <v>0</v>
      </c>
      <c r="Q72" s="18" t="n">
        <v>0.28369048</v>
      </c>
      <c r="R72" s="20" t="n">
        <v>0.1478925</v>
      </c>
    </row>
    <row r="73" spans="1:18">
      <c r="A73" s="15" t="s">
        <v>415</v>
      </c>
      <c r="B73" s="17" t="n">
        <v>8249</v>
      </c>
      <c r="C73" s="18">
        <f>(7270.0/B73*100)</f>
        <v/>
      </c>
      <c r="D73" s="19" t="n">
        <v>979</v>
      </c>
      <c r="E73" s="18" t="n">
        <v>36.40450068</v>
      </c>
      <c r="F73" s="20" t="n">
        <v>1.82183298</v>
      </c>
      <c r="G73" s="18" t="n">
        <v>61.0684574</v>
      </c>
      <c r="H73" s="20" t="n">
        <v>1.82262186</v>
      </c>
      <c r="I73" s="18" t="s">
        <v>349</v>
      </c>
      <c r="J73" s="20" t="s">
        <v>349</v>
      </c>
      <c r="K73" s="18" t="n">
        <v>0</v>
      </c>
      <c r="L73" s="20" t="n">
        <v>0</v>
      </c>
      <c r="M73" s="18" t="n">
        <v>0</v>
      </c>
      <c r="N73" s="20" t="n">
        <v>0</v>
      </c>
      <c r="O73" s="18" t="n">
        <v>0</v>
      </c>
      <c r="P73" s="20" t="n">
        <v>0</v>
      </c>
      <c r="Q73" s="18" t="n">
        <v>2.52704192</v>
      </c>
      <c r="R73" s="20" t="n">
        <v>0.59696345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(4756.0/B75*100)</f>
        <v/>
      </c>
      <c r="D75" s="19" t="n">
        <v>619</v>
      </c>
      <c r="E75" s="18" t="n">
        <v>57.99924074</v>
      </c>
      <c r="F75" s="20" t="n">
        <v>2.20150878</v>
      </c>
      <c r="G75" s="18" t="n">
        <v>39.34909177</v>
      </c>
      <c r="H75" s="20" t="n">
        <v>2.16620364</v>
      </c>
      <c r="I75" s="18" t="s">
        <v>349</v>
      </c>
      <c r="J75" s="20" t="s">
        <v>349</v>
      </c>
      <c r="K75" s="18" t="n">
        <v>0.44181184</v>
      </c>
      <c r="L75" s="20" t="n">
        <v>0.23470424</v>
      </c>
      <c r="M75" s="18" t="n">
        <v>0</v>
      </c>
      <c r="N75" s="20" t="n">
        <v>0</v>
      </c>
      <c r="O75" s="18" t="n">
        <v>0</v>
      </c>
      <c r="P75" s="20" t="n">
        <v>0</v>
      </c>
      <c r="Q75" s="18" t="n">
        <v>2.20985565</v>
      </c>
      <c r="R75" s="20" t="n">
        <v>0.61258627</v>
      </c>
    </row>
    <row r="76" spans="1:18">
      <c r="A76" s="15" t="s">
        <v>418</v>
      </c>
      <c r="B76" s="17" t="n">
        <v>14167</v>
      </c>
      <c r="C76" s="18">
        <f>(12419.0/B76*100)</f>
        <v/>
      </c>
      <c r="D76" s="19" t="n">
        <v>1748</v>
      </c>
      <c r="E76" s="18" t="n">
        <v>36.39859681</v>
      </c>
      <c r="F76" s="20" t="n">
        <v>1.37305956</v>
      </c>
      <c r="G76" s="18" t="n">
        <v>61.49007937</v>
      </c>
      <c r="H76" s="20" t="n">
        <v>1.51285105</v>
      </c>
      <c r="I76" s="18" t="s">
        <v>349</v>
      </c>
      <c r="J76" s="20" t="s">
        <v>349</v>
      </c>
      <c r="K76" s="18" t="n">
        <v>0.1357433</v>
      </c>
      <c r="L76" s="20" t="n">
        <v>0.08386083</v>
      </c>
      <c r="M76" s="18" t="n">
        <v>0</v>
      </c>
      <c r="N76" s="20" t="n">
        <v>0</v>
      </c>
      <c r="O76" s="18" t="n">
        <v>0</v>
      </c>
      <c r="P76" s="20" t="n">
        <v>0</v>
      </c>
      <c r="Q76" s="18" t="n">
        <v>1.97558052</v>
      </c>
      <c r="R76" s="20" t="n">
        <v>0.38581531</v>
      </c>
    </row>
    <row r="77" spans="1:18">
      <c r="A77" s="15" t="s">
        <v>419</v>
      </c>
      <c r="B77" s="17" t="n">
        <v>6062</v>
      </c>
      <c r="C77" s="18">
        <f>(5343.0/B77*100)</f>
        <v/>
      </c>
      <c r="D77" s="19" t="n">
        <v>719</v>
      </c>
      <c r="E77" s="18" t="n">
        <v>31.61480299</v>
      </c>
      <c r="F77" s="20" t="n">
        <v>1.80244563</v>
      </c>
      <c r="G77" s="18" t="n">
        <v>67.7149302</v>
      </c>
      <c r="H77" s="20" t="n">
        <v>1.91820001</v>
      </c>
      <c r="I77" s="18" t="s">
        <v>349</v>
      </c>
      <c r="J77" s="20" t="s">
        <v>349</v>
      </c>
      <c r="K77" s="18" t="n">
        <v>0.36774279</v>
      </c>
      <c r="L77" s="20" t="n">
        <v>0.30532303</v>
      </c>
      <c r="M77" s="18" t="n">
        <v>0</v>
      </c>
      <c r="N77" s="20" t="n">
        <v>0</v>
      </c>
      <c r="O77" s="18" t="n">
        <v>0</v>
      </c>
      <c r="P77" s="20" t="n">
        <v>0</v>
      </c>
      <c r="Q77" s="18" t="n">
        <v>0.30252401</v>
      </c>
      <c r="R77" s="20" t="n">
        <v>0.21820221</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(7790.0/B81*100)</f>
        <v/>
      </c>
      <c r="D81" s="19" t="n">
        <v>1071</v>
      </c>
      <c r="E81" s="18" t="n">
        <v>25.24433574</v>
      </c>
      <c r="F81" s="20" t="n">
        <v>1.62833213</v>
      </c>
      <c r="G81" s="18" t="n">
        <v>73.06899365</v>
      </c>
      <c r="H81" s="20" t="n">
        <v>1.71668695</v>
      </c>
      <c r="I81" s="18" t="s">
        <v>349</v>
      </c>
      <c r="J81" s="20" t="s">
        <v>349</v>
      </c>
      <c r="K81" s="18" t="n">
        <v>0</v>
      </c>
      <c r="L81" s="20" t="n">
        <v>0</v>
      </c>
      <c r="M81" s="18" t="n">
        <v>0</v>
      </c>
      <c r="N81" s="20" t="n">
        <v>0</v>
      </c>
      <c r="O81" s="18" t="n">
        <v>0</v>
      </c>
      <c r="P81" s="20" t="n">
        <v>0</v>
      </c>
      <c r="Q81" s="18" t="n">
        <v>1.6866706</v>
      </c>
      <c r="R81" s="20" t="n">
        <v>0.43517687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438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(12696.0/B7*100)</f>
        <v/>
      </c>
      <c r="D7" s="19" t="n">
        <v>1834</v>
      </c>
      <c r="E7" s="18" t="n">
        <v>32.36727164</v>
      </c>
      <c r="F7" s="20" t="n">
        <v>1.26487506</v>
      </c>
      <c r="G7" s="18" t="n">
        <v>67.22018316</v>
      </c>
      <c r="H7" s="20" t="n">
        <v>1.26181551</v>
      </c>
      <c r="I7" s="18" t="s">
        <v>349</v>
      </c>
      <c r="J7" s="20" t="s">
        <v>349</v>
      </c>
      <c r="K7" s="18" t="n">
        <v>0.27669261</v>
      </c>
      <c r="L7" s="20" t="n">
        <v>0.13643857</v>
      </c>
      <c r="M7" s="18" t="n">
        <v>0</v>
      </c>
      <c r="N7" s="20" t="n">
        <v>0</v>
      </c>
      <c r="O7" s="18" t="n">
        <v>0</v>
      </c>
      <c r="P7" s="20" t="n">
        <v>0</v>
      </c>
      <c r="Q7" s="18" t="n">
        <v>0.13585259</v>
      </c>
      <c r="R7" s="20" t="n">
        <v>0.0828183</v>
      </c>
    </row>
    <row r="8" spans="1:18">
      <c r="A8" s="15" t="s">
        <v>350</v>
      </c>
      <c r="B8" s="17" t="n">
        <v>7007</v>
      </c>
      <c r="C8" s="18">
        <f>(6163.0/B8*100)</f>
        <v/>
      </c>
      <c r="D8" s="19" t="n">
        <v>844</v>
      </c>
      <c r="E8" s="18" t="n">
        <v>29.31604645</v>
      </c>
      <c r="F8" s="20" t="n">
        <v>1.72121464</v>
      </c>
      <c r="G8" s="18" t="n">
        <v>69.77512324999999</v>
      </c>
      <c r="H8" s="20" t="n">
        <v>1.82830856</v>
      </c>
      <c r="I8" s="18" t="s">
        <v>349</v>
      </c>
      <c r="J8" s="20" t="s">
        <v>349</v>
      </c>
      <c r="K8" s="18" t="n">
        <v>0</v>
      </c>
      <c r="L8" s="20" t="n">
        <v>0</v>
      </c>
      <c r="M8" s="18" t="n">
        <v>0</v>
      </c>
      <c r="N8" s="20" t="n">
        <v>0</v>
      </c>
      <c r="O8" s="18" t="n">
        <v>0</v>
      </c>
      <c r="P8" s="20" t="n">
        <v>0</v>
      </c>
      <c r="Q8" s="18" t="n">
        <v>0.9088303</v>
      </c>
      <c r="R8" s="20" t="n">
        <v>0.6419108</v>
      </c>
    </row>
    <row r="9" spans="1:18">
      <c r="A9" s="15" t="s">
        <v>351</v>
      </c>
      <c r="B9" s="17" t="n">
        <v>9651</v>
      </c>
      <c r="C9" s="18">
        <f>(8495.0/B9*100)</f>
        <v/>
      </c>
      <c r="D9" s="19" t="n">
        <v>1156</v>
      </c>
      <c r="E9" s="18" t="n">
        <v>31.42352447</v>
      </c>
      <c r="F9" s="20" t="n">
        <v>1.57964409</v>
      </c>
      <c r="G9" s="18" t="n">
        <v>67.37907482</v>
      </c>
      <c r="H9" s="20" t="n">
        <v>1.60090969</v>
      </c>
      <c r="I9" s="18" t="s">
        <v>349</v>
      </c>
      <c r="J9" s="20" t="s">
        <v>349</v>
      </c>
      <c r="K9" s="18" t="n">
        <v>0.11066811</v>
      </c>
      <c r="L9" s="20" t="n">
        <v>0.11086929</v>
      </c>
      <c r="M9" s="18" t="n">
        <v>0</v>
      </c>
      <c r="N9" s="20" t="n">
        <v>0</v>
      </c>
      <c r="O9" s="18" t="n">
        <v>0</v>
      </c>
      <c r="P9" s="20" t="n">
        <v>0</v>
      </c>
      <c r="Q9" s="18" t="n">
        <v>1.08673259</v>
      </c>
      <c r="R9" s="20" t="n">
        <v>0.31673075</v>
      </c>
    </row>
    <row r="10" spans="1:18">
      <c r="A10" s="15" t="s">
        <v>352</v>
      </c>
      <c r="B10" s="17" t="n">
        <v>20058</v>
      </c>
      <c r="C10" s="18">
        <f>(17629.0/B10*100)</f>
        <v/>
      </c>
      <c r="D10" s="19" t="n">
        <v>2429</v>
      </c>
      <c r="E10" s="18" t="n">
        <v>31.15249268</v>
      </c>
      <c r="F10" s="20" t="n">
        <v>1.4158787</v>
      </c>
      <c r="G10" s="18" t="n">
        <v>68.57593865</v>
      </c>
      <c r="H10" s="20" t="n">
        <v>1.41038368</v>
      </c>
      <c r="I10" s="18" t="s">
        <v>349</v>
      </c>
      <c r="J10" s="20" t="s">
        <v>349</v>
      </c>
      <c r="K10" s="18" t="n">
        <v>0.09318519</v>
      </c>
      <c r="L10" s="20" t="n">
        <v>0.0496298</v>
      </c>
      <c r="M10" s="18" t="n">
        <v>0</v>
      </c>
      <c r="N10" s="20" t="n">
        <v>0</v>
      </c>
      <c r="O10" s="18" t="n">
        <v>0</v>
      </c>
      <c r="P10" s="20" t="n">
        <v>0</v>
      </c>
      <c r="Q10" s="18" t="n">
        <v>0.17838347</v>
      </c>
      <c r="R10" s="20" t="n">
        <v>0.11058149</v>
      </c>
    </row>
    <row r="11" spans="1:18">
      <c r="A11" s="15" t="s">
        <v>353</v>
      </c>
      <c r="B11" s="17" t="n">
        <v>7053</v>
      </c>
      <c r="C11" s="18">
        <f>(6195.0/B11*100)</f>
        <v/>
      </c>
      <c r="D11" s="19" t="n">
        <v>858</v>
      </c>
      <c r="E11" s="18" t="n">
        <v>51.04129756</v>
      </c>
      <c r="F11" s="20" t="n">
        <v>2.0351536</v>
      </c>
      <c r="G11" s="18" t="n">
        <v>47.86239749</v>
      </c>
      <c r="H11" s="20" t="n">
        <v>2.09715145</v>
      </c>
      <c r="I11" s="18" t="s">
        <v>349</v>
      </c>
      <c r="J11" s="20" t="s">
        <v>349</v>
      </c>
      <c r="K11" s="18" t="n">
        <v>0.22999455</v>
      </c>
      <c r="L11" s="20" t="n">
        <v>0.11910603</v>
      </c>
      <c r="M11" s="18" t="n">
        <v>0</v>
      </c>
      <c r="N11" s="20" t="n">
        <v>0</v>
      </c>
      <c r="O11" s="18" t="n">
        <v>0</v>
      </c>
      <c r="P11" s="20" t="n">
        <v>0</v>
      </c>
      <c r="Q11" s="18" t="n">
        <v>0.8663104</v>
      </c>
      <c r="R11" s="20" t="n">
        <v>0.3492907</v>
      </c>
    </row>
    <row r="12" spans="1:18">
      <c r="A12" s="15" t="s">
        <v>354</v>
      </c>
      <c r="B12" s="17" t="n">
        <v>6894</v>
      </c>
      <c r="C12" s="18">
        <f>(6071.0/B12*100)</f>
        <v/>
      </c>
      <c r="D12" s="19" t="n">
        <v>823</v>
      </c>
      <c r="E12" s="18" t="n">
        <v>30.38029536</v>
      </c>
      <c r="F12" s="20" t="n">
        <v>1.92835989</v>
      </c>
      <c r="G12" s="18" t="n">
        <v>69.61970463999999</v>
      </c>
      <c r="H12" s="20" t="n">
        <v>1.92835989</v>
      </c>
      <c r="I12" s="18" t="s">
        <v>349</v>
      </c>
      <c r="J12" s="20" t="s">
        <v>349</v>
      </c>
      <c r="K12" s="18" t="n">
        <v>0</v>
      </c>
      <c r="L12" s="20" t="n">
        <v>0</v>
      </c>
      <c r="M12" s="18" t="n">
        <v>0</v>
      </c>
      <c r="N12" s="20" t="n">
        <v>0</v>
      </c>
      <c r="O12" s="18" t="n">
        <v>0</v>
      </c>
      <c r="P12" s="20" t="n">
        <v>0</v>
      </c>
      <c r="Q12" s="18" t="n">
        <v>0</v>
      </c>
      <c r="R12" s="20" t="n">
        <v>0</v>
      </c>
    </row>
    <row r="13" spans="1:18">
      <c r="A13" s="15" t="s">
        <v>355</v>
      </c>
      <c r="B13" s="17" t="n">
        <v>7161</v>
      </c>
      <c r="C13" s="18">
        <f>(6334.0/B13*100)</f>
        <v/>
      </c>
      <c r="D13" s="19" t="n">
        <v>827</v>
      </c>
      <c r="E13" s="18" t="n">
        <v>30.06141583</v>
      </c>
      <c r="F13" s="20" t="n">
        <v>1.81891466</v>
      </c>
      <c r="G13" s="18" t="n">
        <v>69.44798246000001</v>
      </c>
      <c r="H13" s="20" t="n">
        <v>1.87515647</v>
      </c>
      <c r="I13" s="18" t="s">
        <v>349</v>
      </c>
      <c r="J13" s="20" t="s">
        <v>349</v>
      </c>
      <c r="K13" s="18" t="n">
        <v>0.22420174</v>
      </c>
      <c r="L13" s="20" t="n">
        <v>0.1700091</v>
      </c>
      <c r="M13" s="18" t="n">
        <v>0</v>
      </c>
      <c r="N13" s="20" t="n">
        <v>0</v>
      </c>
      <c r="O13" s="18" t="n">
        <v>0</v>
      </c>
      <c r="P13" s="20" t="n">
        <v>0</v>
      </c>
      <c r="Q13" s="18" t="n">
        <v>0.26639997</v>
      </c>
      <c r="R13" s="20" t="n">
        <v>0.25422447</v>
      </c>
    </row>
    <row r="14" spans="1:18">
      <c r="A14" s="15" t="s">
        <v>356</v>
      </c>
      <c r="B14" s="17" t="n">
        <v>5587</v>
      </c>
      <c r="C14" s="18">
        <f>(4888.0/B14*100)</f>
        <v/>
      </c>
      <c r="D14" s="19" t="n">
        <v>699</v>
      </c>
      <c r="E14" s="18" t="n">
        <v>21.81509293</v>
      </c>
      <c r="F14" s="20" t="n">
        <v>1.57365085</v>
      </c>
      <c r="G14" s="18" t="n">
        <v>77.97446304</v>
      </c>
      <c r="H14" s="20" t="n">
        <v>1.58701796</v>
      </c>
      <c r="I14" s="18" t="s">
        <v>349</v>
      </c>
      <c r="J14" s="20" t="s">
        <v>349</v>
      </c>
      <c r="K14" s="18" t="n">
        <v>0</v>
      </c>
      <c r="L14" s="20" t="n">
        <v>0</v>
      </c>
      <c r="M14" s="18" t="n">
        <v>0</v>
      </c>
      <c r="N14" s="20" t="n">
        <v>0</v>
      </c>
      <c r="O14" s="18" t="n">
        <v>0</v>
      </c>
      <c r="P14" s="20" t="n">
        <v>0</v>
      </c>
      <c r="Q14" s="18" t="n">
        <v>0.21044403</v>
      </c>
      <c r="R14" s="20" t="n">
        <v>0.15187759</v>
      </c>
    </row>
    <row r="15" spans="1:18">
      <c r="A15" s="15" t="s">
        <v>357</v>
      </c>
      <c r="B15" s="17" t="n">
        <v>5882</v>
      </c>
      <c r="C15" s="18">
        <f>(5158.0/B15*100)</f>
        <v/>
      </c>
      <c r="D15" s="19" t="n">
        <v>724</v>
      </c>
      <c r="E15" s="18" t="n">
        <v>19.05234961</v>
      </c>
      <c r="F15" s="20" t="n">
        <v>1.38497961</v>
      </c>
      <c r="G15" s="18" t="n">
        <v>80.66651912</v>
      </c>
      <c r="H15" s="20" t="n">
        <v>1.39571258</v>
      </c>
      <c r="I15" s="18" t="s">
        <v>349</v>
      </c>
      <c r="J15" s="20" t="s">
        <v>349</v>
      </c>
      <c r="K15" s="18" t="n">
        <v>0</v>
      </c>
      <c r="L15" s="20" t="n">
        <v>0</v>
      </c>
      <c r="M15" s="18" t="n">
        <v>0</v>
      </c>
      <c r="N15" s="20" t="n">
        <v>0</v>
      </c>
      <c r="O15" s="18" t="n">
        <v>0</v>
      </c>
      <c r="P15" s="20" t="n">
        <v>0</v>
      </c>
      <c r="Q15" s="18" t="n">
        <v>0.28113126</v>
      </c>
      <c r="R15" s="20" t="n">
        <v>0.198229</v>
      </c>
    </row>
    <row r="16" spans="1:18">
      <c r="A16" s="15" t="s">
        <v>358</v>
      </c>
      <c r="B16" s="17" t="n">
        <v>6108</v>
      </c>
      <c r="C16" s="18">
        <f>(5340.0/B16*100)</f>
        <v/>
      </c>
      <c r="D16" s="19" t="n">
        <v>768</v>
      </c>
      <c r="E16" s="18" t="n">
        <v>33.86019953</v>
      </c>
      <c r="F16" s="20" t="n">
        <v>1.48957133</v>
      </c>
      <c r="G16" s="18" t="n">
        <v>65.50907054</v>
      </c>
      <c r="H16" s="20" t="n">
        <v>1.48611199</v>
      </c>
      <c r="I16" s="18" t="s">
        <v>349</v>
      </c>
      <c r="J16" s="20" t="s">
        <v>349</v>
      </c>
      <c r="K16" s="18" t="n">
        <v>0</v>
      </c>
      <c r="L16" s="20" t="n">
        <v>0</v>
      </c>
      <c r="M16" s="18" t="n">
        <v>0</v>
      </c>
      <c r="N16" s="20" t="n">
        <v>0</v>
      </c>
      <c r="O16" s="18" t="n">
        <v>0</v>
      </c>
      <c r="P16" s="20" t="n">
        <v>0</v>
      </c>
      <c r="Q16" s="18" t="n">
        <v>0.63072993</v>
      </c>
      <c r="R16" s="20" t="n">
        <v>0.30066984</v>
      </c>
    </row>
    <row r="17" spans="1:18">
      <c r="A17" s="15" t="s">
        <v>359</v>
      </c>
      <c r="B17" s="17" t="n">
        <v>6504</v>
      </c>
      <c r="C17" s="18">
        <f>(5721.0/B17*100)</f>
        <v/>
      </c>
      <c r="D17" s="19" t="n">
        <v>783</v>
      </c>
      <c r="E17" s="18" t="n">
        <v>27.18913438</v>
      </c>
      <c r="F17" s="20" t="n">
        <v>1.72410724</v>
      </c>
      <c r="G17" s="18" t="n">
        <v>71.8490848</v>
      </c>
      <c r="H17" s="20" t="n">
        <v>1.71542489</v>
      </c>
      <c r="I17" s="18" t="s">
        <v>349</v>
      </c>
      <c r="J17" s="20" t="s">
        <v>349</v>
      </c>
      <c r="K17" s="18" t="n">
        <v>0.14358725</v>
      </c>
      <c r="L17" s="20" t="n">
        <v>0.14413708</v>
      </c>
      <c r="M17" s="18" t="n">
        <v>0</v>
      </c>
      <c r="N17" s="20" t="n">
        <v>0</v>
      </c>
      <c r="O17" s="18" t="n">
        <v>0</v>
      </c>
      <c r="P17" s="20" t="n">
        <v>0</v>
      </c>
      <c r="Q17" s="18" t="n">
        <v>0.81819358</v>
      </c>
      <c r="R17" s="20" t="n">
        <v>0.33343697</v>
      </c>
    </row>
    <row r="18" spans="1:18">
      <c r="A18" s="15" t="s">
        <v>360</v>
      </c>
      <c r="B18" s="17" t="n">
        <v>5532</v>
      </c>
      <c r="C18" s="18">
        <f>(4866.0/B18*100)</f>
        <v/>
      </c>
      <c r="D18" s="19" t="n">
        <v>666</v>
      </c>
      <c r="E18" s="18" t="n">
        <v>39.3698768</v>
      </c>
      <c r="F18" s="20" t="n">
        <v>2.48189087</v>
      </c>
      <c r="G18" s="18" t="n">
        <v>60.1394526</v>
      </c>
      <c r="H18" s="20" t="n">
        <v>2.48143412</v>
      </c>
      <c r="I18" s="18" t="s">
        <v>349</v>
      </c>
      <c r="J18" s="20" t="s">
        <v>349</v>
      </c>
      <c r="K18" s="18" t="n">
        <v>0.27767533</v>
      </c>
      <c r="L18" s="20" t="n">
        <v>0.19539476</v>
      </c>
      <c r="M18" s="18" t="n">
        <v>0</v>
      </c>
      <c r="N18" s="20" t="n">
        <v>0</v>
      </c>
      <c r="O18" s="18" t="n">
        <v>0</v>
      </c>
      <c r="P18" s="20" t="n">
        <v>0</v>
      </c>
      <c r="Q18" s="18" t="n">
        <v>0.21299527</v>
      </c>
      <c r="R18" s="20" t="n">
        <v>0.15053348</v>
      </c>
    </row>
    <row r="19" spans="1:18">
      <c r="A19" s="15" t="s">
        <v>361</v>
      </c>
      <c r="B19" s="17" t="n">
        <v>5658</v>
      </c>
      <c r="C19" s="18">
        <f>(4960.0/B19*100)</f>
        <v/>
      </c>
      <c r="D19" s="19" t="n">
        <v>698</v>
      </c>
      <c r="E19" s="18" t="n">
        <v>30.12069158</v>
      </c>
      <c r="F19" s="20" t="n">
        <v>1.91861723</v>
      </c>
      <c r="G19" s="18" t="n">
        <v>69.61990086</v>
      </c>
      <c r="H19" s="20" t="n">
        <v>1.90535058</v>
      </c>
      <c r="I19" s="18" t="s">
        <v>349</v>
      </c>
      <c r="J19" s="20" t="s">
        <v>349</v>
      </c>
      <c r="K19" s="18" t="n">
        <v>0</v>
      </c>
      <c r="L19" s="20" t="n">
        <v>0</v>
      </c>
      <c r="M19" s="18" t="n">
        <v>0</v>
      </c>
      <c r="N19" s="20" t="n">
        <v>0</v>
      </c>
      <c r="O19" s="18" t="n">
        <v>0</v>
      </c>
      <c r="P19" s="20" t="n">
        <v>0</v>
      </c>
      <c r="Q19" s="18" t="n">
        <v>0.25940756</v>
      </c>
      <c r="R19" s="20" t="n">
        <v>0.18600536</v>
      </c>
    </row>
    <row r="20" spans="1:18">
      <c r="A20" s="15" t="s">
        <v>362</v>
      </c>
      <c r="B20" s="17" t="n">
        <v>3371</v>
      </c>
      <c r="C20" s="18">
        <f>(2936.0/B20*100)</f>
        <v/>
      </c>
      <c r="D20" s="19" t="n">
        <v>435</v>
      </c>
      <c r="E20" s="18" t="n">
        <v>29.46617928</v>
      </c>
      <c r="F20" s="20" t="n">
        <v>2.27898182</v>
      </c>
      <c r="G20" s="18" t="n">
        <v>69.41811204</v>
      </c>
      <c r="H20" s="20" t="n">
        <v>2.21441258</v>
      </c>
      <c r="I20" s="18" t="s">
        <v>349</v>
      </c>
      <c r="J20" s="20" t="s">
        <v>349</v>
      </c>
      <c r="K20" s="18" t="n">
        <v>0.22631516</v>
      </c>
      <c r="L20" s="20" t="n">
        <v>0.23024743</v>
      </c>
      <c r="M20" s="18" t="n">
        <v>0</v>
      </c>
      <c r="N20" s="20" t="n">
        <v>0</v>
      </c>
      <c r="O20" s="18" t="n">
        <v>0</v>
      </c>
      <c r="P20" s="20" t="n">
        <v>0</v>
      </c>
      <c r="Q20" s="18" t="n">
        <v>0.88939351</v>
      </c>
      <c r="R20" s="20" t="n">
        <v>0.44982362</v>
      </c>
    </row>
    <row r="21" spans="1:18">
      <c r="A21" s="15" t="s">
        <v>363</v>
      </c>
      <c r="B21" s="17" t="n">
        <v>5741</v>
      </c>
      <c r="C21" s="18">
        <f>(4809.0/B21*100)</f>
        <v/>
      </c>
      <c r="D21" s="19" t="n">
        <v>932</v>
      </c>
      <c r="E21" s="18" t="n">
        <v>40.25962085</v>
      </c>
      <c r="F21" s="20" t="n">
        <v>1.74062881</v>
      </c>
      <c r="G21" s="18" t="n">
        <v>59.43271826</v>
      </c>
      <c r="H21" s="20" t="n">
        <v>1.75520818</v>
      </c>
      <c r="I21" s="18" t="s">
        <v>349</v>
      </c>
      <c r="J21" s="20" t="s">
        <v>349</v>
      </c>
      <c r="K21" s="18" t="n">
        <v>0.08611700999999999</v>
      </c>
      <c r="L21" s="20" t="n">
        <v>0.08600604000000001</v>
      </c>
      <c r="M21" s="18" t="n">
        <v>0</v>
      </c>
      <c r="N21" s="20" t="n">
        <v>0</v>
      </c>
      <c r="O21" s="18" t="n">
        <v>0</v>
      </c>
      <c r="P21" s="20" t="n">
        <v>0</v>
      </c>
      <c r="Q21" s="18" t="n">
        <v>0.22154388</v>
      </c>
      <c r="R21" s="20" t="n">
        <v>0.15097548</v>
      </c>
    </row>
    <row r="22" spans="1:18">
      <c r="A22" s="15" t="s">
        <v>364</v>
      </c>
      <c r="B22" s="17" t="n">
        <v>6598</v>
      </c>
      <c r="C22" s="18">
        <f>(5769.0/B22*100)</f>
        <v/>
      </c>
      <c r="D22" s="19" t="n">
        <v>829</v>
      </c>
      <c r="E22" s="18" t="n">
        <v>49.26966043</v>
      </c>
      <c r="F22" s="20" t="n">
        <v>1.81766057</v>
      </c>
      <c r="G22" s="18" t="n">
        <v>49.12209384</v>
      </c>
      <c r="H22" s="20" t="n">
        <v>1.87608278</v>
      </c>
      <c r="I22" s="18" t="s">
        <v>349</v>
      </c>
      <c r="J22" s="20" t="s">
        <v>349</v>
      </c>
      <c r="K22" s="18" t="n">
        <v>0.10692014</v>
      </c>
      <c r="L22" s="20" t="n">
        <v>0.10645188</v>
      </c>
      <c r="M22" s="18" t="n">
        <v>0</v>
      </c>
      <c r="N22" s="20" t="n">
        <v>0</v>
      </c>
      <c r="O22" s="18" t="n">
        <v>0</v>
      </c>
      <c r="P22" s="20" t="n">
        <v>0</v>
      </c>
      <c r="Q22" s="18" t="n">
        <v>1.50132559</v>
      </c>
      <c r="R22" s="20" t="n">
        <v>0.38062944</v>
      </c>
    </row>
    <row r="23" spans="1:18">
      <c r="A23" s="15" t="s">
        <v>365</v>
      </c>
      <c r="B23" s="17" t="n">
        <v>11583</v>
      </c>
      <c r="C23" s="18">
        <f>(10152.0/B23*100)</f>
        <v/>
      </c>
      <c r="D23" s="19" t="n">
        <v>1431</v>
      </c>
      <c r="E23" s="18" t="n">
        <v>28.46631741</v>
      </c>
      <c r="F23" s="20" t="n">
        <v>1.65535357</v>
      </c>
      <c r="G23" s="18" t="n">
        <v>70.60026903000001</v>
      </c>
      <c r="H23" s="20" t="n">
        <v>1.69661961</v>
      </c>
      <c r="I23" s="18" t="s">
        <v>349</v>
      </c>
      <c r="J23" s="20" t="s">
        <v>349</v>
      </c>
      <c r="K23" s="18" t="n">
        <v>0.14278564</v>
      </c>
      <c r="L23" s="20" t="n">
        <v>0.10991686</v>
      </c>
      <c r="M23" s="18" t="n">
        <v>0</v>
      </c>
      <c r="N23" s="20" t="n">
        <v>0</v>
      </c>
      <c r="O23" s="18" t="n">
        <v>0</v>
      </c>
      <c r="P23" s="20" t="n">
        <v>0</v>
      </c>
      <c r="Q23" s="18" t="n">
        <v>0.79062792</v>
      </c>
      <c r="R23" s="20" t="n">
        <v>0.31965295</v>
      </c>
    </row>
    <row r="24" spans="1:18">
      <c r="A24" s="15" t="s">
        <v>366</v>
      </c>
      <c r="B24" s="17" t="n">
        <v>6647</v>
      </c>
      <c r="C24" s="18">
        <f>(5811.0/B24*100)</f>
        <v/>
      </c>
      <c r="D24" s="19" t="n">
        <v>836</v>
      </c>
      <c r="E24" s="18" t="n">
        <v>15.18983393</v>
      </c>
      <c r="F24" s="20" t="n">
        <v>1.13325836</v>
      </c>
      <c r="G24" s="18" t="n">
        <v>84.45261153</v>
      </c>
      <c r="H24" s="20" t="n">
        <v>1.15867455</v>
      </c>
      <c r="I24" s="18" t="s">
        <v>349</v>
      </c>
      <c r="J24" s="20" t="s">
        <v>349</v>
      </c>
      <c r="K24" s="18" t="n">
        <v>0.23377797</v>
      </c>
      <c r="L24" s="20" t="n">
        <v>0.16346737</v>
      </c>
      <c r="M24" s="18" t="n">
        <v>0</v>
      </c>
      <c r="N24" s="20" t="n">
        <v>0</v>
      </c>
      <c r="O24" s="18" t="n">
        <v>0</v>
      </c>
      <c r="P24" s="20" t="n">
        <v>0</v>
      </c>
      <c r="Q24" s="18" t="n">
        <v>0.12377657</v>
      </c>
      <c r="R24" s="20" t="n">
        <v>0.11855881</v>
      </c>
    </row>
    <row r="25" spans="1:18">
      <c r="A25" s="15" t="s">
        <v>367</v>
      </c>
      <c r="B25" s="17" t="n">
        <v>5581</v>
      </c>
      <c r="C25" s="18">
        <f>(4887.0/B25*100)</f>
        <v/>
      </c>
      <c r="D25" s="19" t="n">
        <v>694</v>
      </c>
      <c r="E25" s="18" t="n">
        <v>20.55125454</v>
      </c>
      <c r="F25" s="20" t="n">
        <v>1.46156069</v>
      </c>
      <c r="G25" s="18" t="n">
        <v>79.28885618</v>
      </c>
      <c r="H25" s="20" t="n">
        <v>1.46633537</v>
      </c>
      <c r="I25" s="18" t="s">
        <v>349</v>
      </c>
      <c r="J25" s="20" t="s">
        <v>349</v>
      </c>
      <c r="K25" s="18" t="n">
        <v>0</v>
      </c>
      <c r="L25" s="20" t="n">
        <v>0</v>
      </c>
      <c r="M25" s="18" t="n">
        <v>0</v>
      </c>
      <c r="N25" s="20" t="n">
        <v>0</v>
      </c>
      <c r="O25" s="18" t="n">
        <v>0</v>
      </c>
      <c r="P25" s="20" t="n">
        <v>0</v>
      </c>
      <c r="Q25" s="18" t="n">
        <v>0.15988928</v>
      </c>
      <c r="R25" s="20" t="n">
        <v>0.15967532</v>
      </c>
    </row>
    <row r="26" spans="1:18">
      <c r="A26" s="15" t="s">
        <v>368</v>
      </c>
      <c r="B26" s="17" t="n">
        <v>4869</v>
      </c>
      <c r="C26" s="18">
        <f>(4282.0/B26*100)</f>
        <v/>
      </c>
      <c r="D26" s="19" t="n">
        <v>587</v>
      </c>
      <c r="E26" s="18" t="n">
        <v>27.78687726</v>
      </c>
      <c r="F26" s="20" t="n">
        <v>2.20452763</v>
      </c>
      <c r="G26" s="18" t="n">
        <v>72.21312274</v>
      </c>
      <c r="H26" s="20" t="n">
        <v>2.20452763</v>
      </c>
      <c r="I26" s="18" t="s">
        <v>349</v>
      </c>
      <c r="J26" s="20" t="s">
        <v>349</v>
      </c>
      <c r="K26" s="18" t="n">
        <v>0</v>
      </c>
      <c r="L26" s="20" t="n">
        <v>0</v>
      </c>
      <c r="M26" s="18" t="n">
        <v>0</v>
      </c>
      <c r="N26" s="20" t="n">
        <v>0</v>
      </c>
      <c r="O26" s="18" t="n">
        <v>0</v>
      </c>
      <c r="P26" s="20" t="n">
        <v>0</v>
      </c>
      <c r="Q26" s="18" t="n">
        <v>0</v>
      </c>
      <c r="R26" s="20" t="n">
        <v>0</v>
      </c>
    </row>
    <row r="27" spans="1:18">
      <c r="A27" s="15" t="s">
        <v>369</v>
      </c>
      <c r="B27" s="17" t="n">
        <v>5299</v>
      </c>
      <c r="C27" s="18">
        <f>(4663.0/B27*100)</f>
        <v/>
      </c>
      <c r="D27" s="19" t="n">
        <v>636</v>
      </c>
      <c r="E27" s="18" t="n">
        <v>33.86173225</v>
      </c>
      <c r="F27" s="20" t="n">
        <v>1.89408157</v>
      </c>
      <c r="G27" s="18" t="n">
        <v>65.48888642</v>
      </c>
      <c r="H27" s="20" t="n">
        <v>1.90119492</v>
      </c>
      <c r="I27" s="18" t="s">
        <v>349</v>
      </c>
      <c r="J27" s="20" t="s">
        <v>349</v>
      </c>
      <c r="K27" s="18" t="n">
        <v>0</v>
      </c>
      <c r="L27" s="20" t="n">
        <v>0</v>
      </c>
      <c r="M27" s="18" t="n">
        <v>0</v>
      </c>
      <c r="N27" s="20" t="n">
        <v>0</v>
      </c>
      <c r="O27" s="18" t="n">
        <v>0</v>
      </c>
      <c r="P27" s="20" t="n">
        <v>0</v>
      </c>
      <c r="Q27" s="18" t="n">
        <v>0.64938133</v>
      </c>
      <c r="R27" s="20" t="n">
        <v>0.31707846</v>
      </c>
    </row>
    <row r="28" spans="1:18">
      <c r="A28" s="15" t="s">
        <v>370</v>
      </c>
      <c r="B28" s="17" t="n">
        <v>7568</v>
      </c>
      <c r="C28" s="18">
        <f>(6659.0/B28*100)</f>
        <v/>
      </c>
      <c r="D28" s="19" t="n">
        <v>909</v>
      </c>
      <c r="E28" s="18" t="n">
        <v>55.26024152</v>
      </c>
      <c r="F28" s="20" t="n">
        <v>1.66584088</v>
      </c>
      <c r="G28" s="18" t="n">
        <v>43.3908045</v>
      </c>
      <c r="H28" s="20" t="n">
        <v>1.71231393</v>
      </c>
      <c r="I28" s="18" t="s">
        <v>349</v>
      </c>
      <c r="J28" s="20" t="s">
        <v>349</v>
      </c>
      <c r="K28" s="18" t="n">
        <v>0</v>
      </c>
      <c r="L28" s="20" t="n">
        <v>0</v>
      </c>
      <c r="M28" s="18" t="n">
        <v>0</v>
      </c>
      <c r="N28" s="20" t="n">
        <v>0</v>
      </c>
      <c r="O28" s="18" t="n">
        <v>0</v>
      </c>
      <c r="P28" s="20" t="n">
        <v>0</v>
      </c>
      <c r="Q28" s="18" t="n">
        <v>1.34895398</v>
      </c>
      <c r="R28" s="20" t="n">
        <v>0.48515616</v>
      </c>
    </row>
    <row r="29" spans="1:18">
      <c r="A29" s="15" t="s">
        <v>371</v>
      </c>
      <c r="B29" s="17" t="n">
        <v>5385</v>
      </c>
      <c r="C29" s="18">
        <f>(4744.0/B29*100)</f>
        <v/>
      </c>
      <c r="D29" s="19" t="n">
        <v>641</v>
      </c>
      <c r="E29" s="18" t="n">
        <v>32.20955224</v>
      </c>
      <c r="F29" s="20" t="n">
        <v>1.60520414</v>
      </c>
      <c r="G29" s="18" t="n">
        <v>67.28847896000001</v>
      </c>
      <c r="H29" s="20" t="n">
        <v>1.63212226</v>
      </c>
      <c r="I29" s="18" t="s">
        <v>349</v>
      </c>
      <c r="J29" s="20" t="s">
        <v>349</v>
      </c>
      <c r="K29" s="18" t="n">
        <v>0.23755655</v>
      </c>
      <c r="L29" s="20" t="n">
        <v>0.2116097</v>
      </c>
      <c r="M29" s="18" t="n">
        <v>0</v>
      </c>
      <c r="N29" s="20" t="n">
        <v>0</v>
      </c>
      <c r="O29" s="18" t="n">
        <v>0</v>
      </c>
      <c r="P29" s="20" t="n">
        <v>0</v>
      </c>
      <c r="Q29" s="18" t="n">
        <v>0.26441225</v>
      </c>
      <c r="R29" s="20" t="n">
        <v>0.1847376</v>
      </c>
    </row>
    <row r="30" spans="1:18">
      <c r="A30" s="15" t="s">
        <v>372</v>
      </c>
      <c r="B30" s="17" t="n">
        <v>4520</v>
      </c>
      <c r="C30" s="18">
        <f>(3950.0/B30*100)</f>
        <v/>
      </c>
      <c r="D30" s="19" t="n">
        <v>570</v>
      </c>
      <c r="E30" s="18" t="n">
        <v>29.79049652</v>
      </c>
      <c r="F30" s="20" t="n">
        <v>2.01086392</v>
      </c>
      <c r="G30" s="18" t="n">
        <v>69.93900309</v>
      </c>
      <c r="H30" s="20" t="n">
        <v>2.00923707</v>
      </c>
      <c r="I30" s="18" t="s">
        <v>349</v>
      </c>
      <c r="J30" s="20" t="s">
        <v>349</v>
      </c>
      <c r="K30" s="18" t="n">
        <v>0.1089413</v>
      </c>
      <c r="L30" s="20" t="n">
        <v>0.10961868</v>
      </c>
      <c r="M30" s="18" t="n">
        <v>0</v>
      </c>
      <c r="N30" s="20" t="n">
        <v>0</v>
      </c>
      <c r="O30" s="18" t="n">
        <v>0</v>
      </c>
      <c r="P30" s="20" t="n">
        <v>0</v>
      </c>
      <c r="Q30" s="18" t="n">
        <v>0.1615591</v>
      </c>
      <c r="R30" s="20" t="n">
        <v>0.16084802</v>
      </c>
    </row>
    <row r="31" spans="1:18">
      <c r="A31" s="15" t="s">
        <v>373</v>
      </c>
      <c r="B31" s="17" t="n">
        <v>5456</v>
      </c>
      <c r="C31" s="18">
        <f>(4759.0/B31*100)</f>
        <v/>
      </c>
      <c r="D31" s="19" t="n">
        <v>697</v>
      </c>
      <c r="E31" s="18" t="n">
        <v>29.83817509</v>
      </c>
      <c r="F31" s="20" t="n">
        <v>1.59964833</v>
      </c>
      <c r="G31" s="18" t="n">
        <v>69.45086430000001</v>
      </c>
      <c r="H31" s="20" t="n">
        <v>1.61393652</v>
      </c>
      <c r="I31" s="18" t="s">
        <v>349</v>
      </c>
      <c r="J31" s="20" t="s">
        <v>349</v>
      </c>
      <c r="K31" s="18" t="n">
        <v>0</v>
      </c>
      <c r="L31" s="20" t="n">
        <v>0</v>
      </c>
      <c r="M31" s="18" t="n">
        <v>0</v>
      </c>
      <c r="N31" s="20" t="n">
        <v>0</v>
      </c>
      <c r="O31" s="18" t="n">
        <v>0</v>
      </c>
      <c r="P31" s="20" t="n">
        <v>0</v>
      </c>
      <c r="Q31" s="18" t="n">
        <v>0.71096061</v>
      </c>
      <c r="R31" s="20" t="n">
        <v>0.33241089</v>
      </c>
    </row>
    <row r="32" spans="1:18">
      <c r="A32" s="15" t="s">
        <v>374</v>
      </c>
      <c r="B32" s="17" t="n">
        <v>4478</v>
      </c>
      <c r="C32" s="18">
        <f>(3755.0/B32*100)</f>
        <v/>
      </c>
      <c r="D32" s="19" t="n">
        <v>723</v>
      </c>
      <c r="E32" s="18" t="n">
        <v>24.69314953</v>
      </c>
      <c r="F32" s="20" t="n">
        <v>1.77146993</v>
      </c>
      <c r="G32" s="18" t="n">
        <v>75.04984918</v>
      </c>
      <c r="H32" s="20" t="n">
        <v>1.77830709</v>
      </c>
      <c r="I32" s="18" t="s">
        <v>349</v>
      </c>
      <c r="J32" s="20" t="s">
        <v>349</v>
      </c>
      <c r="K32" s="18" t="n">
        <v>0</v>
      </c>
      <c r="L32" s="20" t="n">
        <v>0</v>
      </c>
      <c r="M32" s="18" t="n">
        <v>0</v>
      </c>
      <c r="N32" s="20" t="n">
        <v>0</v>
      </c>
      <c r="O32" s="18" t="n">
        <v>0</v>
      </c>
      <c r="P32" s="20" t="n">
        <v>0</v>
      </c>
      <c r="Q32" s="18" t="n">
        <v>0.25700129</v>
      </c>
      <c r="R32" s="20" t="n">
        <v>0.18170924</v>
      </c>
    </row>
    <row r="33" spans="1:18">
      <c r="A33" s="15" t="s">
        <v>375</v>
      </c>
      <c r="B33" s="17" t="n">
        <v>7325</v>
      </c>
      <c r="C33" s="18">
        <f>(6410.0/B33*100)</f>
        <v/>
      </c>
      <c r="D33" s="19" t="n">
        <v>915</v>
      </c>
      <c r="E33" s="18" t="n">
        <v>29.94919902</v>
      </c>
      <c r="F33" s="20" t="n">
        <v>1.96474159</v>
      </c>
      <c r="G33" s="18" t="n">
        <v>68.59685235000001</v>
      </c>
      <c r="H33" s="20" t="n">
        <v>1.94677351</v>
      </c>
      <c r="I33" s="18" t="s">
        <v>349</v>
      </c>
      <c r="J33" s="20" t="s">
        <v>349</v>
      </c>
      <c r="K33" s="18" t="n">
        <v>0.16808084</v>
      </c>
      <c r="L33" s="20" t="n">
        <v>0.14094484</v>
      </c>
      <c r="M33" s="18" t="n">
        <v>0</v>
      </c>
      <c r="N33" s="20" t="n">
        <v>0</v>
      </c>
      <c r="O33" s="18" t="n">
        <v>0</v>
      </c>
      <c r="P33" s="20" t="n">
        <v>0</v>
      </c>
      <c r="Q33" s="18" t="n">
        <v>1.28586779</v>
      </c>
      <c r="R33" s="20" t="n">
        <v>0.45352387</v>
      </c>
    </row>
    <row r="34" spans="1:18">
      <c r="A34" s="15" t="s">
        <v>376</v>
      </c>
      <c r="B34" s="17" t="n">
        <v>6350</v>
      </c>
      <c r="C34" s="18">
        <f>(5576.0/B34*100)</f>
        <v/>
      </c>
      <c r="D34" s="19" t="n">
        <v>774</v>
      </c>
      <c r="E34" s="18" t="n">
        <v>27.81155074</v>
      </c>
      <c r="F34" s="20" t="n">
        <v>1.69511982</v>
      </c>
      <c r="G34" s="18" t="n">
        <v>71.90799079999999</v>
      </c>
      <c r="H34" s="20" t="n">
        <v>1.72343197</v>
      </c>
      <c r="I34" s="18" t="s">
        <v>349</v>
      </c>
      <c r="J34" s="20" t="s">
        <v>349</v>
      </c>
      <c r="K34" s="18" t="n">
        <v>0.19067469</v>
      </c>
      <c r="L34" s="20" t="n">
        <v>0.18875629</v>
      </c>
      <c r="M34" s="18" t="n">
        <v>0</v>
      </c>
      <c r="N34" s="20" t="n">
        <v>0</v>
      </c>
      <c r="O34" s="18" t="n">
        <v>0</v>
      </c>
      <c r="P34" s="20" t="n">
        <v>0</v>
      </c>
      <c r="Q34" s="18" t="n">
        <v>0.08978377</v>
      </c>
      <c r="R34" s="20" t="n">
        <v>0.08976744</v>
      </c>
    </row>
    <row r="35" spans="1:18">
      <c r="A35" s="15" t="s">
        <v>377</v>
      </c>
      <c r="B35" s="17" t="n">
        <v>6406</v>
      </c>
      <c r="C35" s="18">
        <f>(5637.0/B35*100)</f>
        <v/>
      </c>
      <c r="D35" s="19" t="n">
        <v>769</v>
      </c>
      <c r="E35" s="18" t="n">
        <v>27.75379041</v>
      </c>
      <c r="F35" s="20" t="n">
        <v>2.30903209</v>
      </c>
      <c r="G35" s="18" t="n">
        <v>72.24620959000001</v>
      </c>
      <c r="H35" s="20" t="n">
        <v>2.30903209</v>
      </c>
      <c r="I35" s="18" t="s">
        <v>349</v>
      </c>
      <c r="J35" s="20" t="s">
        <v>349</v>
      </c>
      <c r="K35" s="18" t="n">
        <v>0</v>
      </c>
      <c r="L35" s="20" t="n">
        <v>0</v>
      </c>
      <c r="M35" s="18" t="n">
        <v>0</v>
      </c>
      <c r="N35" s="20" t="n">
        <v>0</v>
      </c>
      <c r="O35" s="18" t="n">
        <v>0</v>
      </c>
      <c r="P35" s="20" t="n">
        <v>0</v>
      </c>
      <c r="Q35" s="18" t="n">
        <v>0</v>
      </c>
      <c r="R35" s="20" t="n">
        <v>0</v>
      </c>
    </row>
    <row r="36" spans="1:18">
      <c r="A36" s="15" t="s">
        <v>378</v>
      </c>
      <c r="B36" s="17" t="n">
        <v>6736</v>
      </c>
      <c r="C36" s="18">
        <f>(5921.0/B36*100)</f>
        <v/>
      </c>
      <c r="D36" s="19" t="n">
        <v>815</v>
      </c>
      <c r="E36" s="18" t="n">
        <v>34.05865594</v>
      </c>
      <c r="F36" s="20" t="n">
        <v>1.54401069</v>
      </c>
      <c r="G36" s="18" t="n">
        <v>65.12315608</v>
      </c>
      <c r="H36" s="20" t="n">
        <v>1.62587967</v>
      </c>
      <c r="I36" s="18" t="s">
        <v>349</v>
      </c>
      <c r="J36" s="20" t="s">
        <v>349</v>
      </c>
      <c r="K36" s="18" t="n">
        <v>0.33491496</v>
      </c>
      <c r="L36" s="20" t="n">
        <v>0.24050018</v>
      </c>
      <c r="M36" s="18" t="n">
        <v>0</v>
      </c>
      <c r="N36" s="20" t="n">
        <v>0</v>
      </c>
      <c r="O36" s="18" t="n">
        <v>0</v>
      </c>
      <c r="P36" s="20" t="n">
        <v>0</v>
      </c>
      <c r="Q36" s="18" t="n">
        <v>0.48327302</v>
      </c>
      <c r="R36" s="20" t="n">
        <v>0.274213</v>
      </c>
    </row>
    <row r="37" spans="1:18">
      <c r="A37" s="15" t="s">
        <v>379</v>
      </c>
      <c r="B37" s="17" t="n">
        <v>5458</v>
      </c>
      <c r="C37" s="18">
        <f>(4826.0/B37*100)</f>
        <v/>
      </c>
      <c r="D37" s="19" t="n">
        <v>632</v>
      </c>
      <c r="E37" s="18" t="n">
        <v>26.56579376</v>
      </c>
      <c r="F37" s="20" t="n">
        <v>1.85425687</v>
      </c>
      <c r="G37" s="18" t="n">
        <v>72.38331595</v>
      </c>
      <c r="H37" s="20" t="n">
        <v>1.88138476</v>
      </c>
      <c r="I37" s="18" t="s">
        <v>349</v>
      </c>
      <c r="J37" s="20" t="s">
        <v>349</v>
      </c>
      <c r="K37" s="18" t="n">
        <v>0.17684372</v>
      </c>
      <c r="L37" s="20" t="n">
        <v>0.17467745</v>
      </c>
      <c r="M37" s="18" t="n">
        <v>0</v>
      </c>
      <c r="N37" s="20" t="n">
        <v>0</v>
      </c>
      <c r="O37" s="18" t="n">
        <v>0</v>
      </c>
      <c r="P37" s="20" t="n">
        <v>0</v>
      </c>
      <c r="Q37" s="18" t="n">
        <v>0.87404657</v>
      </c>
      <c r="R37" s="20" t="n">
        <v>0.35437415</v>
      </c>
    </row>
    <row r="38" spans="1:18">
      <c r="A38" s="15" t="s">
        <v>380</v>
      </c>
      <c r="B38" s="17" t="n">
        <v>5860</v>
      </c>
      <c r="C38" s="18">
        <f>(4894.0/B38*100)</f>
        <v/>
      </c>
      <c r="D38" s="19" t="n">
        <v>966</v>
      </c>
      <c r="E38" s="18" t="n">
        <v>28.44953127</v>
      </c>
      <c r="F38" s="20" t="n">
        <v>1.52815795</v>
      </c>
      <c r="G38" s="18" t="n">
        <v>70.71698386</v>
      </c>
      <c r="H38" s="20" t="n">
        <v>1.51981775</v>
      </c>
      <c r="I38" s="18" t="s">
        <v>349</v>
      </c>
      <c r="J38" s="20" t="s">
        <v>349</v>
      </c>
      <c r="K38" s="18" t="n">
        <v>0.08585382</v>
      </c>
      <c r="L38" s="20" t="n">
        <v>0.08596151</v>
      </c>
      <c r="M38" s="18" t="n">
        <v>0</v>
      </c>
      <c r="N38" s="20" t="n">
        <v>0</v>
      </c>
      <c r="O38" s="18" t="n">
        <v>0</v>
      </c>
      <c r="P38" s="20" t="n">
        <v>0</v>
      </c>
      <c r="Q38" s="18" t="n">
        <v>0.74763105</v>
      </c>
      <c r="R38" s="20" t="n">
        <v>0.32777492</v>
      </c>
    </row>
    <row r="39" spans="1:18">
      <c r="A39" s="15" t="s">
        <v>381</v>
      </c>
      <c r="B39" s="17" t="n">
        <v>5895</v>
      </c>
      <c r="C39" s="18">
        <f>(5171.0/B39*100)</f>
        <v/>
      </c>
      <c r="D39" s="19" t="n">
        <v>724</v>
      </c>
      <c r="E39" s="18" t="n">
        <v>49.84852815</v>
      </c>
      <c r="F39" s="20" t="n">
        <v>2.24051676</v>
      </c>
      <c r="G39" s="18" t="n">
        <v>48.15640387</v>
      </c>
      <c r="H39" s="20" t="n">
        <v>2.40795555</v>
      </c>
      <c r="I39" s="18" t="s">
        <v>349</v>
      </c>
      <c r="J39" s="20" t="s">
        <v>349</v>
      </c>
      <c r="K39" s="18" t="n">
        <v>0.15145627</v>
      </c>
      <c r="L39" s="20" t="n">
        <v>0.21487175</v>
      </c>
      <c r="M39" s="18" t="n">
        <v>0</v>
      </c>
      <c r="N39" s="20" t="n">
        <v>0</v>
      </c>
      <c r="O39" s="18" t="n">
        <v>0</v>
      </c>
      <c r="P39" s="20" t="n">
        <v>0</v>
      </c>
      <c r="Q39" s="18" t="n">
        <v>1.84361171</v>
      </c>
      <c r="R39" s="20" t="n">
        <v>0.56015504</v>
      </c>
    </row>
    <row r="40" spans="1:18">
      <c r="A40" s="15" t="s">
        <v>382</v>
      </c>
      <c r="B40" s="17" t="n">
        <v>14157</v>
      </c>
      <c r="C40" s="18">
        <f>(12401.0/B40*100)</f>
        <v/>
      </c>
      <c r="D40" s="19" t="n">
        <v>1756</v>
      </c>
      <c r="E40" s="18" t="n">
        <v>35.46881696</v>
      </c>
      <c r="F40" s="20" t="n">
        <v>1.73149345</v>
      </c>
      <c r="G40" s="18" t="n">
        <v>63.94667306</v>
      </c>
      <c r="H40" s="20" t="n">
        <v>1.72769307</v>
      </c>
      <c r="I40" s="18" t="s">
        <v>349</v>
      </c>
      <c r="J40" s="20" t="s">
        <v>349</v>
      </c>
      <c r="K40" s="18" t="n">
        <v>0.01342931</v>
      </c>
      <c r="L40" s="20" t="n">
        <v>0.01355866</v>
      </c>
      <c r="M40" s="18" t="n">
        <v>0</v>
      </c>
      <c r="N40" s="20" t="n">
        <v>0</v>
      </c>
      <c r="O40" s="18" t="n">
        <v>0</v>
      </c>
      <c r="P40" s="20" t="n">
        <v>0</v>
      </c>
      <c r="Q40" s="18" t="n">
        <v>0.57108067</v>
      </c>
      <c r="R40" s="20" t="n">
        <v>0.33239609</v>
      </c>
    </row>
    <row r="41" spans="1:18">
      <c r="A41" s="15" t="s">
        <v>383</v>
      </c>
      <c r="B41" s="17" t="n">
        <v>5712</v>
      </c>
      <c r="C41" s="18">
        <f>(5037.0/B41*100)</f>
        <v/>
      </c>
      <c r="D41" s="19" t="n">
        <v>675</v>
      </c>
      <c r="E41" s="18" t="n">
        <v>41.4245355</v>
      </c>
      <c r="F41" s="20" t="n">
        <v>2.03814688</v>
      </c>
      <c r="G41" s="18" t="n">
        <v>58.30712867</v>
      </c>
      <c r="H41" s="20" t="n">
        <v>2.10141154</v>
      </c>
      <c r="I41" s="18" t="s">
        <v>349</v>
      </c>
      <c r="J41" s="20" t="s">
        <v>349</v>
      </c>
      <c r="K41" s="18" t="n">
        <v>0.1404429</v>
      </c>
      <c r="L41" s="20" t="n">
        <v>0.13604005</v>
      </c>
      <c r="M41" s="18" t="n">
        <v>0</v>
      </c>
      <c r="N41" s="20" t="n">
        <v>0</v>
      </c>
      <c r="O41" s="18" t="n">
        <v>0</v>
      </c>
      <c r="P41" s="20" t="n">
        <v>0</v>
      </c>
      <c r="Q41" s="18" t="n">
        <v>0.12789292</v>
      </c>
      <c r="R41" s="20" t="n">
        <v>0.12399773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(20434.0/B46*100)</f>
        <v/>
      </c>
      <c r="D46" s="19" t="n">
        <v>2707</v>
      </c>
      <c r="E46" s="18" t="n">
        <v>59.56503637</v>
      </c>
      <c r="F46" s="20" t="n">
        <v>1.45063035</v>
      </c>
      <c r="G46" s="18" t="n">
        <v>38.40409108</v>
      </c>
      <c r="H46" s="20" t="n">
        <v>1.51098921</v>
      </c>
      <c r="I46" s="18" t="s">
        <v>349</v>
      </c>
      <c r="J46" s="20" t="s">
        <v>349</v>
      </c>
      <c r="K46" s="18" t="n">
        <v>0.33722453</v>
      </c>
      <c r="L46" s="20" t="n">
        <v>0.14124418</v>
      </c>
      <c r="M46" s="18" t="n">
        <v>0</v>
      </c>
      <c r="N46" s="20" t="n">
        <v>0</v>
      </c>
      <c r="O46" s="18" t="n">
        <v>0</v>
      </c>
      <c r="P46" s="20" t="n">
        <v>0</v>
      </c>
      <c r="Q46" s="18" t="n">
        <v>1.69364802</v>
      </c>
      <c r="R46" s="20" t="n">
        <v>0.27572349</v>
      </c>
    </row>
    <row r="47" spans="1:18">
      <c r="A47" s="15" t="s">
        <v>389</v>
      </c>
      <c r="B47" s="17" t="n">
        <v>5928</v>
      </c>
      <c r="C47" s="18">
        <f>(5211.0/B47*100)</f>
        <v/>
      </c>
      <c r="D47" s="19" t="n">
        <v>717</v>
      </c>
      <c r="E47" s="18" t="n">
        <v>38.43694508</v>
      </c>
      <c r="F47" s="20" t="n">
        <v>2.15279379</v>
      </c>
      <c r="G47" s="18" t="n">
        <v>61.00024499</v>
      </c>
      <c r="H47" s="20" t="n">
        <v>2.0748703</v>
      </c>
      <c r="I47" s="18" t="s">
        <v>349</v>
      </c>
      <c r="J47" s="20" t="s">
        <v>349</v>
      </c>
      <c r="K47" s="18" t="n">
        <v>0.13169961</v>
      </c>
      <c r="L47" s="20" t="n">
        <v>0.12635619</v>
      </c>
      <c r="M47" s="18" t="n">
        <v>0</v>
      </c>
      <c r="N47" s="20" t="n">
        <v>0</v>
      </c>
      <c r="O47" s="18" t="n">
        <v>0</v>
      </c>
      <c r="P47" s="20" t="n">
        <v>0</v>
      </c>
      <c r="Q47" s="18" t="n">
        <v>0.43111032</v>
      </c>
      <c r="R47" s="20" t="n">
        <v>0.26248705</v>
      </c>
    </row>
    <row r="48" spans="1:18">
      <c r="A48" s="15" t="s">
        <v>390</v>
      </c>
      <c r="B48" s="17" t="n">
        <v>9841</v>
      </c>
      <c r="C48" s="18">
        <f>(8598.0/B48*100)</f>
        <v/>
      </c>
      <c r="D48" s="19" t="n">
        <v>1243</v>
      </c>
      <c r="E48" s="18" t="n">
        <v>34.21913491</v>
      </c>
      <c r="F48" s="20" t="n">
        <v>1.67746881</v>
      </c>
      <c r="G48" s="18" t="n">
        <v>65.37422332</v>
      </c>
      <c r="H48" s="20" t="n">
        <v>1.69671161</v>
      </c>
      <c r="I48" s="18" t="s">
        <v>349</v>
      </c>
      <c r="J48" s="20" t="s">
        <v>349</v>
      </c>
      <c r="K48" s="18" t="n">
        <v>0.15747613</v>
      </c>
      <c r="L48" s="20" t="n">
        <v>0.11781106</v>
      </c>
      <c r="M48" s="18" t="n">
        <v>0</v>
      </c>
      <c r="N48" s="20" t="n">
        <v>0</v>
      </c>
      <c r="O48" s="18" t="n">
        <v>0</v>
      </c>
      <c r="P48" s="20" t="n">
        <v>0</v>
      </c>
      <c r="Q48" s="18" t="n">
        <v>0.24916563</v>
      </c>
      <c r="R48" s="20" t="n">
        <v>0.17413618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(10350.0/B50*100)</f>
        <v/>
      </c>
      <c r="D50" s="19" t="n">
        <v>1445</v>
      </c>
      <c r="E50" s="18" t="n">
        <v>62.85206202</v>
      </c>
      <c r="F50" s="20" t="n">
        <v>1.61036747</v>
      </c>
      <c r="G50" s="18" t="n">
        <v>36.31260776</v>
      </c>
      <c r="H50" s="20" t="n">
        <v>1.64535106</v>
      </c>
      <c r="I50" s="18" t="s">
        <v>349</v>
      </c>
      <c r="J50" s="20" t="s">
        <v>349</v>
      </c>
      <c r="K50" s="18" t="n">
        <v>0.21619235</v>
      </c>
      <c r="L50" s="20" t="n">
        <v>0.12607563</v>
      </c>
      <c r="M50" s="18" t="n">
        <v>0</v>
      </c>
      <c r="N50" s="20" t="n">
        <v>0</v>
      </c>
      <c r="O50" s="18" t="n">
        <v>0</v>
      </c>
      <c r="P50" s="20" t="n">
        <v>0</v>
      </c>
      <c r="Q50" s="18" t="n">
        <v>0.61913786</v>
      </c>
      <c r="R50" s="20" t="n">
        <v>0.23294673</v>
      </c>
    </row>
    <row r="51" spans="1:18">
      <c r="A51" s="15" t="s">
        <v>393</v>
      </c>
      <c r="B51" s="17" t="n">
        <v>6866</v>
      </c>
      <c r="C51" s="18">
        <f>(6113.0/B51*100)</f>
        <v/>
      </c>
      <c r="D51" s="19" t="n">
        <v>753</v>
      </c>
      <c r="E51" s="18" t="n">
        <v>60.57690512</v>
      </c>
      <c r="F51" s="20" t="n">
        <v>1.80150128</v>
      </c>
      <c r="G51" s="18" t="n">
        <v>38.22302212</v>
      </c>
      <c r="H51" s="20" t="n">
        <v>1.84337757</v>
      </c>
      <c r="I51" s="18" t="s">
        <v>349</v>
      </c>
      <c r="J51" s="20" t="s">
        <v>349</v>
      </c>
      <c r="K51" s="18" t="n">
        <v>0</v>
      </c>
      <c r="L51" s="20" t="n">
        <v>0</v>
      </c>
      <c r="M51" s="18" t="n">
        <v>0</v>
      </c>
      <c r="N51" s="20" t="n">
        <v>0</v>
      </c>
      <c r="O51" s="18" t="n">
        <v>0</v>
      </c>
      <c r="P51" s="20" t="n">
        <v>0</v>
      </c>
      <c r="Q51" s="18" t="n">
        <v>1.20007277</v>
      </c>
      <c r="R51" s="20" t="n">
        <v>0.39200333</v>
      </c>
    </row>
    <row r="52" spans="1:18">
      <c r="A52" s="15" t="s">
        <v>394</v>
      </c>
      <c r="B52" s="17" t="n">
        <v>5809</v>
      </c>
      <c r="C52" s="18">
        <f>(5090.0/B52*100)</f>
        <v/>
      </c>
      <c r="D52" s="19" t="n">
        <v>719</v>
      </c>
      <c r="E52" s="18" t="n">
        <v>34.84323063</v>
      </c>
      <c r="F52" s="20" t="n">
        <v>2.09258043</v>
      </c>
      <c r="G52" s="18" t="n">
        <v>64.73867394</v>
      </c>
      <c r="H52" s="20" t="n">
        <v>2.1357022</v>
      </c>
      <c r="I52" s="18" t="s">
        <v>349</v>
      </c>
      <c r="J52" s="20" t="s">
        <v>349</v>
      </c>
      <c r="K52" s="18" t="n">
        <v>0</v>
      </c>
      <c r="L52" s="20" t="n">
        <v>0</v>
      </c>
      <c r="M52" s="18" t="n">
        <v>0</v>
      </c>
      <c r="N52" s="20" t="n">
        <v>0</v>
      </c>
      <c r="O52" s="18" t="n">
        <v>0</v>
      </c>
      <c r="P52" s="20" t="n">
        <v>0</v>
      </c>
      <c r="Q52" s="18" t="n">
        <v>0.41809542</v>
      </c>
      <c r="R52" s="20" t="n">
        <v>0.23632183</v>
      </c>
    </row>
    <row r="53" spans="1:18">
      <c r="A53" s="15" t="s">
        <v>395</v>
      </c>
      <c r="B53" s="17" t="n">
        <v>5571</v>
      </c>
      <c r="C53" s="18">
        <f>(4864.0/B53*100)</f>
        <v/>
      </c>
      <c r="D53" s="19" t="n">
        <v>707</v>
      </c>
      <c r="E53" s="18" t="n">
        <v>34.80299893</v>
      </c>
      <c r="F53" s="20" t="n">
        <v>2.10449541</v>
      </c>
      <c r="G53" s="18" t="n">
        <v>64.95689149</v>
      </c>
      <c r="H53" s="20" t="n">
        <v>2.10721084</v>
      </c>
      <c r="I53" s="18" t="s">
        <v>349</v>
      </c>
      <c r="J53" s="20" t="s">
        <v>349</v>
      </c>
      <c r="K53" s="18" t="n">
        <v>0.13922061</v>
      </c>
      <c r="L53" s="20" t="n">
        <v>0.1387469</v>
      </c>
      <c r="M53" s="18" t="n">
        <v>0</v>
      </c>
      <c r="N53" s="20" t="n">
        <v>0</v>
      </c>
      <c r="O53" s="18" t="n">
        <v>0</v>
      </c>
      <c r="P53" s="20" t="n">
        <v>0</v>
      </c>
      <c r="Q53" s="18" t="n">
        <v>0.10088897</v>
      </c>
      <c r="R53" s="20" t="n">
        <v>0.10099451</v>
      </c>
    </row>
    <row r="54" spans="1:18">
      <c r="A54" s="15" t="s">
        <v>396</v>
      </c>
      <c r="B54" s="17" t="n">
        <v>4740</v>
      </c>
      <c r="C54" s="18">
        <f>(3945.0/B54*100)</f>
        <v/>
      </c>
      <c r="D54" s="19" t="n">
        <v>795</v>
      </c>
      <c r="E54" s="18" t="n">
        <v>75.14803254</v>
      </c>
      <c r="F54" s="20" t="n">
        <v>1.93860443</v>
      </c>
      <c r="G54" s="18" t="n">
        <v>19.7845753</v>
      </c>
      <c r="H54" s="20" t="n">
        <v>1.70711746</v>
      </c>
      <c r="I54" s="18" t="s">
        <v>349</v>
      </c>
      <c r="J54" s="20" t="s">
        <v>349</v>
      </c>
      <c r="K54" s="18" t="n">
        <v>3.12878003</v>
      </c>
      <c r="L54" s="20" t="n">
        <v>0.69309588</v>
      </c>
      <c r="M54" s="18" t="n">
        <v>0</v>
      </c>
      <c r="N54" s="20" t="n">
        <v>0</v>
      </c>
      <c r="O54" s="18" t="n">
        <v>0</v>
      </c>
      <c r="P54" s="20" t="n">
        <v>0</v>
      </c>
      <c r="Q54" s="18" t="n">
        <v>1.93861213</v>
      </c>
      <c r="R54" s="20" t="n">
        <v>0.63499375</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(4681.0/B56*100)</f>
        <v/>
      </c>
      <c r="D56" s="19" t="n">
        <v>678</v>
      </c>
      <c r="E56" s="18" t="n">
        <v>23.66023985</v>
      </c>
      <c r="F56" s="20" t="n">
        <v>1.89164669</v>
      </c>
      <c r="G56" s="18" t="n">
        <v>75.60716715</v>
      </c>
      <c r="H56" s="20" t="n">
        <v>1.916602</v>
      </c>
      <c r="I56" s="18" t="s">
        <v>349</v>
      </c>
      <c r="J56" s="20" t="s">
        <v>349</v>
      </c>
      <c r="K56" s="18" t="n">
        <v>0</v>
      </c>
      <c r="L56" s="20" t="n">
        <v>0</v>
      </c>
      <c r="M56" s="18" t="n">
        <v>0</v>
      </c>
      <c r="N56" s="20" t="n">
        <v>0</v>
      </c>
      <c r="O56" s="18" t="n">
        <v>0</v>
      </c>
      <c r="P56" s="20" t="n">
        <v>0</v>
      </c>
      <c r="Q56" s="18" t="n">
        <v>0.73259299</v>
      </c>
      <c r="R56" s="20" t="n">
        <v>0.32610226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(5711.0/B61*100)</f>
        <v/>
      </c>
      <c r="D61" s="19" t="n">
        <v>814</v>
      </c>
      <c r="E61" s="18" t="n">
        <v>36.82826026</v>
      </c>
      <c r="F61" s="20" t="n">
        <v>1.90155409</v>
      </c>
      <c r="G61" s="18" t="n">
        <v>62.43105553</v>
      </c>
      <c r="H61" s="20" t="n">
        <v>1.91253335</v>
      </c>
      <c r="I61" s="18" t="s">
        <v>349</v>
      </c>
      <c r="J61" s="20" t="s">
        <v>349</v>
      </c>
      <c r="K61" s="18" t="n">
        <v>0.28038669</v>
      </c>
      <c r="L61" s="20" t="n">
        <v>0.20029446</v>
      </c>
      <c r="M61" s="18" t="n">
        <v>0</v>
      </c>
      <c r="N61" s="20" t="n">
        <v>0</v>
      </c>
      <c r="O61" s="18" t="n">
        <v>0</v>
      </c>
      <c r="P61" s="20" t="n">
        <v>0</v>
      </c>
      <c r="Q61" s="18" t="n">
        <v>0.46029752</v>
      </c>
      <c r="R61" s="20" t="n">
        <v>0.33571379</v>
      </c>
    </row>
    <row r="62" spans="1:18">
      <c r="A62" s="15" t="s">
        <v>404</v>
      </c>
      <c r="B62" s="17" t="n">
        <v>4476</v>
      </c>
      <c r="C62" s="18">
        <f>(3923.0/B62*100)</f>
        <v/>
      </c>
      <c r="D62" s="19" t="n">
        <v>553</v>
      </c>
      <c r="E62" s="18" t="n">
        <v>30.20701503</v>
      </c>
      <c r="F62" s="20" t="n">
        <v>1.90588448</v>
      </c>
      <c r="G62" s="18" t="n">
        <v>69.79298497000001</v>
      </c>
      <c r="H62" s="20" t="n">
        <v>1.90588448</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(4961.0/B66*100)</f>
        <v/>
      </c>
      <c r="D66" s="19" t="n">
        <v>704</v>
      </c>
      <c r="E66" s="18" t="n">
        <v>49.69476605</v>
      </c>
      <c r="F66" s="20" t="n">
        <v>1.96361572</v>
      </c>
      <c r="G66" s="18" t="n">
        <v>47.32871845</v>
      </c>
      <c r="H66" s="20" t="n">
        <v>1.94085347</v>
      </c>
      <c r="I66" s="18" t="s">
        <v>349</v>
      </c>
      <c r="J66" s="20" t="s">
        <v>349</v>
      </c>
      <c r="K66" s="18" t="n">
        <v>0.24856912</v>
      </c>
      <c r="L66" s="20" t="n">
        <v>0.17682769</v>
      </c>
      <c r="M66" s="18" t="n">
        <v>0</v>
      </c>
      <c r="N66" s="20" t="n">
        <v>0</v>
      </c>
      <c r="O66" s="18" t="n">
        <v>0</v>
      </c>
      <c r="P66" s="20" t="n">
        <v>0</v>
      </c>
      <c r="Q66" s="18" t="n">
        <v>2.72794638</v>
      </c>
      <c r="R66" s="20" t="n">
        <v>0.50764528</v>
      </c>
    </row>
    <row r="67" spans="1:18">
      <c r="A67" s="15" t="s">
        <v>409</v>
      </c>
      <c r="B67" s="17" t="n">
        <v>6971</v>
      </c>
      <c r="C67" s="18">
        <f>(6127.0/B67*100)</f>
        <v/>
      </c>
      <c r="D67" s="19" t="n">
        <v>844</v>
      </c>
      <c r="E67" s="18" t="n">
        <v>57.61993036</v>
      </c>
      <c r="F67" s="20" t="n">
        <v>1.63080626</v>
      </c>
      <c r="G67" s="18" t="n">
        <v>41.18561896</v>
      </c>
      <c r="H67" s="20" t="n">
        <v>1.65913487</v>
      </c>
      <c r="I67" s="18" t="s">
        <v>349</v>
      </c>
      <c r="J67" s="20" t="s">
        <v>349</v>
      </c>
      <c r="K67" s="18" t="n">
        <v>0</v>
      </c>
      <c r="L67" s="20" t="n">
        <v>0</v>
      </c>
      <c r="M67" s="18" t="n">
        <v>0</v>
      </c>
      <c r="N67" s="20" t="n">
        <v>0</v>
      </c>
      <c r="O67" s="18" t="n">
        <v>0</v>
      </c>
      <c r="P67" s="20" t="n">
        <v>0</v>
      </c>
      <c r="Q67" s="18" t="n">
        <v>1.19445068</v>
      </c>
      <c r="R67" s="20" t="n">
        <v>0.36888536</v>
      </c>
    </row>
    <row r="68" spans="1:18">
      <c r="A68" s="15" t="s">
        <v>410</v>
      </c>
      <c r="B68" s="17" t="n">
        <v>12083</v>
      </c>
      <c r="C68" s="18">
        <f>(10063.0/B68*100)</f>
        <v/>
      </c>
      <c r="D68" s="19" t="n">
        <v>2020</v>
      </c>
      <c r="E68" s="18" t="n">
        <v>55.85730641</v>
      </c>
      <c r="F68" s="20" t="n">
        <v>1.03837782</v>
      </c>
      <c r="G68" s="18" t="n">
        <v>42.25459489</v>
      </c>
      <c r="H68" s="20" t="n">
        <v>1.0127559</v>
      </c>
      <c r="I68" s="18" t="s">
        <v>349</v>
      </c>
      <c r="J68" s="20" t="s">
        <v>349</v>
      </c>
      <c r="K68" s="18" t="n">
        <v>0.88525456</v>
      </c>
      <c r="L68" s="20" t="n">
        <v>0.20453637</v>
      </c>
      <c r="M68" s="18" t="n">
        <v>0</v>
      </c>
      <c r="N68" s="20" t="n">
        <v>0</v>
      </c>
      <c r="O68" s="18" t="n">
        <v>0</v>
      </c>
      <c r="P68" s="20" t="n">
        <v>0</v>
      </c>
      <c r="Q68" s="18" t="n">
        <v>1.00284414</v>
      </c>
      <c r="R68" s="20" t="n">
        <v>0.24358328</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(5282.0/B70*100)</f>
        <v/>
      </c>
      <c r="D70" s="19" t="n">
        <v>754</v>
      </c>
      <c r="E70" s="18" t="n">
        <v>39.73302094</v>
      </c>
      <c r="F70" s="20" t="n">
        <v>2.46801848</v>
      </c>
      <c r="G70" s="18" t="n">
        <v>60.08098879</v>
      </c>
      <c r="H70" s="20" t="n">
        <v>2.47380062</v>
      </c>
      <c r="I70" s="18" t="s">
        <v>349</v>
      </c>
      <c r="J70" s="20" t="s">
        <v>349</v>
      </c>
      <c r="K70" s="18" t="n">
        <v>0</v>
      </c>
      <c r="L70" s="20" t="n">
        <v>0</v>
      </c>
      <c r="M70" s="18" t="n">
        <v>0</v>
      </c>
      <c r="N70" s="20" t="n">
        <v>0</v>
      </c>
      <c r="O70" s="18" t="n">
        <v>0</v>
      </c>
      <c r="P70" s="20" t="n">
        <v>0</v>
      </c>
      <c r="Q70" s="18" t="n">
        <v>0.18599027</v>
      </c>
      <c r="R70" s="20" t="n">
        <v>0.13425805</v>
      </c>
    </row>
    <row r="71" spans="1:18">
      <c r="A71" s="15" t="s">
        <v>413</v>
      </c>
      <c r="B71" s="17" t="n">
        <v>6115</v>
      </c>
      <c r="C71" s="18">
        <f>(5366.0/B71*100)</f>
        <v/>
      </c>
      <c r="D71" s="19" t="n">
        <v>749</v>
      </c>
      <c r="E71" s="18" t="n">
        <v>25.39878216</v>
      </c>
      <c r="F71" s="20" t="n">
        <v>1.53463098</v>
      </c>
      <c r="G71" s="18" t="n">
        <v>74.25402808</v>
      </c>
      <c r="H71" s="20" t="n">
        <v>1.54844042</v>
      </c>
      <c r="I71" s="18" t="s">
        <v>349</v>
      </c>
      <c r="J71" s="20" t="s">
        <v>349</v>
      </c>
      <c r="K71" s="18" t="n">
        <v>0.15332386</v>
      </c>
      <c r="L71" s="20" t="n">
        <v>0.15381136</v>
      </c>
      <c r="M71" s="18" t="n">
        <v>0</v>
      </c>
      <c r="N71" s="20" t="n">
        <v>0</v>
      </c>
      <c r="O71" s="18" t="n">
        <v>0</v>
      </c>
      <c r="P71" s="20" t="n">
        <v>0</v>
      </c>
      <c r="Q71" s="18" t="n">
        <v>0.1938659</v>
      </c>
      <c r="R71" s="20" t="n">
        <v>0.1394376</v>
      </c>
    </row>
    <row r="72" spans="1:18">
      <c r="A72" s="15" t="s">
        <v>414</v>
      </c>
      <c r="B72" s="17" t="n">
        <v>7708</v>
      </c>
      <c r="C72" s="18">
        <f>(6767.0/B72*100)</f>
        <v/>
      </c>
      <c r="D72" s="19" t="n">
        <v>941</v>
      </c>
      <c r="E72" s="18" t="n">
        <v>20.93718463</v>
      </c>
      <c r="F72" s="20" t="n">
        <v>1.42194893</v>
      </c>
      <c r="G72" s="18" t="n">
        <v>78.56879979999999</v>
      </c>
      <c r="H72" s="20" t="n">
        <v>1.42431461</v>
      </c>
      <c r="I72" s="18" t="s">
        <v>349</v>
      </c>
      <c r="J72" s="20" t="s">
        <v>349</v>
      </c>
      <c r="K72" s="18" t="n">
        <v>0</v>
      </c>
      <c r="L72" s="20" t="n">
        <v>0</v>
      </c>
      <c r="M72" s="18" t="n">
        <v>0</v>
      </c>
      <c r="N72" s="20" t="n">
        <v>0</v>
      </c>
      <c r="O72" s="18" t="n">
        <v>0</v>
      </c>
      <c r="P72" s="20" t="n">
        <v>0</v>
      </c>
      <c r="Q72" s="18" t="n">
        <v>0.49401557</v>
      </c>
      <c r="R72" s="20" t="n">
        <v>0.21950082</v>
      </c>
    </row>
    <row r="73" spans="1:18">
      <c r="A73" s="15" t="s">
        <v>415</v>
      </c>
      <c r="B73" s="17" t="n">
        <v>8249</v>
      </c>
      <c r="C73" s="18">
        <f>(7271.0/B73*100)</f>
        <v/>
      </c>
      <c r="D73" s="19" t="n">
        <v>978</v>
      </c>
      <c r="E73" s="18" t="n">
        <v>47.41313477</v>
      </c>
      <c r="F73" s="20" t="n">
        <v>1.80077929</v>
      </c>
      <c r="G73" s="18" t="n">
        <v>52.09393744</v>
      </c>
      <c r="H73" s="20" t="n">
        <v>1.83054845</v>
      </c>
      <c r="I73" s="18" t="s">
        <v>349</v>
      </c>
      <c r="J73" s="20" t="s">
        <v>349</v>
      </c>
      <c r="K73" s="18" t="n">
        <v>0</v>
      </c>
      <c r="L73" s="20" t="n">
        <v>0</v>
      </c>
      <c r="M73" s="18" t="n">
        <v>0</v>
      </c>
      <c r="N73" s="20" t="n">
        <v>0</v>
      </c>
      <c r="O73" s="18" t="n">
        <v>0</v>
      </c>
      <c r="P73" s="20" t="n">
        <v>0</v>
      </c>
      <c r="Q73" s="18" t="n">
        <v>0.49292779</v>
      </c>
      <c r="R73" s="20" t="n">
        <v>0.26079346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(4754.0/B75*100)</f>
        <v/>
      </c>
      <c r="D75" s="19" t="n">
        <v>621</v>
      </c>
      <c r="E75" s="18" t="n">
        <v>65.21434547</v>
      </c>
      <c r="F75" s="20" t="n">
        <v>1.69745749</v>
      </c>
      <c r="G75" s="18" t="n">
        <v>32.57440486</v>
      </c>
      <c r="H75" s="20" t="n">
        <v>1.66461165</v>
      </c>
      <c r="I75" s="18" t="s">
        <v>349</v>
      </c>
      <c r="J75" s="20" t="s">
        <v>349</v>
      </c>
      <c r="K75" s="18" t="n">
        <v>0.6094791899999999</v>
      </c>
      <c r="L75" s="20" t="n">
        <v>0.28768281</v>
      </c>
      <c r="M75" s="18" t="n">
        <v>0</v>
      </c>
      <c r="N75" s="20" t="n">
        <v>0</v>
      </c>
      <c r="O75" s="18" t="n">
        <v>0</v>
      </c>
      <c r="P75" s="20" t="n">
        <v>0</v>
      </c>
      <c r="Q75" s="18" t="n">
        <v>1.60177048</v>
      </c>
      <c r="R75" s="20" t="n">
        <v>0.50378947</v>
      </c>
    </row>
    <row r="76" spans="1:18">
      <c r="A76" s="15" t="s">
        <v>418</v>
      </c>
      <c r="B76" s="17" t="n">
        <v>14167</v>
      </c>
      <c r="C76" s="18">
        <f>(12419.0/B76*100)</f>
        <v/>
      </c>
      <c r="D76" s="19" t="n">
        <v>1748</v>
      </c>
      <c r="E76" s="18" t="n">
        <v>49.22229025</v>
      </c>
      <c r="F76" s="20" t="n">
        <v>1.48573593</v>
      </c>
      <c r="G76" s="18" t="n">
        <v>49.9185645</v>
      </c>
      <c r="H76" s="20" t="n">
        <v>1.48322148</v>
      </c>
      <c r="I76" s="18" t="s">
        <v>349</v>
      </c>
      <c r="J76" s="20" t="s">
        <v>349</v>
      </c>
      <c r="K76" s="18" t="n">
        <v>0.13577764</v>
      </c>
      <c r="L76" s="20" t="n">
        <v>0.08388762</v>
      </c>
      <c r="M76" s="18" t="n">
        <v>0</v>
      </c>
      <c r="N76" s="20" t="n">
        <v>0</v>
      </c>
      <c r="O76" s="18" t="n">
        <v>0</v>
      </c>
      <c r="P76" s="20" t="n">
        <v>0</v>
      </c>
      <c r="Q76" s="18" t="n">
        <v>0.7233676</v>
      </c>
      <c r="R76" s="20" t="n">
        <v>0.24775661</v>
      </c>
    </row>
    <row r="77" spans="1:18">
      <c r="A77" s="15" t="s">
        <v>419</v>
      </c>
      <c r="B77" s="17" t="n">
        <v>6062</v>
      </c>
      <c r="C77" s="18">
        <f>(5346.0/B77*100)</f>
        <v/>
      </c>
      <c r="D77" s="19" t="n">
        <v>716</v>
      </c>
      <c r="E77" s="18" t="n">
        <v>47.54772968</v>
      </c>
      <c r="F77" s="20" t="n">
        <v>1.74077513</v>
      </c>
      <c r="G77" s="18" t="n">
        <v>51.50693419</v>
      </c>
      <c r="H77" s="20" t="n">
        <v>1.91326925</v>
      </c>
      <c r="I77" s="18" t="s">
        <v>349</v>
      </c>
      <c r="J77" s="20" t="s">
        <v>349</v>
      </c>
      <c r="K77" s="18" t="n">
        <v>0.36951869</v>
      </c>
      <c r="L77" s="20" t="n">
        <v>0.30680001</v>
      </c>
      <c r="M77" s="18" t="n">
        <v>0</v>
      </c>
      <c r="N77" s="20" t="n">
        <v>0</v>
      </c>
      <c r="O77" s="18" t="n">
        <v>0</v>
      </c>
      <c r="P77" s="20" t="n">
        <v>0</v>
      </c>
      <c r="Q77" s="18" t="n">
        <v>0.57581744</v>
      </c>
      <c r="R77" s="20" t="n">
        <v>0.42628916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(7789.0/B81*100)</f>
        <v/>
      </c>
      <c r="D81" s="19" t="n">
        <v>1072</v>
      </c>
      <c r="E81" s="18" t="n">
        <v>40.51740268</v>
      </c>
      <c r="F81" s="20" t="n">
        <v>2.0403438</v>
      </c>
      <c r="G81" s="18" t="n">
        <v>58.9277292</v>
      </c>
      <c r="H81" s="20" t="n">
        <v>2.07864919</v>
      </c>
      <c r="I81" s="18" t="s">
        <v>349</v>
      </c>
      <c r="J81" s="20" t="s">
        <v>349</v>
      </c>
      <c r="K81" s="18" t="n">
        <v>0.14097497</v>
      </c>
      <c r="L81" s="20" t="n">
        <v>0.13214207</v>
      </c>
      <c r="M81" s="18" t="n">
        <v>0</v>
      </c>
      <c r="N81" s="20" t="n">
        <v>0</v>
      </c>
      <c r="O81" s="18" t="n">
        <v>0</v>
      </c>
      <c r="P81" s="20" t="n">
        <v>0</v>
      </c>
      <c r="Q81" s="18" t="n">
        <v>0.41389315</v>
      </c>
      <c r="R81" s="20" t="n">
        <v>0.2321286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439</v>
      </c>
    </row>
    <row customHeight="1" ht="30" r="4" spans="1:24">
      <c r="A4" s="6" t="n"/>
      <c r="B4" s="7" t="s">
        <v>333</v>
      </c>
      <c r="C4" s="7" t="s">
        <v>334</v>
      </c>
      <c r="D4" s="8" t="s">
        <v>333</v>
      </c>
      <c r="E4" s="9" t="s">
        <v>440</v>
      </c>
      <c r="F4" s="10" t="n"/>
      <c r="G4" s="9" t="s">
        <v>441</v>
      </c>
      <c r="H4" s="10" t="n"/>
      <c r="I4" s="9" t="s">
        <v>442</v>
      </c>
      <c r="J4" s="10" t="n"/>
      <c r="K4" s="9" t="s">
        <v>443</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14530</v>
      </c>
      <c r="C7" s="18">
        <f>(12698.0/B7*100)</f>
        <v/>
      </c>
      <c r="D7" s="19" t="n">
        <v>1832</v>
      </c>
      <c r="E7" s="18" t="n">
        <v>20.32472429</v>
      </c>
      <c r="F7" s="20" t="n">
        <v>1.10360583</v>
      </c>
      <c r="G7" s="18" t="n">
        <v>5.48929061</v>
      </c>
      <c r="H7" s="20" t="n">
        <v>0.58874993</v>
      </c>
      <c r="I7" s="18" t="n">
        <v>7.51043626</v>
      </c>
      <c r="J7" s="20" t="n">
        <v>0.8009395</v>
      </c>
      <c r="K7" s="18" t="n">
        <v>2.39186271</v>
      </c>
      <c r="L7" s="20" t="n">
        <v>0.44908008</v>
      </c>
      <c r="M7" s="18" t="n">
        <v>57.39694613</v>
      </c>
      <c r="N7" s="20" t="n">
        <v>1.4077061</v>
      </c>
      <c r="O7" s="18" t="s">
        <v>349</v>
      </c>
      <c r="P7" s="20" t="s">
        <v>349</v>
      </c>
      <c r="Q7" s="18" t="n">
        <v>0.5218928</v>
      </c>
      <c r="R7" s="20" t="n">
        <v>0.1969996</v>
      </c>
      <c r="S7" s="18" t="n">
        <v>0.01972044</v>
      </c>
      <c r="T7" s="20" t="n">
        <v>0.0114509</v>
      </c>
      <c r="U7" s="18" t="n">
        <v>0</v>
      </c>
      <c r="V7" s="20" t="n">
        <v>0</v>
      </c>
      <c r="W7" s="18" t="n">
        <v>6.34512677</v>
      </c>
      <c r="X7" s="20" t="n">
        <v>0.62713419</v>
      </c>
    </row>
    <row r="8" spans="1:24">
      <c r="A8" s="15" t="s">
        <v>350</v>
      </c>
      <c r="B8" s="17" t="n">
        <v>7007</v>
      </c>
      <c r="C8" s="18">
        <f>(6166.0/B8*100)</f>
        <v/>
      </c>
      <c r="D8" s="19" t="n">
        <v>841</v>
      </c>
      <c r="E8" s="18" t="n">
        <v>20.06690186</v>
      </c>
      <c r="F8" s="20" t="n">
        <v>1.75386912</v>
      </c>
      <c r="G8" s="18" t="n">
        <v>6.59852128</v>
      </c>
      <c r="H8" s="20" t="n">
        <v>0.9354011800000001</v>
      </c>
      <c r="I8" s="18" t="n">
        <v>5.94181319</v>
      </c>
      <c r="J8" s="20" t="n">
        <v>0.92783357</v>
      </c>
      <c r="K8" s="18" t="n">
        <v>1.23696277</v>
      </c>
      <c r="L8" s="20" t="n">
        <v>0.31857878</v>
      </c>
      <c r="M8" s="18" t="n">
        <v>49.10058386</v>
      </c>
      <c r="N8" s="20" t="n">
        <v>1.88895889</v>
      </c>
      <c r="O8" s="18" t="s">
        <v>349</v>
      </c>
      <c r="P8" s="20" t="s">
        <v>349</v>
      </c>
      <c r="Q8" s="18" t="n">
        <v>0.06243333</v>
      </c>
      <c r="R8" s="20" t="n">
        <v>0.06348284999999999</v>
      </c>
      <c r="S8" s="18" t="n">
        <v>0.14613801</v>
      </c>
      <c r="T8" s="20" t="n">
        <v>0.15467338</v>
      </c>
      <c r="U8" s="18" t="n">
        <v>0</v>
      </c>
      <c r="V8" s="20" t="n">
        <v>0</v>
      </c>
      <c r="W8" s="18" t="n">
        <v>16.8466457</v>
      </c>
      <c r="X8" s="20" t="n">
        <v>1.29759868</v>
      </c>
    </row>
    <row r="9" spans="1:24">
      <c r="A9" s="15" t="s">
        <v>351</v>
      </c>
      <c r="B9" s="17" t="n">
        <v>9651</v>
      </c>
      <c r="C9" s="18">
        <f>(8503.0/B9*100)</f>
        <v/>
      </c>
      <c r="D9" s="19" t="n">
        <v>1148</v>
      </c>
      <c r="E9" s="18" t="n">
        <v>12.6524073</v>
      </c>
      <c r="F9" s="20" t="n">
        <v>0.8779979</v>
      </c>
      <c r="G9" s="18" t="n">
        <v>5.49894064</v>
      </c>
      <c r="H9" s="20" t="n">
        <v>0.7454071799999999</v>
      </c>
      <c r="I9" s="18" t="n">
        <v>6.9943986</v>
      </c>
      <c r="J9" s="20" t="n">
        <v>1.02531826</v>
      </c>
      <c r="K9" s="18" t="n">
        <v>1.73411399</v>
      </c>
      <c r="L9" s="20" t="n">
        <v>0.4200722</v>
      </c>
      <c r="M9" s="18" t="n">
        <v>62.18995581</v>
      </c>
      <c r="N9" s="20" t="n">
        <v>1.80631888</v>
      </c>
      <c r="O9" s="18" t="s">
        <v>349</v>
      </c>
      <c r="P9" s="20" t="s">
        <v>349</v>
      </c>
      <c r="Q9" s="18" t="n">
        <v>0.11148699</v>
      </c>
      <c r="R9" s="20" t="n">
        <v>0.11170183</v>
      </c>
      <c r="S9" s="18" t="n">
        <v>0.46644605</v>
      </c>
      <c r="T9" s="20" t="n">
        <v>0.19709454</v>
      </c>
      <c r="U9" s="18" t="n">
        <v>0</v>
      </c>
      <c r="V9" s="20" t="n">
        <v>0</v>
      </c>
      <c r="W9" s="18" t="n">
        <v>10.35225063</v>
      </c>
      <c r="X9" s="20" t="n">
        <v>1.13915321</v>
      </c>
    </row>
    <row r="10" spans="1:24">
      <c r="A10" s="15" t="s">
        <v>352</v>
      </c>
      <c r="B10" s="17" t="n">
        <v>20058</v>
      </c>
      <c r="C10" s="18">
        <f>(17636.0/B10*100)</f>
        <v/>
      </c>
      <c r="D10" s="19" t="n">
        <v>2422</v>
      </c>
      <c r="E10" s="18" t="n">
        <v>16.95095605</v>
      </c>
      <c r="F10" s="20" t="n">
        <v>1.15583183</v>
      </c>
      <c r="G10" s="18" t="n">
        <v>6.46812692</v>
      </c>
      <c r="H10" s="20" t="n">
        <v>0.7281502399999999</v>
      </c>
      <c r="I10" s="18" t="n">
        <v>7.01687217</v>
      </c>
      <c r="J10" s="20" t="n">
        <v>0.7372083699999999</v>
      </c>
      <c r="K10" s="18" t="n">
        <v>0.83782704</v>
      </c>
      <c r="L10" s="20" t="n">
        <v>0.21705433</v>
      </c>
      <c r="M10" s="18" t="n">
        <v>63.55832935</v>
      </c>
      <c r="N10" s="20" t="n">
        <v>1.34103011</v>
      </c>
      <c r="O10" s="18" t="s">
        <v>349</v>
      </c>
      <c r="P10" s="20" t="s">
        <v>349</v>
      </c>
      <c r="Q10" s="18" t="n">
        <v>0.09788173</v>
      </c>
      <c r="R10" s="20" t="n">
        <v>0.05022494</v>
      </c>
      <c r="S10" s="18" t="n">
        <v>0.31747262</v>
      </c>
      <c r="T10" s="20" t="n">
        <v>0.17807689</v>
      </c>
      <c r="U10" s="18" t="n">
        <v>0</v>
      </c>
      <c r="V10" s="20" t="n">
        <v>0</v>
      </c>
      <c r="W10" s="18" t="n">
        <v>4.75253413</v>
      </c>
      <c r="X10" s="20" t="n">
        <v>0.58309392</v>
      </c>
    </row>
    <row r="11" spans="1:24">
      <c r="A11" s="15" t="s">
        <v>353</v>
      </c>
      <c r="B11" s="17" t="n">
        <v>7053</v>
      </c>
      <c r="C11" s="18">
        <f>(6200.0/B11*100)</f>
        <v/>
      </c>
      <c r="D11" s="19" t="n">
        <v>853</v>
      </c>
      <c r="E11" s="18" t="n">
        <v>21.02546729</v>
      </c>
      <c r="F11" s="20" t="n">
        <v>1.63119641</v>
      </c>
      <c r="G11" s="18" t="n">
        <v>7.74238818</v>
      </c>
      <c r="H11" s="20" t="n">
        <v>1.15329585</v>
      </c>
      <c r="I11" s="18" t="n">
        <v>6.50448522</v>
      </c>
      <c r="J11" s="20" t="n">
        <v>0.89646466</v>
      </c>
      <c r="K11" s="18" t="n">
        <v>1.36120491</v>
      </c>
      <c r="L11" s="20" t="n">
        <v>0.49528753</v>
      </c>
      <c r="M11" s="18" t="n">
        <v>29.9515971</v>
      </c>
      <c r="N11" s="20" t="n">
        <v>1.65514898</v>
      </c>
      <c r="O11" s="18" t="s">
        <v>349</v>
      </c>
      <c r="P11" s="20" t="s">
        <v>349</v>
      </c>
      <c r="Q11" s="18" t="n">
        <v>0.50864066</v>
      </c>
      <c r="R11" s="20" t="n">
        <v>0.21409879</v>
      </c>
      <c r="S11" s="18" t="n">
        <v>0</v>
      </c>
      <c r="T11" s="20" t="n">
        <v>0</v>
      </c>
      <c r="U11" s="18" t="n">
        <v>0</v>
      </c>
      <c r="V11" s="20" t="n">
        <v>0</v>
      </c>
      <c r="W11" s="18" t="n">
        <v>32.90621663</v>
      </c>
      <c r="X11" s="20" t="n">
        <v>1.74565264</v>
      </c>
    </row>
    <row r="12" spans="1:24">
      <c r="A12" s="15" t="s">
        <v>354</v>
      </c>
      <c r="B12" s="17" t="n">
        <v>6894</v>
      </c>
      <c r="C12" s="18">
        <f>(6074.0/B12*100)</f>
        <v/>
      </c>
      <c r="D12" s="19" t="n">
        <v>820</v>
      </c>
      <c r="E12" s="18" t="n">
        <v>16.22325645</v>
      </c>
      <c r="F12" s="20" t="n">
        <v>1.69685217</v>
      </c>
      <c r="G12" s="18" t="n">
        <v>5.02192385</v>
      </c>
      <c r="H12" s="20" t="n">
        <v>0.72329524</v>
      </c>
      <c r="I12" s="18" t="n">
        <v>7.11288637</v>
      </c>
      <c r="J12" s="20" t="n">
        <v>1.04002006</v>
      </c>
      <c r="K12" s="18" t="n">
        <v>1.1362264</v>
      </c>
      <c r="L12" s="20" t="n">
        <v>0.37429264</v>
      </c>
      <c r="M12" s="18" t="n">
        <v>52.44875019</v>
      </c>
      <c r="N12" s="20" t="n">
        <v>2.05600236</v>
      </c>
      <c r="O12" s="18" t="s">
        <v>349</v>
      </c>
      <c r="P12" s="20" t="s">
        <v>349</v>
      </c>
      <c r="Q12" s="18" t="n">
        <v>0</v>
      </c>
      <c r="R12" s="20" t="n">
        <v>0</v>
      </c>
      <c r="S12" s="18" t="n">
        <v>0.32048752</v>
      </c>
      <c r="T12" s="20" t="n">
        <v>0.26525612</v>
      </c>
      <c r="U12" s="18" t="n">
        <v>0</v>
      </c>
      <c r="V12" s="20" t="n">
        <v>0</v>
      </c>
      <c r="W12" s="18" t="n">
        <v>17.73646923</v>
      </c>
      <c r="X12" s="20" t="n">
        <v>1.44838916</v>
      </c>
    </row>
    <row r="13" spans="1:24">
      <c r="A13" s="15" t="s">
        <v>355</v>
      </c>
      <c r="B13" s="17" t="n">
        <v>7161</v>
      </c>
      <c r="C13" s="18">
        <f>(6336.0/B13*100)</f>
        <v/>
      </c>
      <c r="D13" s="19" t="n">
        <v>825</v>
      </c>
      <c r="E13" s="18" t="n">
        <v>15.46895683</v>
      </c>
      <c r="F13" s="20" t="n">
        <v>1.37748257</v>
      </c>
      <c r="G13" s="18" t="n">
        <v>11.07913986</v>
      </c>
      <c r="H13" s="20" t="n">
        <v>1.43019447</v>
      </c>
      <c r="I13" s="18" t="n">
        <v>9.71402228</v>
      </c>
      <c r="J13" s="20" t="n">
        <v>1.51588148</v>
      </c>
      <c r="K13" s="18" t="n">
        <v>1.20025101</v>
      </c>
      <c r="L13" s="20" t="n">
        <v>0.48665756</v>
      </c>
      <c r="M13" s="18" t="n">
        <v>54.99494184</v>
      </c>
      <c r="N13" s="20" t="n">
        <v>2.27218685</v>
      </c>
      <c r="O13" s="18" t="s">
        <v>349</v>
      </c>
      <c r="P13" s="20" t="s">
        <v>349</v>
      </c>
      <c r="Q13" s="18" t="n">
        <v>0.5121531499999999</v>
      </c>
      <c r="R13" s="20" t="n">
        <v>0.32527235</v>
      </c>
      <c r="S13" s="18" t="n">
        <v>0.25445936</v>
      </c>
      <c r="T13" s="20" t="n">
        <v>0.21976367</v>
      </c>
      <c r="U13" s="18" t="n">
        <v>0</v>
      </c>
      <c r="V13" s="20" t="n">
        <v>0</v>
      </c>
      <c r="W13" s="18" t="n">
        <v>6.77607567</v>
      </c>
      <c r="X13" s="20" t="n">
        <v>0.9541190000000001</v>
      </c>
    </row>
    <row r="14" spans="1:24">
      <c r="A14" s="15" t="s">
        <v>356</v>
      </c>
      <c r="B14" s="17" t="n">
        <v>5587</v>
      </c>
      <c r="C14" s="18">
        <f>(4889.0/B14*100)</f>
        <v/>
      </c>
      <c r="D14" s="19" t="n">
        <v>698</v>
      </c>
      <c r="E14" s="18" t="n">
        <v>12.87028506</v>
      </c>
      <c r="F14" s="20" t="n">
        <v>1.23192405</v>
      </c>
      <c r="G14" s="18" t="n">
        <v>5.05629419</v>
      </c>
      <c r="H14" s="20" t="n">
        <v>0.87060105</v>
      </c>
      <c r="I14" s="18" t="n">
        <v>6.33518625</v>
      </c>
      <c r="J14" s="20" t="n">
        <v>0.95231951</v>
      </c>
      <c r="K14" s="18" t="n">
        <v>3.68631287</v>
      </c>
      <c r="L14" s="20" t="n">
        <v>0.9161904400000001</v>
      </c>
      <c r="M14" s="18" t="n">
        <v>65.40493576999999</v>
      </c>
      <c r="N14" s="20" t="n">
        <v>1.8040042</v>
      </c>
      <c r="O14" s="18" t="s">
        <v>349</v>
      </c>
      <c r="P14" s="20" t="s">
        <v>349</v>
      </c>
      <c r="Q14" s="18" t="n">
        <v>0</v>
      </c>
      <c r="R14" s="20" t="n">
        <v>0</v>
      </c>
      <c r="S14" s="18" t="n">
        <v>0.22473682</v>
      </c>
      <c r="T14" s="20" t="n">
        <v>0.16035587</v>
      </c>
      <c r="U14" s="18" t="n">
        <v>0</v>
      </c>
      <c r="V14" s="20" t="n">
        <v>0</v>
      </c>
      <c r="W14" s="18" t="n">
        <v>6.42224905</v>
      </c>
      <c r="X14" s="20" t="n">
        <v>0.96457582</v>
      </c>
    </row>
    <row r="15" spans="1:24">
      <c r="A15" s="15" t="s">
        <v>357</v>
      </c>
      <c r="B15" s="17" t="n">
        <v>5882</v>
      </c>
      <c r="C15" s="18">
        <f>(5161.0/B15*100)</f>
        <v/>
      </c>
      <c r="D15" s="19" t="n">
        <v>721</v>
      </c>
      <c r="E15" s="18" t="n">
        <v>12.22473135</v>
      </c>
      <c r="F15" s="20" t="n">
        <v>1.22533154</v>
      </c>
      <c r="G15" s="18" t="n">
        <v>9.62997859</v>
      </c>
      <c r="H15" s="20" t="n">
        <v>1.19419815</v>
      </c>
      <c r="I15" s="18" t="n">
        <v>5.06528259</v>
      </c>
      <c r="J15" s="20" t="n">
        <v>0.94129505</v>
      </c>
      <c r="K15" s="18" t="n">
        <v>4.6644494</v>
      </c>
      <c r="L15" s="20" t="n">
        <v>0.87283318</v>
      </c>
      <c r="M15" s="18" t="n">
        <v>61.60384012</v>
      </c>
      <c r="N15" s="20" t="n">
        <v>1.96799722</v>
      </c>
      <c r="O15" s="18" t="s">
        <v>349</v>
      </c>
      <c r="P15" s="20" t="s">
        <v>349</v>
      </c>
      <c r="Q15" s="18" t="n">
        <v>0</v>
      </c>
      <c r="R15" s="20" t="n">
        <v>0</v>
      </c>
      <c r="S15" s="18" t="n">
        <v>0</v>
      </c>
      <c r="T15" s="20" t="n">
        <v>0</v>
      </c>
      <c r="U15" s="18" t="n">
        <v>0</v>
      </c>
      <c r="V15" s="20" t="n">
        <v>0</v>
      </c>
      <c r="W15" s="18" t="n">
        <v>6.81171795</v>
      </c>
      <c r="X15" s="20" t="n">
        <v>0.95477847</v>
      </c>
    </row>
    <row r="16" spans="1:24">
      <c r="A16" s="15" t="s">
        <v>358</v>
      </c>
      <c r="B16" s="17" t="n">
        <v>6108</v>
      </c>
      <c r="C16" s="18">
        <f>(5343.0/B16*100)</f>
        <v/>
      </c>
      <c r="D16" s="19" t="n">
        <v>765</v>
      </c>
      <c r="E16" s="18" t="n">
        <v>16.36567219</v>
      </c>
      <c r="F16" s="20" t="n">
        <v>1.37771907</v>
      </c>
      <c r="G16" s="18" t="n">
        <v>8.51312624</v>
      </c>
      <c r="H16" s="20" t="n">
        <v>0.87600027</v>
      </c>
      <c r="I16" s="18" t="n">
        <v>5.42471448</v>
      </c>
      <c r="J16" s="20" t="n">
        <v>0.82158876</v>
      </c>
      <c r="K16" s="18" t="n">
        <v>0.62561271</v>
      </c>
      <c r="L16" s="20" t="n">
        <v>0.27827432</v>
      </c>
      <c r="M16" s="18" t="n">
        <v>53.54979671</v>
      </c>
      <c r="N16" s="20" t="n">
        <v>1.56100433</v>
      </c>
      <c r="O16" s="18" t="s">
        <v>349</v>
      </c>
      <c r="P16" s="20" t="s">
        <v>349</v>
      </c>
      <c r="Q16" s="18" t="n">
        <v>0.51018843</v>
      </c>
      <c r="R16" s="20" t="n">
        <v>0.255165</v>
      </c>
      <c r="S16" s="18" t="n">
        <v>0</v>
      </c>
      <c r="T16" s="20" t="n">
        <v>0</v>
      </c>
      <c r="U16" s="18" t="n">
        <v>0</v>
      </c>
      <c r="V16" s="20" t="n">
        <v>0</v>
      </c>
      <c r="W16" s="18" t="n">
        <v>15.01088923</v>
      </c>
      <c r="X16" s="20" t="n">
        <v>1.00848744</v>
      </c>
    </row>
    <row r="17" spans="1:24">
      <c r="A17" s="15" t="s">
        <v>359</v>
      </c>
      <c r="B17" s="17" t="n">
        <v>6504</v>
      </c>
      <c r="C17" s="18">
        <f>(5723.0/B17*100)</f>
        <v/>
      </c>
      <c r="D17" s="19" t="n">
        <v>781</v>
      </c>
      <c r="E17" s="18" t="n">
        <v>12.4353369</v>
      </c>
      <c r="F17" s="20" t="n">
        <v>1.16864439</v>
      </c>
      <c r="G17" s="18" t="n">
        <v>6.64216995</v>
      </c>
      <c r="H17" s="20" t="n">
        <v>0.84562622</v>
      </c>
      <c r="I17" s="18" t="n">
        <v>5.85299588</v>
      </c>
      <c r="J17" s="20" t="n">
        <v>0.86231045</v>
      </c>
      <c r="K17" s="18" t="n">
        <v>1.14847813</v>
      </c>
      <c r="L17" s="20" t="n">
        <v>0.40841057</v>
      </c>
      <c r="M17" s="18" t="n">
        <v>62.14851319</v>
      </c>
      <c r="N17" s="20" t="n">
        <v>1.81755894</v>
      </c>
      <c r="O17" s="18" t="s">
        <v>349</v>
      </c>
      <c r="P17" s="20" t="s">
        <v>349</v>
      </c>
      <c r="Q17" s="18" t="n">
        <v>0.53114646</v>
      </c>
      <c r="R17" s="20" t="n">
        <v>0.33295386</v>
      </c>
      <c r="S17" s="18" t="n">
        <v>0</v>
      </c>
      <c r="T17" s="20" t="n">
        <v>0</v>
      </c>
      <c r="U17" s="18" t="n">
        <v>0</v>
      </c>
      <c r="V17" s="20" t="n">
        <v>0</v>
      </c>
      <c r="W17" s="18" t="n">
        <v>11.24135949</v>
      </c>
      <c r="X17" s="20" t="n">
        <v>1.20823658</v>
      </c>
    </row>
    <row r="18" spans="1:24">
      <c r="A18" s="15" t="s">
        <v>360</v>
      </c>
      <c r="B18" s="17" t="n">
        <v>5532</v>
      </c>
      <c r="C18" s="18">
        <f>(4869.0/B18*100)</f>
        <v/>
      </c>
      <c r="D18" s="19" t="n">
        <v>663</v>
      </c>
      <c r="E18" s="18" t="n">
        <v>19.8538091</v>
      </c>
      <c r="F18" s="20" t="n">
        <v>2.01464712</v>
      </c>
      <c r="G18" s="18" t="n">
        <v>9.931065350000001</v>
      </c>
      <c r="H18" s="20" t="n">
        <v>1.27996108</v>
      </c>
      <c r="I18" s="18" t="n">
        <v>7.56433302</v>
      </c>
      <c r="J18" s="20" t="n">
        <v>0.93687476</v>
      </c>
      <c r="K18" s="18" t="n">
        <v>3.58274435</v>
      </c>
      <c r="L18" s="20" t="n">
        <v>0.7220312800000001</v>
      </c>
      <c r="M18" s="18" t="n">
        <v>38.49133949</v>
      </c>
      <c r="N18" s="20" t="n">
        <v>2.20197084</v>
      </c>
      <c r="O18" s="18" t="s">
        <v>349</v>
      </c>
      <c r="P18" s="20" t="s">
        <v>349</v>
      </c>
      <c r="Q18" s="18" t="n">
        <v>0.67876049</v>
      </c>
      <c r="R18" s="20" t="n">
        <v>0.28947717</v>
      </c>
      <c r="S18" s="18" t="n">
        <v>0.17015594</v>
      </c>
      <c r="T18" s="20" t="n">
        <v>0.13777297</v>
      </c>
      <c r="U18" s="18" t="n">
        <v>0</v>
      </c>
      <c r="V18" s="20" t="n">
        <v>0</v>
      </c>
      <c r="W18" s="18" t="n">
        <v>19.72779226</v>
      </c>
      <c r="X18" s="20" t="n">
        <v>1.8964194</v>
      </c>
    </row>
    <row r="19" spans="1:24">
      <c r="A19" s="15" t="s">
        <v>361</v>
      </c>
      <c r="B19" s="17" t="n">
        <v>5658</v>
      </c>
      <c r="C19" s="18">
        <f>(4963.0/B19*100)</f>
        <v/>
      </c>
      <c r="D19" s="19" t="n">
        <v>695</v>
      </c>
      <c r="E19" s="18" t="n">
        <v>18.00671649</v>
      </c>
      <c r="F19" s="20" t="n">
        <v>1.83555191</v>
      </c>
      <c r="G19" s="18" t="n">
        <v>3.08155648</v>
      </c>
      <c r="H19" s="20" t="n">
        <v>0.6528379</v>
      </c>
      <c r="I19" s="18" t="n">
        <v>8.99224995</v>
      </c>
      <c r="J19" s="20" t="n">
        <v>1.17099955</v>
      </c>
      <c r="K19" s="18" t="n">
        <v>2.37689731</v>
      </c>
      <c r="L19" s="20" t="n">
        <v>0.63805858</v>
      </c>
      <c r="M19" s="18" t="n">
        <v>50.45888754</v>
      </c>
      <c r="N19" s="20" t="n">
        <v>2.11912391</v>
      </c>
      <c r="O19" s="18" t="s">
        <v>349</v>
      </c>
      <c r="P19" s="20" t="s">
        <v>349</v>
      </c>
      <c r="Q19" s="18" t="n">
        <v>0.33425435</v>
      </c>
      <c r="R19" s="20" t="n">
        <v>0.3157473</v>
      </c>
      <c r="S19" s="18" t="n">
        <v>0.14256123</v>
      </c>
      <c r="T19" s="20" t="n">
        <v>0.10090132</v>
      </c>
      <c r="U19" s="18" t="n">
        <v>0</v>
      </c>
      <c r="V19" s="20" t="n">
        <v>0</v>
      </c>
      <c r="W19" s="18" t="n">
        <v>16.60687666</v>
      </c>
      <c r="X19" s="20" t="n">
        <v>1.64458658</v>
      </c>
    </row>
    <row r="20" spans="1:24">
      <c r="A20" s="15" t="s">
        <v>362</v>
      </c>
      <c r="B20" s="17" t="n">
        <v>3371</v>
      </c>
      <c r="C20" s="18">
        <f>(2943.0/B20*100)</f>
        <v/>
      </c>
      <c r="D20" s="19" t="n">
        <v>428</v>
      </c>
      <c r="E20" s="18" t="n">
        <v>21.258886</v>
      </c>
      <c r="F20" s="20" t="n">
        <v>1.73836892</v>
      </c>
      <c r="G20" s="18" t="n">
        <v>5.18721018</v>
      </c>
      <c r="H20" s="20" t="n">
        <v>1.06792397</v>
      </c>
      <c r="I20" s="18" t="n">
        <v>9.35279439</v>
      </c>
      <c r="J20" s="20" t="n">
        <v>1.52283593</v>
      </c>
      <c r="K20" s="18" t="n">
        <v>1.5622959</v>
      </c>
      <c r="L20" s="20" t="n">
        <v>0.72517616</v>
      </c>
      <c r="M20" s="18" t="n">
        <v>51.67770714</v>
      </c>
      <c r="N20" s="20" t="n">
        <v>2.47885152</v>
      </c>
      <c r="O20" s="18" t="s">
        <v>349</v>
      </c>
      <c r="P20" s="20" t="s">
        <v>349</v>
      </c>
      <c r="Q20" s="18" t="n">
        <v>0.229944</v>
      </c>
      <c r="R20" s="20" t="n">
        <v>0.23366859</v>
      </c>
      <c r="S20" s="18" t="n">
        <v>0.35799646</v>
      </c>
      <c r="T20" s="20" t="n">
        <v>0.35028121</v>
      </c>
      <c r="U20" s="18" t="n">
        <v>0</v>
      </c>
      <c r="V20" s="20" t="n">
        <v>0</v>
      </c>
      <c r="W20" s="18" t="n">
        <v>10.37316593</v>
      </c>
      <c r="X20" s="20" t="n">
        <v>1.62372324</v>
      </c>
    </row>
    <row r="21" spans="1:24">
      <c r="A21" s="15" t="s">
        <v>363</v>
      </c>
      <c r="B21" s="17" t="n">
        <v>5741</v>
      </c>
      <c r="C21" s="18">
        <f>(4810.0/B21*100)</f>
        <v/>
      </c>
      <c r="D21" s="19" t="n">
        <v>931</v>
      </c>
      <c r="E21" s="18" t="n">
        <v>17.53137907</v>
      </c>
      <c r="F21" s="20" t="n">
        <v>1.23603089</v>
      </c>
      <c r="G21" s="18" t="n">
        <v>5.02429842</v>
      </c>
      <c r="H21" s="20" t="n">
        <v>0.71082575</v>
      </c>
      <c r="I21" s="18" t="n">
        <v>14.66907092</v>
      </c>
      <c r="J21" s="20" t="n">
        <v>1.24295914</v>
      </c>
      <c r="K21" s="18" t="n">
        <v>0.64527804</v>
      </c>
      <c r="L21" s="20" t="n">
        <v>0.26470343</v>
      </c>
      <c r="M21" s="18" t="n">
        <v>58.50953235</v>
      </c>
      <c r="N21" s="20" t="n">
        <v>1.66710883</v>
      </c>
      <c r="O21" s="18" t="s">
        <v>349</v>
      </c>
      <c r="P21" s="20" t="s">
        <v>349</v>
      </c>
      <c r="Q21" s="18" t="n">
        <v>0.08620574</v>
      </c>
      <c r="R21" s="20" t="n">
        <v>0.08609464</v>
      </c>
      <c r="S21" s="18" t="n">
        <v>0</v>
      </c>
      <c r="T21" s="20" t="n">
        <v>0</v>
      </c>
      <c r="U21" s="18" t="n">
        <v>0</v>
      </c>
      <c r="V21" s="20" t="n">
        <v>0</v>
      </c>
      <c r="W21" s="18" t="n">
        <v>3.53423546</v>
      </c>
      <c r="X21" s="20" t="n">
        <v>0.6383294</v>
      </c>
    </row>
    <row r="22" spans="1:24">
      <c r="A22" s="15" t="s">
        <v>364</v>
      </c>
      <c r="B22" s="17" t="n">
        <v>6598</v>
      </c>
      <c r="C22" s="18">
        <f>(5778.0/B22*100)</f>
        <v/>
      </c>
      <c r="D22" s="19" t="n">
        <v>820</v>
      </c>
      <c r="E22" s="18" t="n">
        <v>22.27033405</v>
      </c>
      <c r="F22" s="20" t="n">
        <v>1.30333419</v>
      </c>
      <c r="G22" s="18" t="n">
        <v>3.20284587</v>
      </c>
      <c r="H22" s="20" t="n">
        <v>0.6124358</v>
      </c>
      <c r="I22" s="18" t="n">
        <v>11.4918173</v>
      </c>
      <c r="J22" s="20" t="n">
        <v>1.12596463</v>
      </c>
      <c r="K22" s="18" t="n">
        <v>1.84716851</v>
      </c>
      <c r="L22" s="20" t="n">
        <v>0.46701279</v>
      </c>
      <c r="M22" s="18" t="n">
        <v>42.70308304</v>
      </c>
      <c r="N22" s="20" t="n">
        <v>1.81493917</v>
      </c>
      <c r="O22" s="18" t="s">
        <v>349</v>
      </c>
      <c r="P22" s="20" t="s">
        <v>349</v>
      </c>
      <c r="Q22" s="18" t="n">
        <v>0.30831892</v>
      </c>
      <c r="R22" s="20" t="n">
        <v>0.23226281</v>
      </c>
      <c r="S22" s="18" t="n">
        <v>0.4157097</v>
      </c>
      <c r="T22" s="20" t="n">
        <v>0.29317944</v>
      </c>
      <c r="U22" s="18" t="n">
        <v>0</v>
      </c>
      <c r="V22" s="20" t="n">
        <v>0</v>
      </c>
      <c r="W22" s="18" t="n">
        <v>17.76072262</v>
      </c>
      <c r="X22" s="20" t="n">
        <v>1.42430322</v>
      </c>
    </row>
    <row r="23" spans="1:24">
      <c r="A23" s="15" t="s">
        <v>365</v>
      </c>
      <c r="B23" s="17" t="n">
        <v>11583</v>
      </c>
      <c r="C23" s="18">
        <f>(10151.0/B23*100)</f>
        <v/>
      </c>
      <c r="D23" s="19" t="n">
        <v>1432</v>
      </c>
      <c r="E23" s="18" t="n">
        <v>14.43792041</v>
      </c>
      <c r="F23" s="20" t="n">
        <v>1.48216897</v>
      </c>
      <c r="G23" s="18" t="n">
        <v>8.03630903</v>
      </c>
      <c r="H23" s="20" t="n">
        <v>0.8656222099999999</v>
      </c>
      <c r="I23" s="18" t="n">
        <v>4.54539682</v>
      </c>
      <c r="J23" s="20" t="n">
        <v>0.77451938</v>
      </c>
      <c r="K23" s="18" t="n">
        <v>2.22695547</v>
      </c>
      <c r="L23" s="20" t="n">
        <v>0.57232832</v>
      </c>
      <c r="M23" s="18" t="n">
        <v>49.33756294</v>
      </c>
      <c r="N23" s="20" t="n">
        <v>1.89864574</v>
      </c>
      <c r="O23" s="18" t="s">
        <v>349</v>
      </c>
      <c r="P23" s="20" t="s">
        <v>349</v>
      </c>
      <c r="Q23" s="18" t="n">
        <v>0.3508447</v>
      </c>
      <c r="R23" s="20" t="n">
        <v>0.25423</v>
      </c>
      <c r="S23" s="18" t="n">
        <v>0</v>
      </c>
      <c r="T23" s="20" t="n">
        <v>0</v>
      </c>
      <c r="U23" s="18" t="n">
        <v>0</v>
      </c>
      <c r="V23" s="20" t="n">
        <v>0</v>
      </c>
      <c r="W23" s="18" t="n">
        <v>21.06501064</v>
      </c>
      <c r="X23" s="20" t="n">
        <v>1.66762792</v>
      </c>
    </row>
    <row r="24" spans="1:24">
      <c r="A24" s="15" t="s">
        <v>366</v>
      </c>
      <c r="B24" s="17" t="n">
        <v>6647</v>
      </c>
      <c r="C24" s="18">
        <f>(5814.0/B24*100)</f>
        <v/>
      </c>
      <c r="D24" s="19" t="n">
        <v>833</v>
      </c>
      <c r="E24" s="18" t="n">
        <v>13.49088154</v>
      </c>
      <c r="F24" s="20" t="n">
        <v>1.02908992</v>
      </c>
      <c r="G24" s="18" t="n">
        <v>3.58472064</v>
      </c>
      <c r="H24" s="20" t="n">
        <v>0.69186346</v>
      </c>
      <c r="I24" s="18" t="n">
        <v>12.24688802</v>
      </c>
      <c r="J24" s="20" t="n">
        <v>1.01876511</v>
      </c>
      <c r="K24" s="18" t="n">
        <v>1.2925376</v>
      </c>
      <c r="L24" s="20" t="n">
        <v>0.38239828</v>
      </c>
      <c r="M24" s="18" t="n">
        <v>58.41315137</v>
      </c>
      <c r="N24" s="20" t="n">
        <v>1.82592712</v>
      </c>
      <c r="O24" s="18" t="s">
        <v>349</v>
      </c>
      <c r="P24" s="20" t="s">
        <v>349</v>
      </c>
      <c r="Q24" s="18" t="n">
        <v>0.23462218</v>
      </c>
      <c r="R24" s="20" t="n">
        <v>0.1640887</v>
      </c>
      <c r="S24" s="18" t="n">
        <v>0.11684599</v>
      </c>
      <c r="T24" s="20" t="n">
        <v>0.11714032</v>
      </c>
      <c r="U24" s="18" t="n">
        <v>0</v>
      </c>
      <c r="V24" s="20" t="n">
        <v>0</v>
      </c>
      <c r="W24" s="18" t="n">
        <v>10.62035268</v>
      </c>
      <c r="X24" s="20" t="n">
        <v>1.11477227</v>
      </c>
    </row>
    <row r="25" spans="1:24">
      <c r="A25" s="15" t="s">
        <v>367</v>
      </c>
      <c r="B25" s="17" t="n">
        <v>5581</v>
      </c>
      <c r="C25" s="18">
        <f>(4887.0/B25*100)</f>
        <v/>
      </c>
      <c r="D25" s="19" t="n">
        <v>694</v>
      </c>
      <c r="E25" s="18" t="n">
        <v>13.12123595</v>
      </c>
      <c r="F25" s="20" t="n">
        <v>1.17134597</v>
      </c>
      <c r="G25" s="18" t="n">
        <v>1.52498632</v>
      </c>
      <c r="H25" s="20" t="n">
        <v>0.46004919</v>
      </c>
      <c r="I25" s="18" t="n">
        <v>25.94712614</v>
      </c>
      <c r="J25" s="20" t="n">
        <v>1.50194647</v>
      </c>
      <c r="K25" s="18" t="n">
        <v>0.5601246600000001</v>
      </c>
      <c r="L25" s="20" t="n">
        <v>0.27903746</v>
      </c>
      <c r="M25" s="18" t="n">
        <v>55.32227676</v>
      </c>
      <c r="N25" s="20" t="n">
        <v>2.0355077</v>
      </c>
      <c r="O25" s="18" t="s">
        <v>349</v>
      </c>
      <c r="P25" s="20" t="s">
        <v>349</v>
      </c>
      <c r="Q25" s="18" t="n">
        <v>0.13603693</v>
      </c>
      <c r="R25" s="20" t="n">
        <v>0.13583135</v>
      </c>
      <c r="S25" s="18" t="n">
        <v>0</v>
      </c>
      <c r="T25" s="20" t="n">
        <v>0</v>
      </c>
      <c r="U25" s="18" t="n">
        <v>0</v>
      </c>
      <c r="V25" s="20" t="n">
        <v>0</v>
      </c>
      <c r="W25" s="18" t="n">
        <v>3.38821324</v>
      </c>
      <c r="X25" s="20" t="n">
        <v>0.72853303</v>
      </c>
    </row>
    <row r="26" spans="1:24">
      <c r="A26" s="15" t="s">
        <v>368</v>
      </c>
      <c r="B26" s="17" t="n">
        <v>4869</v>
      </c>
      <c r="C26" s="18">
        <f>(4284.0/B26*100)</f>
        <v/>
      </c>
      <c r="D26" s="19" t="n">
        <v>585</v>
      </c>
      <c r="E26" s="18" t="n">
        <v>17.23820878</v>
      </c>
      <c r="F26" s="20" t="n">
        <v>1.8027772</v>
      </c>
      <c r="G26" s="18" t="n">
        <v>5.49856006</v>
      </c>
      <c r="H26" s="20" t="n">
        <v>1.05493279</v>
      </c>
      <c r="I26" s="18" t="n">
        <v>13.3416319</v>
      </c>
      <c r="J26" s="20" t="n">
        <v>1.63816518</v>
      </c>
      <c r="K26" s="18" t="n">
        <v>2.11353732</v>
      </c>
      <c r="L26" s="20" t="n">
        <v>0.63809542</v>
      </c>
      <c r="M26" s="18" t="n">
        <v>50.76911349</v>
      </c>
      <c r="N26" s="20" t="n">
        <v>2.08480785</v>
      </c>
      <c r="O26" s="18" t="s">
        <v>349</v>
      </c>
      <c r="P26" s="20" t="s">
        <v>349</v>
      </c>
      <c r="Q26" s="18" t="n">
        <v>0</v>
      </c>
      <c r="R26" s="20" t="n">
        <v>0</v>
      </c>
      <c r="S26" s="18" t="n">
        <v>0.30115779</v>
      </c>
      <c r="T26" s="20" t="n">
        <v>0.21081938</v>
      </c>
      <c r="U26" s="18" t="n">
        <v>0</v>
      </c>
      <c r="V26" s="20" t="n">
        <v>0</v>
      </c>
      <c r="W26" s="18" t="n">
        <v>10.73779066</v>
      </c>
      <c r="X26" s="20" t="n">
        <v>1.39856166</v>
      </c>
    </row>
    <row r="27" spans="1:24">
      <c r="A27" s="15" t="s">
        <v>369</v>
      </c>
      <c r="B27" s="17" t="n">
        <v>5299</v>
      </c>
      <c r="C27" s="18">
        <f>(4665.0/B27*100)</f>
        <v/>
      </c>
      <c r="D27" s="19" t="n">
        <v>634</v>
      </c>
      <c r="E27" s="18" t="n">
        <v>15.79208493</v>
      </c>
      <c r="F27" s="20" t="n">
        <v>1.54688419</v>
      </c>
      <c r="G27" s="18" t="n">
        <v>8.3254608</v>
      </c>
      <c r="H27" s="20" t="n">
        <v>1.17983378</v>
      </c>
      <c r="I27" s="18" t="n">
        <v>8.171018589999999</v>
      </c>
      <c r="J27" s="20" t="n">
        <v>1.09815245</v>
      </c>
      <c r="K27" s="18" t="n">
        <v>2.07633727</v>
      </c>
      <c r="L27" s="20" t="n">
        <v>0.53690079</v>
      </c>
      <c r="M27" s="18" t="n">
        <v>52.13728384</v>
      </c>
      <c r="N27" s="20" t="n">
        <v>2.06122691</v>
      </c>
      <c r="O27" s="18" t="s">
        <v>349</v>
      </c>
      <c r="P27" s="20" t="s">
        <v>349</v>
      </c>
      <c r="Q27" s="18" t="n">
        <v>0.15597256</v>
      </c>
      <c r="R27" s="20" t="n">
        <v>0.15593952</v>
      </c>
      <c r="S27" s="18" t="n">
        <v>0</v>
      </c>
      <c r="T27" s="20" t="n">
        <v>0</v>
      </c>
      <c r="U27" s="18" t="n">
        <v>0</v>
      </c>
      <c r="V27" s="20" t="n">
        <v>0</v>
      </c>
      <c r="W27" s="18" t="n">
        <v>13.34184201</v>
      </c>
      <c r="X27" s="20" t="n">
        <v>1.49696193</v>
      </c>
    </row>
    <row r="28" spans="1:24">
      <c r="A28" s="15" t="s">
        <v>370</v>
      </c>
      <c r="B28" s="17" t="n">
        <v>7568</v>
      </c>
      <c r="C28" s="18">
        <f>(6682.0/B28*100)</f>
        <v/>
      </c>
      <c r="D28" s="19" t="n">
        <v>886</v>
      </c>
      <c r="E28" s="18" t="n">
        <v>37.20311435</v>
      </c>
      <c r="F28" s="20" t="n">
        <v>1.91125101</v>
      </c>
      <c r="G28" s="18" t="n">
        <v>8.87423332</v>
      </c>
      <c r="H28" s="20" t="n">
        <v>1.20558005</v>
      </c>
      <c r="I28" s="18" t="n">
        <v>8.64430338</v>
      </c>
      <c r="J28" s="20" t="n">
        <v>1.05195696</v>
      </c>
      <c r="K28" s="18" t="n">
        <v>1.75045049</v>
      </c>
      <c r="L28" s="20" t="n">
        <v>0.44093252</v>
      </c>
      <c r="M28" s="18" t="n">
        <v>26.31890588</v>
      </c>
      <c r="N28" s="20" t="n">
        <v>1.9390127</v>
      </c>
      <c r="O28" s="18" t="s">
        <v>349</v>
      </c>
      <c r="P28" s="20" t="s">
        <v>349</v>
      </c>
      <c r="Q28" s="18" t="n">
        <v>0</v>
      </c>
      <c r="R28" s="20" t="n">
        <v>0</v>
      </c>
      <c r="S28" s="18" t="n">
        <v>0.94216639</v>
      </c>
      <c r="T28" s="20" t="n">
        <v>0.48507998</v>
      </c>
      <c r="U28" s="18" t="n">
        <v>0</v>
      </c>
      <c r="V28" s="20" t="n">
        <v>0</v>
      </c>
      <c r="W28" s="18" t="n">
        <v>16.26682619</v>
      </c>
      <c r="X28" s="20" t="n">
        <v>1.54604617</v>
      </c>
    </row>
    <row r="29" spans="1:24">
      <c r="A29" s="15" t="s">
        <v>371</v>
      </c>
      <c r="B29" s="17" t="n">
        <v>5385</v>
      </c>
      <c r="C29" s="18">
        <f>(4744.0/B29*100)</f>
        <v/>
      </c>
      <c r="D29" s="19" t="n">
        <v>641</v>
      </c>
      <c r="E29" s="18" t="n">
        <v>13.37481454</v>
      </c>
      <c r="F29" s="20" t="n">
        <v>1.04199473</v>
      </c>
      <c r="G29" s="18" t="n">
        <v>6.82499898</v>
      </c>
      <c r="H29" s="20" t="n">
        <v>0.85352144</v>
      </c>
      <c r="I29" s="18" t="n">
        <v>6.73452371</v>
      </c>
      <c r="J29" s="20" t="n">
        <v>0.91394833</v>
      </c>
      <c r="K29" s="18" t="n">
        <v>0.87463987</v>
      </c>
      <c r="L29" s="20" t="n">
        <v>0.48908499</v>
      </c>
      <c r="M29" s="18" t="n">
        <v>67.19754943</v>
      </c>
      <c r="N29" s="20" t="n">
        <v>1.89389648</v>
      </c>
      <c r="O29" s="18" t="s">
        <v>349</v>
      </c>
      <c r="P29" s="20" t="s">
        <v>349</v>
      </c>
      <c r="Q29" s="18" t="n">
        <v>0.23773648</v>
      </c>
      <c r="R29" s="20" t="n">
        <v>0.21176557</v>
      </c>
      <c r="S29" s="18" t="n">
        <v>0.42380842</v>
      </c>
      <c r="T29" s="20" t="n">
        <v>0.24806428</v>
      </c>
      <c r="U29" s="18" t="n">
        <v>0</v>
      </c>
      <c r="V29" s="20" t="n">
        <v>0</v>
      </c>
      <c r="W29" s="18" t="n">
        <v>4.33192858</v>
      </c>
      <c r="X29" s="20" t="n">
        <v>0.96559167</v>
      </c>
    </row>
    <row r="30" spans="1:24">
      <c r="A30" s="15" t="s">
        <v>372</v>
      </c>
      <c r="B30" s="17" t="n">
        <v>4520</v>
      </c>
      <c r="C30" s="18">
        <f>(3956.0/B30*100)</f>
        <v/>
      </c>
      <c r="D30" s="19" t="n">
        <v>564</v>
      </c>
      <c r="E30" s="18" t="n">
        <v>16.30444034</v>
      </c>
      <c r="F30" s="20" t="n">
        <v>1.70754119</v>
      </c>
      <c r="G30" s="18" t="n">
        <v>5.13868747</v>
      </c>
      <c r="H30" s="20" t="n">
        <v>0.98690143</v>
      </c>
      <c r="I30" s="18" t="n">
        <v>7.456811</v>
      </c>
      <c r="J30" s="20" t="n">
        <v>1.11013806</v>
      </c>
      <c r="K30" s="18" t="n">
        <v>2.52117051</v>
      </c>
      <c r="L30" s="20" t="n">
        <v>0.6320756199999999</v>
      </c>
      <c r="M30" s="18" t="n">
        <v>57.7801162</v>
      </c>
      <c r="N30" s="20" t="n">
        <v>1.95282703</v>
      </c>
      <c r="O30" s="18" t="s">
        <v>349</v>
      </c>
      <c r="P30" s="20" t="s">
        <v>349</v>
      </c>
      <c r="Q30" s="18" t="n">
        <v>0.27723054</v>
      </c>
      <c r="R30" s="20" t="n">
        <v>0.18524312</v>
      </c>
      <c r="S30" s="18" t="n">
        <v>0.57929292</v>
      </c>
      <c r="T30" s="20" t="n">
        <v>0.37113574</v>
      </c>
      <c r="U30" s="18" t="n">
        <v>0</v>
      </c>
      <c r="V30" s="20" t="n">
        <v>0</v>
      </c>
      <c r="W30" s="18" t="n">
        <v>9.94225102</v>
      </c>
      <c r="X30" s="20" t="n">
        <v>1.27199744</v>
      </c>
    </row>
    <row r="31" spans="1:24">
      <c r="A31" s="15" t="s">
        <v>373</v>
      </c>
      <c r="B31" s="17" t="n">
        <v>5456</v>
      </c>
      <c r="C31" s="18">
        <f>(4764.0/B31*100)</f>
        <v/>
      </c>
      <c r="D31" s="19" t="n">
        <v>692</v>
      </c>
      <c r="E31" s="18" t="n">
        <v>15.47135684</v>
      </c>
      <c r="F31" s="20" t="n">
        <v>1.4768415</v>
      </c>
      <c r="G31" s="18" t="n">
        <v>7.84239042</v>
      </c>
      <c r="H31" s="20" t="n">
        <v>1.13744794</v>
      </c>
      <c r="I31" s="18" t="n">
        <v>7.29679592</v>
      </c>
      <c r="J31" s="20" t="n">
        <v>1.00688917</v>
      </c>
      <c r="K31" s="18" t="n">
        <v>1.35445556</v>
      </c>
      <c r="L31" s="20" t="n">
        <v>0.42891363</v>
      </c>
      <c r="M31" s="18" t="n">
        <v>59.45513264</v>
      </c>
      <c r="N31" s="20" t="n">
        <v>1.83477464</v>
      </c>
      <c r="O31" s="18" t="s">
        <v>349</v>
      </c>
      <c r="P31" s="20" t="s">
        <v>349</v>
      </c>
      <c r="Q31" s="18" t="n">
        <v>0.31383332</v>
      </c>
      <c r="R31" s="20" t="n">
        <v>0.21495661</v>
      </c>
      <c r="S31" s="18" t="n">
        <v>0</v>
      </c>
      <c r="T31" s="20" t="n">
        <v>0</v>
      </c>
      <c r="U31" s="18" t="n">
        <v>0</v>
      </c>
      <c r="V31" s="20" t="n">
        <v>0</v>
      </c>
      <c r="W31" s="18" t="n">
        <v>8.266035309999999</v>
      </c>
      <c r="X31" s="20" t="n">
        <v>1.05956062</v>
      </c>
    </row>
    <row r="32" spans="1:24">
      <c r="A32" s="15" t="s">
        <v>374</v>
      </c>
      <c r="B32" s="17" t="n">
        <v>4478</v>
      </c>
      <c r="C32" s="18">
        <f>(3757.0/B32*100)</f>
        <v/>
      </c>
      <c r="D32" s="19" t="n">
        <v>721</v>
      </c>
      <c r="E32" s="18" t="n">
        <v>15.73671609</v>
      </c>
      <c r="F32" s="20" t="n">
        <v>1.32108643</v>
      </c>
      <c r="G32" s="18" t="n">
        <v>3.83833983</v>
      </c>
      <c r="H32" s="20" t="n">
        <v>0.79244945</v>
      </c>
      <c r="I32" s="18" t="n">
        <v>14.89525206</v>
      </c>
      <c r="J32" s="20" t="n">
        <v>1.55733316</v>
      </c>
      <c r="K32" s="18" t="n">
        <v>2.51868785</v>
      </c>
      <c r="L32" s="20" t="n">
        <v>0.56544989</v>
      </c>
      <c r="M32" s="18" t="n">
        <v>56.37422634</v>
      </c>
      <c r="N32" s="20" t="n">
        <v>1.85512178</v>
      </c>
      <c r="O32" s="18" t="s">
        <v>349</v>
      </c>
      <c r="P32" s="20" t="s">
        <v>349</v>
      </c>
      <c r="Q32" s="18" t="n">
        <v>0</v>
      </c>
      <c r="R32" s="20" t="n">
        <v>0</v>
      </c>
      <c r="S32" s="18" t="n">
        <v>0.13150252</v>
      </c>
      <c r="T32" s="20" t="n">
        <v>0.12838645</v>
      </c>
      <c r="U32" s="18" t="n">
        <v>0</v>
      </c>
      <c r="V32" s="20" t="n">
        <v>0</v>
      </c>
      <c r="W32" s="18" t="n">
        <v>6.50527531</v>
      </c>
      <c r="X32" s="20" t="n">
        <v>1.15016707</v>
      </c>
    </row>
    <row r="33" spans="1:24">
      <c r="A33" s="15" t="s">
        <v>375</v>
      </c>
      <c r="B33" s="17" t="n">
        <v>7325</v>
      </c>
      <c r="C33" s="18">
        <f>(6418.0/B33*100)</f>
        <v/>
      </c>
      <c r="D33" s="19" t="n">
        <v>907</v>
      </c>
      <c r="E33" s="18" t="n">
        <v>16.36515779</v>
      </c>
      <c r="F33" s="20" t="n">
        <v>1.76038388</v>
      </c>
      <c r="G33" s="18" t="n">
        <v>6.01076869</v>
      </c>
      <c r="H33" s="20" t="n">
        <v>0.97646174</v>
      </c>
      <c r="I33" s="18" t="n">
        <v>8.571864379999999</v>
      </c>
      <c r="J33" s="20" t="n">
        <v>0.90992483</v>
      </c>
      <c r="K33" s="18" t="n">
        <v>2.28008263</v>
      </c>
      <c r="L33" s="20" t="n">
        <v>0.62109</v>
      </c>
      <c r="M33" s="18" t="n">
        <v>51.82035165</v>
      </c>
      <c r="N33" s="20" t="n">
        <v>1.95570645</v>
      </c>
      <c r="O33" s="18" t="s">
        <v>349</v>
      </c>
      <c r="P33" s="20" t="s">
        <v>349</v>
      </c>
      <c r="Q33" s="18" t="n">
        <v>0.24299708</v>
      </c>
      <c r="R33" s="20" t="n">
        <v>0.15157859</v>
      </c>
      <c r="S33" s="18" t="n">
        <v>0</v>
      </c>
      <c r="T33" s="20" t="n">
        <v>0</v>
      </c>
      <c r="U33" s="18" t="n">
        <v>0</v>
      </c>
      <c r="V33" s="20" t="n">
        <v>0</v>
      </c>
      <c r="W33" s="18" t="n">
        <v>14.70877778</v>
      </c>
      <c r="X33" s="20" t="n">
        <v>1.53407054</v>
      </c>
    </row>
    <row r="34" spans="1:24">
      <c r="A34" s="15" t="s">
        <v>376</v>
      </c>
      <c r="B34" s="17" t="n">
        <v>6350</v>
      </c>
      <c r="C34" s="18">
        <f>(5579.0/B34*100)</f>
        <v/>
      </c>
      <c r="D34" s="19" t="n">
        <v>771</v>
      </c>
      <c r="E34" s="18" t="n">
        <v>23.02327356</v>
      </c>
      <c r="F34" s="20" t="n">
        <v>1.48328976</v>
      </c>
      <c r="G34" s="18" t="n">
        <v>3.65623731</v>
      </c>
      <c r="H34" s="20" t="n">
        <v>0.74994512</v>
      </c>
      <c r="I34" s="18" t="n">
        <v>9.003278010000001</v>
      </c>
      <c r="J34" s="20" t="n">
        <v>1.01426437</v>
      </c>
      <c r="K34" s="18" t="n">
        <v>0.85386898</v>
      </c>
      <c r="L34" s="20" t="n">
        <v>0.30651895</v>
      </c>
      <c r="M34" s="18" t="n">
        <v>49.32505086</v>
      </c>
      <c r="N34" s="20" t="n">
        <v>2.04966787</v>
      </c>
      <c r="O34" s="18" t="s">
        <v>349</v>
      </c>
      <c r="P34" s="20" t="s">
        <v>349</v>
      </c>
      <c r="Q34" s="18" t="n">
        <v>0.19146975</v>
      </c>
      <c r="R34" s="20" t="n">
        <v>0.18954584</v>
      </c>
      <c r="S34" s="18" t="n">
        <v>0</v>
      </c>
      <c r="T34" s="20" t="n">
        <v>0</v>
      </c>
      <c r="U34" s="18" t="n">
        <v>0</v>
      </c>
      <c r="V34" s="20" t="n">
        <v>0</v>
      </c>
      <c r="W34" s="18" t="n">
        <v>13.94682153</v>
      </c>
      <c r="X34" s="20" t="n">
        <v>1.44507606</v>
      </c>
    </row>
    <row r="35" spans="1:24">
      <c r="A35" s="15" t="s">
        <v>377</v>
      </c>
      <c r="B35" s="17" t="n">
        <v>6406</v>
      </c>
      <c r="C35" s="18">
        <f>(5637.0/B35*100)</f>
        <v/>
      </c>
      <c r="D35" s="19" t="n">
        <v>769</v>
      </c>
      <c r="E35" s="18" t="n">
        <v>15.4445909</v>
      </c>
      <c r="F35" s="20" t="n">
        <v>1.59813917</v>
      </c>
      <c r="G35" s="18" t="n">
        <v>4.36207168</v>
      </c>
      <c r="H35" s="20" t="n">
        <v>0.85948272</v>
      </c>
      <c r="I35" s="18" t="n">
        <v>11.3262418</v>
      </c>
      <c r="J35" s="20" t="n">
        <v>1.23694848</v>
      </c>
      <c r="K35" s="18" t="n">
        <v>2.96739847</v>
      </c>
      <c r="L35" s="20" t="n">
        <v>0.55933599</v>
      </c>
      <c r="M35" s="18" t="n">
        <v>59.04003717</v>
      </c>
      <c r="N35" s="20" t="n">
        <v>2.11856201</v>
      </c>
      <c r="O35" s="18" t="s">
        <v>349</v>
      </c>
      <c r="P35" s="20" t="s">
        <v>349</v>
      </c>
      <c r="Q35" s="18" t="n">
        <v>0</v>
      </c>
      <c r="R35" s="20" t="n">
        <v>0</v>
      </c>
      <c r="S35" s="18" t="n">
        <v>0</v>
      </c>
      <c r="T35" s="20" t="n">
        <v>0</v>
      </c>
      <c r="U35" s="18" t="n">
        <v>0</v>
      </c>
      <c r="V35" s="20" t="n">
        <v>0</v>
      </c>
      <c r="W35" s="18" t="n">
        <v>6.85965998</v>
      </c>
      <c r="X35" s="20" t="n">
        <v>1.12877023</v>
      </c>
    </row>
    <row r="36" spans="1:24">
      <c r="A36" s="15" t="s">
        <v>378</v>
      </c>
      <c r="B36" s="17" t="n">
        <v>6736</v>
      </c>
      <c r="C36" s="18">
        <f>(5923.0/B36*100)</f>
        <v/>
      </c>
      <c r="D36" s="19" t="n">
        <v>813</v>
      </c>
      <c r="E36" s="18" t="n">
        <v>15.32403462</v>
      </c>
      <c r="F36" s="20" t="n">
        <v>1.33700203</v>
      </c>
      <c r="G36" s="18" t="n">
        <v>9.314733800000001</v>
      </c>
      <c r="H36" s="20" t="n">
        <v>1.01576565</v>
      </c>
      <c r="I36" s="18" t="n">
        <v>9.72545592</v>
      </c>
      <c r="J36" s="20" t="n">
        <v>1.13738507</v>
      </c>
      <c r="K36" s="18" t="n">
        <v>3.12785089</v>
      </c>
      <c r="L36" s="20" t="n">
        <v>0.63175195</v>
      </c>
      <c r="M36" s="18" t="n">
        <v>47.37941272</v>
      </c>
      <c r="N36" s="20" t="n">
        <v>1.94204926</v>
      </c>
      <c r="O36" s="18" t="s">
        <v>349</v>
      </c>
      <c r="P36" s="20" t="s">
        <v>349</v>
      </c>
      <c r="Q36" s="18" t="n">
        <v>0.48412431</v>
      </c>
      <c r="R36" s="20" t="n">
        <v>0.30921126</v>
      </c>
      <c r="S36" s="18" t="n">
        <v>0</v>
      </c>
      <c r="T36" s="20" t="n">
        <v>0</v>
      </c>
      <c r="U36" s="18" t="n">
        <v>0</v>
      </c>
      <c r="V36" s="20" t="n">
        <v>0</v>
      </c>
      <c r="W36" s="18" t="n">
        <v>14.64438774</v>
      </c>
      <c r="X36" s="20" t="n">
        <v>1.1363689</v>
      </c>
    </row>
    <row r="37" spans="1:24">
      <c r="A37" s="15" t="s">
        <v>379</v>
      </c>
      <c r="B37" s="17" t="n">
        <v>5458</v>
      </c>
      <c r="C37" s="18">
        <f>(4838.0/B37*100)</f>
        <v/>
      </c>
      <c r="D37" s="19" t="n">
        <v>620</v>
      </c>
      <c r="E37" s="18" t="n">
        <v>18.06507052</v>
      </c>
      <c r="F37" s="20" t="n">
        <v>1.82264344</v>
      </c>
      <c r="G37" s="18" t="n">
        <v>6.74541867</v>
      </c>
      <c r="H37" s="20" t="n">
        <v>1.26557487</v>
      </c>
      <c r="I37" s="18" t="n">
        <v>7.34411623</v>
      </c>
      <c r="J37" s="20" t="n">
        <v>1.04401829</v>
      </c>
      <c r="K37" s="18" t="n">
        <v>0.67293109</v>
      </c>
      <c r="L37" s="20" t="n">
        <v>0.33872821</v>
      </c>
      <c r="M37" s="18" t="n">
        <v>53.67328056</v>
      </c>
      <c r="N37" s="20" t="n">
        <v>2.54731492</v>
      </c>
      <c r="O37" s="18" t="s">
        <v>349</v>
      </c>
      <c r="P37" s="20" t="s">
        <v>349</v>
      </c>
      <c r="Q37" s="18" t="n">
        <v>0.99841139</v>
      </c>
      <c r="R37" s="20" t="n">
        <v>0.4009937</v>
      </c>
      <c r="S37" s="18" t="n">
        <v>0</v>
      </c>
      <c r="T37" s="20" t="n">
        <v>0</v>
      </c>
      <c r="U37" s="18" t="n">
        <v>0</v>
      </c>
      <c r="V37" s="20" t="n">
        <v>0</v>
      </c>
      <c r="W37" s="18" t="n">
        <v>12.50077154</v>
      </c>
      <c r="X37" s="20" t="n">
        <v>1.45917586</v>
      </c>
    </row>
    <row r="38" spans="1:24">
      <c r="A38" s="15" t="s">
        <v>380</v>
      </c>
      <c r="B38" s="17" t="n">
        <v>5860</v>
      </c>
      <c r="C38" s="18">
        <f>(4896.0/B38*100)</f>
        <v/>
      </c>
      <c r="D38" s="19" t="n">
        <v>964</v>
      </c>
      <c r="E38" s="18" t="n">
        <v>13.47895727</v>
      </c>
      <c r="F38" s="20" t="n">
        <v>1.18945712</v>
      </c>
      <c r="G38" s="18" t="n">
        <v>5.51432343</v>
      </c>
      <c r="H38" s="20" t="n">
        <v>0.76408283</v>
      </c>
      <c r="I38" s="18" t="n">
        <v>5.77402837</v>
      </c>
      <c r="J38" s="20" t="n">
        <v>0.8792640900000001</v>
      </c>
      <c r="K38" s="18" t="n">
        <v>0.94494466</v>
      </c>
      <c r="L38" s="20" t="n">
        <v>0.32431117</v>
      </c>
      <c r="M38" s="18" t="n">
        <v>62.95809368</v>
      </c>
      <c r="N38" s="20" t="n">
        <v>2.04414761</v>
      </c>
      <c r="O38" s="18" t="s">
        <v>349</v>
      </c>
      <c r="P38" s="20" t="s">
        <v>349</v>
      </c>
      <c r="Q38" s="18" t="n">
        <v>0.58531501</v>
      </c>
      <c r="R38" s="20" t="n">
        <v>0.25972117</v>
      </c>
      <c r="S38" s="18" t="n">
        <v>0</v>
      </c>
      <c r="T38" s="20" t="n">
        <v>0</v>
      </c>
      <c r="U38" s="18" t="n">
        <v>0</v>
      </c>
      <c r="V38" s="20" t="n">
        <v>0</v>
      </c>
      <c r="W38" s="18" t="n">
        <v>10.7443376</v>
      </c>
      <c r="X38" s="20" t="n">
        <v>1.24779378</v>
      </c>
    </row>
    <row r="39" spans="1:24">
      <c r="A39" s="15" t="s">
        <v>381</v>
      </c>
      <c r="B39" s="17" t="n">
        <v>5895</v>
      </c>
      <c r="C39" s="18">
        <f>(5172.0/B39*100)</f>
        <v/>
      </c>
      <c r="D39" s="19" t="n">
        <v>723</v>
      </c>
      <c r="E39" s="18" t="n">
        <v>29.01423365</v>
      </c>
      <c r="F39" s="20" t="n">
        <v>2.12213695</v>
      </c>
      <c r="G39" s="18" t="n">
        <v>5.97442053</v>
      </c>
      <c r="H39" s="20" t="n">
        <v>0.85749751</v>
      </c>
      <c r="I39" s="18" t="n">
        <v>14.09415224</v>
      </c>
      <c r="J39" s="20" t="n">
        <v>1.34241369</v>
      </c>
      <c r="K39" s="18" t="n">
        <v>4.22166164</v>
      </c>
      <c r="L39" s="20" t="n">
        <v>0.88220555</v>
      </c>
      <c r="M39" s="18" t="n">
        <v>25.86922349</v>
      </c>
      <c r="N39" s="20" t="n">
        <v>1.91983166</v>
      </c>
      <c r="O39" s="18" t="s">
        <v>349</v>
      </c>
      <c r="P39" s="20" t="s">
        <v>349</v>
      </c>
      <c r="Q39" s="18" t="n">
        <v>0.30116754</v>
      </c>
      <c r="R39" s="20" t="n">
        <v>0.24164873</v>
      </c>
      <c r="S39" s="18" t="n">
        <v>0</v>
      </c>
      <c r="T39" s="20" t="n">
        <v>0</v>
      </c>
      <c r="U39" s="18" t="n">
        <v>0</v>
      </c>
      <c r="V39" s="20" t="n">
        <v>0</v>
      </c>
      <c r="W39" s="18" t="n">
        <v>20.5251409</v>
      </c>
      <c r="X39" s="20" t="n">
        <v>1.89688688</v>
      </c>
    </row>
    <row r="40" spans="1:24">
      <c r="A40" s="15" t="s">
        <v>382</v>
      </c>
      <c r="B40" s="17" t="n">
        <v>14157</v>
      </c>
      <c r="C40" s="18">
        <f>(12404.0/B40*100)</f>
        <v/>
      </c>
      <c r="D40" s="19" t="n">
        <v>1753</v>
      </c>
      <c r="E40" s="18" t="n">
        <v>19.27550137</v>
      </c>
      <c r="F40" s="20" t="n">
        <v>1.31608115</v>
      </c>
      <c r="G40" s="18" t="n">
        <v>4.38760604</v>
      </c>
      <c r="H40" s="20" t="n">
        <v>0.82675453</v>
      </c>
      <c r="I40" s="18" t="n">
        <v>11.59692625</v>
      </c>
      <c r="J40" s="20" t="n">
        <v>1.1064371</v>
      </c>
      <c r="K40" s="18" t="n">
        <v>2.64364065</v>
      </c>
      <c r="L40" s="20" t="n">
        <v>0.66871185</v>
      </c>
      <c r="M40" s="18" t="n">
        <v>56.04390679</v>
      </c>
      <c r="N40" s="20" t="n">
        <v>1.76272972</v>
      </c>
      <c r="O40" s="18" t="s">
        <v>349</v>
      </c>
      <c r="P40" s="20" t="s">
        <v>349</v>
      </c>
      <c r="Q40" s="18" t="n">
        <v>0.31039216</v>
      </c>
      <c r="R40" s="20" t="n">
        <v>0.26834937</v>
      </c>
      <c r="S40" s="18" t="n">
        <v>0.04413031</v>
      </c>
      <c r="T40" s="20" t="n">
        <v>0.04251119</v>
      </c>
      <c r="U40" s="18" t="n">
        <v>0</v>
      </c>
      <c r="V40" s="20" t="n">
        <v>0</v>
      </c>
      <c r="W40" s="18" t="n">
        <v>5.69789644</v>
      </c>
      <c r="X40" s="20" t="n">
        <v>0.70524085</v>
      </c>
    </row>
    <row r="41" spans="1:24">
      <c r="A41" s="15" t="s">
        <v>383</v>
      </c>
      <c r="B41" s="17" t="n">
        <v>5712</v>
      </c>
      <c r="C41" s="18">
        <f>(5042.0/B41*100)</f>
        <v/>
      </c>
      <c r="D41" s="19" t="n">
        <v>670</v>
      </c>
      <c r="E41" s="18" t="n">
        <v>37.01866218</v>
      </c>
      <c r="F41" s="20" t="n">
        <v>2.13005415</v>
      </c>
      <c r="G41" s="18" t="n">
        <v>8.160534780000001</v>
      </c>
      <c r="H41" s="20" t="n">
        <v>1.05771868</v>
      </c>
      <c r="I41" s="18" t="n">
        <v>8.16235112</v>
      </c>
      <c r="J41" s="20" t="n">
        <v>1.28456413</v>
      </c>
      <c r="K41" s="18" t="n">
        <v>0.4028372</v>
      </c>
      <c r="L41" s="20" t="n">
        <v>0.2973238</v>
      </c>
      <c r="M41" s="18" t="n">
        <v>43.06156624</v>
      </c>
      <c r="N41" s="20" t="n">
        <v>2.04480588</v>
      </c>
      <c r="O41" s="18" t="s">
        <v>349</v>
      </c>
      <c r="P41" s="20" t="s">
        <v>349</v>
      </c>
      <c r="Q41" s="18" t="n">
        <v>0.14141688</v>
      </c>
      <c r="R41" s="20" t="n">
        <v>0.13699928</v>
      </c>
      <c r="S41" s="18" t="n">
        <v>0</v>
      </c>
      <c r="T41" s="20" t="n">
        <v>0</v>
      </c>
      <c r="U41" s="18" t="n">
        <v>0</v>
      </c>
      <c r="V41" s="20" t="n">
        <v>0</v>
      </c>
      <c r="W41" s="18" t="n">
        <v>3.05263159</v>
      </c>
      <c r="X41" s="20" t="n">
        <v>0.66193476</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23141</v>
      </c>
      <c r="C46" s="18">
        <f>(20594.0/B46*100)</f>
        <v/>
      </c>
      <c r="D46" s="19" t="n">
        <v>2547</v>
      </c>
      <c r="E46" s="18" t="n">
        <v>38.99600833</v>
      </c>
      <c r="F46" s="20" t="n">
        <v>1.24374583</v>
      </c>
      <c r="G46" s="18" t="n">
        <v>4.97367804</v>
      </c>
      <c r="H46" s="20" t="n">
        <v>0.57181241</v>
      </c>
      <c r="I46" s="18" t="n">
        <v>2.69587759</v>
      </c>
      <c r="J46" s="20" t="n">
        <v>0.46462392</v>
      </c>
      <c r="K46" s="18" t="n">
        <v>0.65031633</v>
      </c>
      <c r="L46" s="20" t="n">
        <v>0.17252571</v>
      </c>
      <c r="M46" s="18" t="n">
        <v>18.60307378</v>
      </c>
      <c r="N46" s="20" t="n">
        <v>1.26021694</v>
      </c>
      <c r="O46" s="18" t="s">
        <v>349</v>
      </c>
      <c r="P46" s="20" t="s">
        <v>349</v>
      </c>
      <c r="Q46" s="18" t="n">
        <v>0.73806902</v>
      </c>
      <c r="R46" s="20" t="n">
        <v>0.19869014</v>
      </c>
      <c r="S46" s="18" t="n">
        <v>0.24968665</v>
      </c>
      <c r="T46" s="20" t="n">
        <v>0.14274895</v>
      </c>
      <c r="U46" s="18" t="n">
        <v>0</v>
      </c>
      <c r="V46" s="20" t="n">
        <v>0</v>
      </c>
      <c r="W46" s="18" t="n">
        <v>33.09329027</v>
      </c>
      <c r="X46" s="20" t="n">
        <v>1.46833569</v>
      </c>
    </row>
    <row r="47" spans="1:24">
      <c r="A47" s="15" t="s">
        <v>389</v>
      </c>
      <c r="B47" s="17" t="n">
        <v>5928</v>
      </c>
      <c r="C47" s="18">
        <f>(5214.0/B47*100)</f>
        <v/>
      </c>
      <c r="D47" s="19" t="n">
        <v>714</v>
      </c>
      <c r="E47" s="18" t="n">
        <v>27.41841495</v>
      </c>
      <c r="F47" s="20" t="n">
        <v>1.66118266</v>
      </c>
      <c r="G47" s="18" t="n">
        <v>12.27412063</v>
      </c>
      <c r="H47" s="20" t="n">
        <v>1.23395979</v>
      </c>
      <c r="I47" s="18" t="n">
        <v>3.6772863</v>
      </c>
      <c r="J47" s="20" t="n">
        <v>0.84224415</v>
      </c>
      <c r="K47" s="18" t="n">
        <v>1.49069447</v>
      </c>
      <c r="L47" s="20" t="n">
        <v>0.45662553</v>
      </c>
      <c r="M47" s="18" t="n">
        <v>31.77902723</v>
      </c>
      <c r="N47" s="20" t="n">
        <v>2.18559373</v>
      </c>
      <c r="O47" s="18" t="s">
        <v>349</v>
      </c>
      <c r="P47" s="20" t="s">
        <v>349</v>
      </c>
      <c r="Q47" s="18" t="n">
        <v>0.54022469</v>
      </c>
      <c r="R47" s="20" t="n">
        <v>0.26930208</v>
      </c>
      <c r="S47" s="18" t="n">
        <v>0</v>
      </c>
      <c r="T47" s="20" t="n">
        <v>0</v>
      </c>
      <c r="U47" s="18" t="n">
        <v>0</v>
      </c>
      <c r="V47" s="20" t="n">
        <v>0</v>
      </c>
      <c r="W47" s="18" t="n">
        <v>22.82023173</v>
      </c>
      <c r="X47" s="20" t="n">
        <v>1.58017028</v>
      </c>
    </row>
    <row r="48" spans="1:24">
      <c r="A48" s="15" t="s">
        <v>390</v>
      </c>
      <c r="B48" s="17" t="n">
        <v>9841</v>
      </c>
      <c r="C48" s="18">
        <f>(8600.0/B48*100)</f>
        <v/>
      </c>
      <c r="D48" s="19" t="n">
        <v>1241</v>
      </c>
      <c r="E48" s="18" t="n">
        <v>18.54844903</v>
      </c>
      <c r="F48" s="20" t="n">
        <v>1.5467668</v>
      </c>
      <c r="G48" s="18" t="n">
        <v>2.80227326</v>
      </c>
      <c r="H48" s="20" t="n">
        <v>0.59406868</v>
      </c>
      <c r="I48" s="18" t="n">
        <v>6.55288389</v>
      </c>
      <c r="J48" s="20" t="n">
        <v>0.7897511699999999</v>
      </c>
      <c r="K48" s="18" t="n">
        <v>2.92152947</v>
      </c>
      <c r="L48" s="20" t="n">
        <v>0.66779218</v>
      </c>
      <c r="M48" s="18" t="n">
        <v>61.08006097</v>
      </c>
      <c r="N48" s="20" t="n">
        <v>1.89536833</v>
      </c>
      <c r="O48" s="18" t="s">
        <v>349</v>
      </c>
      <c r="P48" s="20" t="s">
        <v>349</v>
      </c>
      <c r="Q48" s="18" t="n">
        <v>0.15783279</v>
      </c>
      <c r="R48" s="20" t="n">
        <v>0.11807945</v>
      </c>
      <c r="S48" s="18" t="n">
        <v>0</v>
      </c>
      <c r="T48" s="20" t="n">
        <v>0</v>
      </c>
      <c r="U48" s="18" t="n">
        <v>0</v>
      </c>
      <c r="V48" s="20" t="n">
        <v>0</v>
      </c>
      <c r="W48" s="18" t="n">
        <v>7.9369706</v>
      </c>
      <c r="X48" s="20" t="n">
        <v>0.99654139</v>
      </c>
    </row>
    <row r="49" spans="1:24">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11795</v>
      </c>
      <c r="C50" s="18">
        <f>(10364.0/B50*100)</f>
        <v/>
      </c>
      <c r="D50" s="19" t="n">
        <v>1431</v>
      </c>
      <c r="E50" s="18" t="n">
        <v>48.52174032</v>
      </c>
      <c r="F50" s="20" t="n">
        <v>1.92233294</v>
      </c>
      <c r="G50" s="18" t="n">
        <v>5.54488948</v>
      </c>
      <c r="H50" s="20" t="n">
        <v>0.76096823</v>
      </c>
      <c r="I50" s="18" t="n">
        <v>6.3420426</v>
      </c>
      <c r="J50" s="20" t="n">
        <v>1.02396578</v>
      </c>
      <c r="K50" s="18" t="n">
        <v>1.78129449</v>
      </c>
      <c r="L50" s="20" t="n">
        <v>0.54058606</v>
      </c>
      <c r="M50" s="18" t="n">
        <v>18.52490723</v>
      </c>
      <c r="N50" s="20" t="n">
        <v>1.30525988</v>
      </c>
      <c r="O50" s="18" t="s">
        <v>349</v>
      </c>
      <c r="P50" s="20" t="s">
        <v>349</v>
      </c>
      <c r="Q50" s="18" t="n">
        <v>0.33618369</v>
      </c>
      <c r="R50" s="20" t="n">
        <v>0.16504784</v>
      </c>
      <c r="S50" s="18" t="n">
        <v>1.8658228</v>
      </c>
      <c r="T50" s="20" t="n">
        <v>0.39260604</v>
      </c>
      <c r="U50" s="18" t="n">
        <v>0</v>
      </c>
      <c r="V50" s="20" t="n">
        <v>0</v>
      </c>
      <c r="W50" s="18" t="n">
        <v>17.0831194</v>
      </c>
      <c r="X50" s="20" t="n">
        <v>1.38080778</v>
      </c>
    </row>
    <row r="51" spans="1:24">
      <c r="A51" s="15" t="s">
        <v>393</v>
      </c>
      <c r="B51" s="17" t="n">
        <v>6866</v>
      </c>
      <c r="C51" s="18">
        <f>(6126.0/B51*100)</f>
        <v/>
      </c>
      <c r="D51" s="19" t="n">
        <v>740</v>
      </c>
      <c r="E51" s="18" t="n">
        <v>33.05607622</v>
      </c>
      <c r="F51" s="20" t="n">
        <v>2.06211286</v>
      </c>
      <c r="G51" s="18" t="n">
        <v>13.10478287</v>
      </c>
      <c r="H51" s="20" t="n">
        <v>1.32146877</v>
      </c>
      <c r="I51" s="18" t="n">
        <v>5.06830405</v>
      </c>
      <c r="J51" s="20" t="n">
        <v>0.91955091</v>
      </c>
      <c r="K51" s="18" t="n">
        <v>0.97769245</v>
      </c>
      <c r="L51" s="20" t="n">
        <v>0.35179424</v>
      </c>
      <c r="M51" s="18" t="n">
        <v>18.38500847</v>
      </c>
      <c r="N51" s="20" t="n">
        <v>1.39843912</v>
      </c>
      <c r="O51" s="18" t="s">
        <v>349</v>
      </c>
      <c r="P51" s="20" t="s">
        <v>349</v>
      </c>
      <c r="Q51" s="18" t="n">
        <v>0.18300471</v>
      </c>
      <c r="R51" s="20" t="n">
        <v>0.18209043</v>
      </c>
      <c r="S51" s="18" t="n">
        <v>0.04421418</v>
      </c>
      <c r="T51" s="20" t="n">
        <v>0.04435627</v>
      </c>
      <c r="U51" s="18" t="n">
        <v>0</v>
      </c>
      <c r="V51" s="20" t="n">
        <v>0</v>
      </c>
      <c r="W51" s="18" t="n">
        <v>29.18091703</v>
      </c>
      <c r="X51" s="20" t="n">
        <v>1.84080627</v>
      </c>
    </row>
    <row r="52" spans="1:24">
      <c r="A52" s="15" t="s">
        <v>394</v>
      </c>
      <c r="B52" s="17" t="n">
        <v>5809</v>
      </c>
      <c r="C52" s="18">
        <f>(5095.0/B52*100)</f>
        <v/>
      </c>
      <c r="D52" s="19" t="n">
        <v>714</v>
      </c>
      <c r="E52" s="18" t="n">
        <v>13.99311474</v>
      </c>
      <c r="F52" s="20" t="n">
        <v>1.31686575</v>
      </c>
      <c r="G52" s="18" t="n">
        <v>7.53149132</v>
      </c>
      <c r="H52" s="20" t="n">
        <v>0.83647196</v>
      </c>
      <c r="I52" s="18" t="n">
        <v>4.33853397</v>
      </c>
      <c r="J52" s="20" t="n">
        <v>0.68627845</v>
      </c>
      <c r="K52" s="18" t="n">
        <v>0.80493087</v>
      </c>
      <c r="L52" s="20" t="n">
        <v>0.24415402</v>
      </c>
      <c r="M52" s="18" t="n">
        <v>42.11750177</v>
      </c>
      <c r="N52" s="20" t="n">
        <v>1.8752122</v>
      </c>
      <c r="O52" s="18" t="s">
        <v>349</v>
      </c>
      <c r="P52" s="20" t="s">
        <v>349</v>
      </c>
      <c r="Q52" s="18" t="n">
        <v>0</v>
      </c>
      <c r="R52" s="20" t="n">
        <v>0</v>
      </c>
      <c r="S52" s="18" t="n">
        <v>0.13314175</v>
      </c>
      <c r="T52" s="20" t="n">
        <v>0.18852318</v>
      </c>
      <c r="U52" s="18" t="n">
        <v>0</v>
      </c>
      <c r="V52" s="20" t="n">
        <v>0</v>
      </c>
      <c r="W52" s="18" t="n">
        <v>31.08128557</v>
      </c>
      <c r="X52" s="20" t="n">
        <v>1.48031775</v>
      </c>
    </row>
    <row r="53" spans="1:24">
      <c r="A53" s="15" t="s">
        <v>395</v>
      </c>
      <c r="B53" s="17" t="n">
        <v>5571</v>
      </c>
      <c r="C53" s="18">
        <f>(4866.0/B53*100)</f>
        <v/>
      </c>
      <c r="D53" s="19" t="n">
        <v>705</v>
      </c>
      <c r="E53" s="18" t="n">
        <v>22.89101113</v>
      </c>
      <c r="F53" s="20" t="n">
        <v>1.78164526</v>
      </c>
      <c r="G53" s="18" t="n">
        <v>4.13021406</v>
      </c>
      <c r="H53" s="20" t="n">
        <v>0.74326657</v>
      </c>
      <c r="I53" s="18" t="n">
        <v>9.427904679999999</v>
      </c>
      <c r="J53" s="20" t="n">
        <v>1.03144709</v>
      </c>
      <c r="K53" s="18" t="n">
        <v>3.57650175</v>
      </c>
      <c r="L53" s="20" t="n">
        <v>0.76729721</v>
      </c>
      <c r="M53" s="18" t="n">
        <v>40.01532822</v>
      </c>
      <c r="N53" s="20" t="n">
        <v>1.98817551</v>
      </c>
      <c r="O53" s="18" t="s">
        <v>349</v>
      </c>
      <c r="P53" s="20" t="s">
        <v>349</v>
      </c>
      <c r="Q53" s="18" t="n">
        <v>0.42964501</v>
      </c>
      <c r="R53" s="20" t="n">
        <v>0.25656804</v>
      </c>
      <c r="S53" s="18" t="n">
        <v>0</v>
      </c>
      <c r="T53" s="20" t="n">
        <v>0</v>
      </c>
      <c r="U53" s="18" t="n">
        <v>0</v>
      </c>
      <c r="V53" s="20" t="n">
        <v>0</v>
      </c>
      <c r="W53" s="18" t="n">
        <v>19.52939514</v>
      </c>
      <c r="X53" s="20" t="n">
        <v>1.56263106</v>
      </c>
    </row>
    <row r="54" spans="1:24">
      <c r="A54" s="15" t="s">
        <v>396</v>
      </c>
      <c r="B54" s="17" t="n">
        <v>4740</v>
      </c>
      <c r="C54" s="18">
        <f>(3948.0/B54*100)</f>
        <v/>
      </c>
      <c r="D54" s="19" t="n">
        <v>792</v>
      </c>
      <c r="E54" s="18" t="n">
        <v>41.55036208</v>
      </c>
      <c r="F54" s="20" t="n">
        <v>1.69629452</v>
      </c>
      <c r="G54" s="18" t="n">
        <v>3.60164246</v>
      </c>
      <c r="H54" s="20" t="n">
        <v>0.81976564</v>
      </c>
      <c r="I54" s="18" t="n">
        <v>4.76393152</v>
      </c>
      <c r="J54" s="20" t="n">
        <v>0.8970807</v>
      </c>
      <c r="K54" s="18" t="n">
        <v>0.2419454</v>
      </c>
      <c r="L54" s="20" t="n">
        <v>0.18250782</v>
      </c>
      <c r="M54" s="18" t="n">
        <v>2.87505537</v>
      </c>
      <c r="N54" s="20" t="n">
        <v>0.64140075</v>
      </c>
      <c r="O54" s="18" t="s">
        <v>349</v>
      </c>
      <c r="P54" s="20" t="s">
        <v>349</v>
      </c>
      <c r="Q54" s="18" t="n">
        <v>4.44958737</v>
      </c>
      <c r="R54" s="20" t="n">
        <v>0.8853450899999999</v>
      </c>
      <c r="S54" s="18" t="n">
        <v>0.65987875</v>
      </c>
      <c r="T54" s="20" t="n">
        <v>0.59025269</v>
      </c>
      <c r="U54" s="18" t="n">
        <v>0</v>
      </c>
      <c r="V54" s="20" t="n">
        <v>0</v>
      </c>
      <c r="W54" s="18" t="n">
        <v>41.85759705</v>
      </c>
      <c r="X54" s="20" t="n">
        <v>1.92265726</v>
      </c>
    </row>
    <row r="55" spans="1:24">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5359</v>
      </c>
      <c r="C56" s="18">
        <f>(4679.0/B56*100)</f>
        <v/>
      </c>
      <c r="D56" s="19" t="n">
        <v>680</v>
      </c>
      <c r="E56" s="18" t="n">
        <v>11.54971449</v>
      </c>
      <c r="F56" s="20" t="n">
        <v>1.35309243</v>
      </c>
      <c r="G56" s="18" t="n">
        <v>1.44422719</v>
      </c>
      <c r="H56" s="20" t="n">
        <v>0.45905889</v>
      </c>
      <c r="I56" s="18" t="n">
        <v>7.35233346</v>
      </c>
      <c r="J56" s="20" t="n">
        <v>1.03994981</v>
      </c>
      <c r="K56" s="18" t="n">
        <v>2.58809647</v>
      </c>
      <c r="L56" s="20" t="n">
        <v>0.62649858</v>
      </c>
      <c r="M56" s="18" t="n">
        <v>71.07491566</v>
      </c>
      <c r="N56" s="20" t="n">
        <v>2.01503142</v>
      </c>
      <c r="O56" s="18" t="s">
        <v>349</v>
      </c>
      <c r="P56" s="20" t="s">
        <v>349</v>
      </c>
      <c r="Q56" s="18" t="n">
        <v>0</v>
      </c>
      <c r="R56" s="20" t="n">
        <v>0</v>
      </c>
      <c r="S56" s="18" t="n">
        <v>0</v>
      </c>
      <c r="T56" s="20" t="n">
        <v>0</v>
      </c>
      <c r="U56" s="18" t="n">
        <v>0</v>
      </c>
      <c r="V56" s="20" t="n">
        <v>0</v>
      </c>
      <c r="W56" s="18" t="n">
        <v>5.99071272</v>
      </c>
      <c r="X56" s="20" t="n">
        <v>1.02542797</v>
      </c>
    </row>
    <row r="57" spans="1:24">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6525</v>
      </c>
      <c r="C61" s="18">
        <f>(5714.0/B61*100)</f>
        <v/>
      </c>
      <c r="D61" s="19" t="n">
        <v>811</v>
      </c>
      <c r="E61" s="18" t="n">
        <v>17.3450458</v>
      </c>
      <c r="F61" s="20" t="n">
        <v>1.63434746</v>
      </c>
      <c r="G61" s="18" t="n">
        <v>10.20309595</v>
      </c>
      <c r="H61" s="20" t="n">
        <v>1.13826689</v>
      </c>
      <c r="I61" s="18" t="n">
        <v>9.403128880000001</v>
      </c>
      <c r="J61" s="20" t="n">
        <v>1.10146803</v>
      </c>
      <c r="K61" s="18" t="n">
        <v>1.42843793</v>
      </c>
      <c r="L61" s="20" t="n">
        <v>0.47569357</v>
      </c>
      <c r="M61" s="18" t="n">
        <v>44.34728039</v>
      </c>
      <c r="N61" s="20" t="n">
        <v>2.00905802</v>
      </c>
      <c r="O61" s="18" t="s">
        <v>349</v>
      </c>
      <c r="P61" s="20" t="s">
        <v>349</v>
      </c>
      <c r="Q61" s="18" t="n">
        <v>0.28134445</v>
      </c>
      <c r="R61" s="20" t="n">
        <v>0.2009679</v>
      </c>
      <c r="S61" s="18" t="n">
        <v>0</v>
      </c>
      <c r="T61" s="20" t="n">
        <v>0</v>
      </c>
      <c r="U61" s="18" t="n">
        <v>0</v>
      </c>
      <c r="V61" s="20" t="n">
        <v>0</v>
      </c>
      <c r="W61" s="18" t="n">
        <v>16.99166658</v>
      </c>
      <c r="X61" s="20" t="n">
        <v>1.45618996</v>
      </c>
    </row>
    <row r="62" spans="1:24">
      <c r="A62" s="15" t="s">
        <v>404</v>
      </c>
      <c r="B62" s="17" t="n">
        <v>4476</v>
      </c>
      <c r="C62" s="18">
        <f>(3923.0/B62*100)</f>
        <v/>
      </c>
      <c r="D62" s="19" t="n">
        <v>553</v>
      </c>
      <c r="E62" s="18" t="n">
        <v>14.85124546</v>
      </c>
      <c r="F62" s="20" t="n">
        <v>1.50516811</v>
      </c>
      <c r="G62" s="18" t="n">
        <v>2.15462041</v>
      </c>
      <c r="H62" s="20" t="n">
        <v>0.6775161</v>
      </c>
      <c r="I62" s="18" t="n">
        <v>9.03141104</v>
      </c>
      <c r="J62" s="20" t="n">
        <v>1.07265531</v>
      </c>
      <c r="K62" s="18" t="n">
        <v>4.52680361</v>
      </c>
      <c r="L62" s="20" t="n">
        <v>0.95548031</v>
      </c>
      <c r="M62" s="18" t="n">
        <v>65.24959437</v>
      </c>
      <c r="N62" s="20" t="n">
        <v>1.96137585</v>
      </c>
      <c r="O62" s="18" t="s">
        <v>349</v>
      </c>
      <c r="P62" s="20" t="s">
        <v>349</v>
      </c>
      <c r="Q62" s="18" t="n">
        <v>0</v>
      </c>
      <c r="R62" s="20" t="n">
        <v>0</v>
      </c>
      <c r="S62" s="18" t="n">
        <v>0</v>
      </c>
      <c r="T62" s="20" t="n">
        <v>0</v>
      </c>
      <c r="U62" s="18" t="n">
        <v>0</v>
      </c>
      <c r="V62" s="20" t="n">
        <v>0</v>
      </c>
      <c r="W62" s="18" t="n">
        <v>4.18632511</v>
      </c>
      <c r="X62" s="20" t="n">
        <v>0.89078495</v>
      </c>
    </row>
    <row r="63" spans="1:24">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5665</v>
      </c>
      <c r="C66" s="18">
        <f>(4965.0/B66*100)</f>
        <v/>
      </c>
      <c r="D66" s="19" t="n">
        <v>700</v>
      </c>
      <c r="E66" s="18" t="n">
        <v>20.58877525</v>
      </c>
      <c r="F66" s="20" t="n">
        <v>1.48143399</v>
      </c>
      <c r="G66" s="18" t="n">
        <v>5.56156553</v>
      </c>
      <c r="H66" s="20" t="n">
        <v>0.83536876</v>
      </c>
      <c r="I66" s="18" t="n">
        <v>6.53130792</v>
      </c>
      <c r="J66" s="20" t="n">
        <v>1.03556447</v>
      </c>
      <c r="K66" s="18" t="n">
        <v>1.47872661</v>
      </c>
      <c r="L66" s="20" t="n">
        <v>0.50133319</v>
      </c>
      <c r="M66" s="18" t="n">
        <v>26.97044143</v>
      </c>
      <c r="N66" s="20" t="n">
        <v>1.9706694</v>
      </c>
      <c r="O66" s="18" t="s">
        <v>349</v>
      </c>
      <c r="P66" s="20" t="s">
        <v>349</v>
      </c>
      <c r="Q66" s="18" t="n">
        <v>0.49814373</v>
      </c>
      <c r="R66" s="20" t="n">
        <v>0.27787696</v>
      </c>
      <c r="S66" s="18" t="n">
        <v>0.37455442</v>
      </c>
      <c r="T66" s="20" t="n">
        <v>0.21493978</v>
      </c>
      <c r="U66" s="18" t="n">
        <v>0</v>
      </c>
      <c r="V66" s="20" t="n">
        <v>0</v>
      </c>
      <c r="W66" s="18" t="n">
        <v>37.99648511</v>
      </c>
      <c r="X66" s="20" t="n">
        <v>1.9613461</v>
      </c>
    </row>
    <row r="67" spans="1:24">
      <c r="A67" s="15" t="s">
        <v>409</v>
      </c>
      <c r="B67" s="17" t="n">
        <v>6971</v>
      </c>
      <c r="C67" s="18">
        <f>(6158.0/B67*100)</f>
        <v/>
      </c>
      <c r="D67" s="19" t="n">
        <v>813</v>
      </c>
      <c r="E67" s="18" t="n">
        <v>36.59123901</v>
      </c>
      <c r="F67" s="20" t="n">
        <v>1.72498792</v>
      </c>
      <c r="G67" s="18" t="n">
        <v>3.66691406</v>
      </c>
      <c r="H67" s="20" t="n">
        <v>0.60999397</v>
      </c>
      <c r="I67" s="18" t="n">
        <v>6.58675555</v>
      </c>
      <c r="J67" s="20" t="n">
        <v>0.95815362</v>
      </c>
      <c r="K67" s="18" t="n">
        <v>1.20208285</v>
      </c>
      <c r="L67" s="20" t="n">
        <v>0.37923348</v>
      </c>
      <c r="M67" s="18" t="n">
        <v>15.60312205</v>
      </c>
      <c r="N67" s="20" t="n">
        <v>1.35803428</v>
      </c>
      <c r="O67" s="18" t="s">
        <v>349</v>
      </c>
      <c r="P67" s="20" t="s">
        <v>349</v>
      </c>
      <c r="Q67" s="18" t="n">
        <v>0</v>
      </c>
      <c r="R67" s="20" t="n">
        <v>0</v>
      </c>
      <c r="S67" s="18" t="n">
        <v>0.8515827500000001</v>
      </c>
      <c r="T67" s="20" t="n">
        <v>0.36564998</v>
      </c>
      <c r="U67" s="18" t="n">
        <v>0</v>
      </c>
      <c r="V67" s="20" t="n">
        <v>0</v>
      </c>
      <c r="W67" s="18" t="n">
        <v>35.49830373</v>
      </c>
      <c r="X67" s="20" t="n">
        <v>1.68627855</v>
      </c>
    </row>
    <row r="68" spans="1:24">
      <c r="A68" s="15" t="s">
        <v>410</v>
      </c>
      <c r="B68" s="17" t="n">
        <v>12083</v>
      </c>
      <c r="C68" s="18">
        <f>(10062.0/B68*100)</f>
        <v/>
      </c>
      <c r="D68" s="19" t="n">
        <v>2021</v>
      </c>
      <c r="E68" s="18" t="n">
        <v>48.26685273</v>
      </c>
      <c r="F68" s="20" t="n">
        <v>1.14510098</v>
      </c>
      <c r="G68" s="18" t="n">
        <v>3.16583456</v>
      </c>
      <c r="H68" s="20" t="n">
        <v>0.36991625</v>
      </c>
      <c r="I68" s="18" t="n">
        <v>7.90692042</v>
      </c>
      <c r="J68" s="20" t="n">
        <v>0.6457761</v>
      </c>
      <c r="K68" s="18" t="n">
        <v>1.98147349</v>
      </c>
      <c r="L68" s="20" t="n">
        <v>0.31088371</v>
      </c>
      <c r="M68" s="18" t="n">
        <v>23.38815281</v>
      </c>
      <c r="N68" s="20" t="n">
        <v>0.8682680699999999</v>
      </c>
      <c r="O68" s="18" t="s">
        <v>349</v>
      </c>
      <c r="P68" s="20" t="s">
        <v>349</v>
      </c>
      <c r="Q68" s="18" t="n">
        <v>1.56042139</v>
      </c>
      <c r="R68" s="20" t="n">
        <v>0.26937845</v>
      </c>
      <c r="S68" s="18" t="n">
        <v>0.04757191</v>
      </c>
      <c r="T68" s="20" t="n">
        <v>0.04757614</v>
      </c>
      <c r="U68" s="18" t="n">
        <v>0</v>
      </c>
      <c r="V68" s="20" t="n">
        <v>0</v>
      </c>
      <c r="W68" s="18" t="n">
        <v>13.6827727</v>
      </c>
      <c r="X68" s="20" t="n">
        <v>0.79702373</v>
      </c>
    </row>
    <row r="69" spans="1:24">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6036</v>
      </c>
      <c r="C70" s="18">
        <f>(5295.0/B70*100)</f>
        <v/>
      </c>
      <c r="D70" s="19" t="n">
        <v>741</v>
      </c>
      <c r="E70" s="18" t="n">
        <v>22.8472267</v>
      </c>
      <c r="F70" s="20" t="n">
        <v>1.66554367</v>
      </c>
      <c r="G70" s="18" t="n">
        <v>4.73758753</v>
      </c>
      <c r="H70" s="20" t="n">
        <v>0.8992764600000001</v>
      </c>
      <c r="I70" s="18" t="n">
        <v>12.06343694</v>
      </c>
      <c r="J70" s="20" t="n">
        <v>1.21135372</v>
      </c>
      <c r="K70" s="18" t="n">
        <v>0.9765978199999999</v>
      </c>
      <c r="L70" s="20" t="n">
        <v>0.38605058</v>
      </c>
      <c r="M70" s="18" t="n">
        <v>44.2718395</v>
      </c>
      <c r="N70" s="20" t="n">
        <v>2.01282881</v>
      </c>
      <c r="O70" s="18" t="s">
        <v>349</v>
      </c>
      <c r="P70" s="20" t="s">
        <v>349</v>
      </c>
      <c r="Q70" s="18" t="n">
        <v>0</v>
      </c>
      <c r="R70" s="20" t="n">
        <v>0</v>
      </c>
      <c r="S70" s="18" t="n">
        <v>0.9205909</v>
      </c>
      <c r="T70" s="20" t="n">
        <v>0.29423037</v>
      </c>
      <c r="U70" s="18" t="n">
        <v>0</v>
      </c>
      <c r="V70" s="20" t="n">
        <v>0</v>
      </c>
      <c r="W70" s="18" t="n">
        <v>14.18272063</v>
      </c>
      <c r="X70" s="20" t="n">
        <v>1.42468742</v>
      </c>
    </row>
    <row r="71" spans="1:24">
      <c r="A71" s="15" t="s">
        <v>413</v>
      </c>
      <c r="B71" s="17" t="n">
        <v>6115</v>
      </c>
      <c r="C71" s="18">
        <f>(5367.0/B71*100)</f>
        <v/>
      </c>
      <c r="D71" s="19" t="n">
        <v>748</v>
      </c>
      <c r="E71" s="18" t="n">
        <v>14.41522364</v>
      </c>
      <c r="F71" s="20" t="n">
        <v>1.3771506</v>
      </c>
      <c r="G71" s="18" t="n">
        <v>2.12795153</v>
      </c>
      <c r="H71" s="20" t="n">
        <v>0.50827647</v>
      </c>
      <c r="I71" s="18" t="n">
        <v>9.36160179</v>
      </c>
      <c r="J71" s="20" t="n">
        <v>1.15547355</v>
      </c>
      <c r="K71" s="18" t="n">
        <v>1.21561435</v>
      </c>
      <c r="L71" s="20" t="n">
        <v>0.47903593</v>
      </c>
      <c r="M71" s="18" t="n">
        <v>70.08860471</v>
      </c>
      <c r="N71" s="20" t="n">
        <v>1.97757643</v>
      </c>
      <c r="O71" s="18" t="s">
        <v>349</v>
      </c>
      <c r="P71" s="20" t="s">
        <v>349</v>
      </c>
      <c r="Q71" s="18" t="n">
        <v>0.23676061</v>
      </c>
      <c r="R71" s="20" t="n">
        <v>0.17394516</v>
      </c>
      <c r="S71" s="18" t="n">
        <v>0</v>
      </c>
      <c r="T71" s="20" t="n">
        <v>0</v>
      </c>
      <c r="U71" s="18" t="n">
        <v>0</v>
      </c>
      <c r="V71" s="20" t="n">
        <v>0</v>
      </c>
      <c r="W71" s="18" t="n">
        <v>2.55424339</v>
      </c>
      <c r="X71" s="20" t="n">
        <v>0.52483127</v>
      </c>
    </row>
    <row r="72" spans="1:24">
      <c r="A72" s="15" t="s">
        <v>414</v>
      </c>
      <c r="B72" s="17" t="n">
        <v>7708</v>
      </c>
      <c r="C72" s="18">
        <f>(6766.0/B72*100)</f>
        <v/>
      </c>
      <c r="D72" s="19" t="n">
        <v>942</v>
      </c>
      <c r="E72" s="18" t="n">
        <v>18.16830739</v>
      </c>
      <c r="F72" s="20" t="n">
        <v>1.28958978</v>
      </c>
      <c r="G72" s="18" t="n">
        <v>0.73058787</v>
      </c>
      <c r="H72" s="20" t="n">
        <v>0.2645378</v>
      </c>
      <c r="I72" s="18" t="n">
        <v>18.38935378</v>
      </c>
      <c r="J72" s="20" t="n">
        <v>1.14384852</v>
      </c>
      <c r="K72" s="18" t="n">
        <v>1.17198355</v>
      </c>
      <c r="L72" s="20" t="n">
        <v>0.30029188</v>
      </c>
      <c r="M72" s="18" t="n">
        <v>54.40880289</v>
      </c>
      <c r="N72" s="20" t="n">
        <v>1.86428437</v>
      </c>
      <c r="O72" s="18" t="s">
        <v>349</v>
      </c>
      <c r="P72" s="20" t="s">
        <v>349</v>
      </c>
      <c r="Q72" s="18" t="n">
        <v>0</v>
      </c>
      <c r="R72" s="20" t="n">
        <v>0</v>
      </c>
      <c r="S72" s="18" t="n">
        <v>0</v>
      </c>
      <c r="T72" s="20" t="n">
        <v>0</v>
      </c>
      <c r="U72" s="18" t="n">
        <v>0</v>
      </c>
      <c r="V72" s="20" t="n">
        <v>0</v>
      </c>
      <c r="W72" s="18" t="n">
        <v>7.13096453</v>
      </c>
      <c r="X72" s="20" t="n">
        <v>0.92012204</v>
      </c>
    </row>
    <row r="73" spans="1:24">
      <c r="A73" s="15" t="s">
        <v>415</v>
      </c>
      <c r="B73" s="17" t="n">
        <v>8249</v>
      </c>
      <c r="C73" s="18">
        <f>(7277.0/B73*100)</f>
        <v/>
      </c>
      <c r="D73" s="19" t="n">
        <v>972</v>
      </c>
      <c r="E73" s="18" t="n">
        <v>44.96560613</v>
      </c>
      <c r="F73" s="20" t="n">
        <v>2.07824999</v>
      </c>
      <c r="G73" s="18" t="n">
        <v>3.80668362</v>
      </c>
      <c r="H73" s="20" t="n">
        <v>0.73274515</v>
      </c>
      <c r="I73" s="18" t="n">
        <v>12.3601652</v>
      </c>
      <c r="J73" s="20" t="n">
        <v>1.14102082</v>
      </c>
      <c r="K73" s="18" t="n">
        <v>1.60858396</v>
      </c>
      <c r="L73" s="20" t="n">
        <v>0.42556263</v>
      </c>
      <c r="M73" s="18" t="n">
        <v>29.84017361</v>
      </c>
      <c r="N73" s="20" t="n">
        <v>1.9134034</v>
      </c>
      <c r="O73" s="18" t="s">
        <v>349</v>
      </c>
      <c r="P73" s="20" t="s">
        <v>349</v>
      </c>
      <c r="Q73" s="18" t="n">
        <v>0</v>
      </c>
      <c r="R73" s="20" t="n">
        <v>0</v>
      </c>
      <c r="S73" s="18" t="n">
        <v>0.00434605</v>
      </c>
      <c r="T73" s="20" t="n">
        <v>0.00433771</v>
      </c>
      <c r="U73" s="18" t="n">
        <v>0</v>
      </c>
      <c r="V73" s="20" t="n">
        <v>0</v>
      </c>
      <c r="W73" s="18" t="n">
        <v>7.41444143</v>
      </c>
      <c r="X73" s="20" t="n">
        <v>0.98766269</v>
      </c>
    </row>
    <row r="74" spans="1:24">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5375</v>
      </c>
      <c r="C75" s="18">
        <f>(4763.0/B75*100)</f>
        <v/>
      </c>
      <c r="D75" s="19" t="n">
        <v>612</v>
      </c>
      <c r="E75" s="18" t="n">
        <v>38.74210579</v>
      </c>
      <c r="F75" s="20" t="n">
        <v>2.02642846</v>
      </c>
      <c r="G75" s="18" t="n">
        <v>7.26082476</v>
      </c>
      <c r="H75" s="20" t="n">
        <v>1.10254739</v>
      </c>
      <c r="I75" s="18" t="n">
        <v>6.97104122</v>
      </c>
      <c r="J75" s="20" t="n">
        <v>1.21187194</v>
      </c>
      <c r="K75" s="18" t="n">
        <v>0.87570189</v>
      </c>
      <c r="L75" s="20" t="n">
        <v>0.37837669</v>
      </c>
      <c r="M75" s="18" t="n">
        <v>16.36001101</v>
      </c>
      <c r="N75" s="20" t="n">
        <v>1.53959256</v>
      </c>
      <c r="O75" s="18" t="s">
        <v>349</v>
      </c>
      <c r="P75" s="20" t="s">
        <v>349</v>
      </c>
      <c r="Q75" s="18" t="n">
        <v>1.11459885</v>
      </c>
      <c r="R75" s="20" t="n">
        <v>0.4036116</v>
      </c>
      <c r="S75" s="18" t="n">
        <v>0.82463948</v>
      </c>
      <c r="T75" s="20" t="n">
        <v>0.38461389</v>
      </c>
      <c r="U75" s="18" t="n">
        <v>0</v>
      </c>
      <c r="V75" s="20" t="n">
        <v>0</v>
      </c>
      <c r="W75" s="18" t="n">
        <v>27.851077</v>
      </c>
      <c r="X75" s="20" t="n">
        <v>1.83635747</v>
      </c>
    </row>
    <row r="76" spans="1:24">
      <c r="A76" s="15" t="s">
        <v>418</v>
      </c>
      <c r="B76" s="17" t="n">
        <v>14167</v>
      </c>
      <c r="C76" s="18">
        <f>(12417.0/B76*100)</f>
        <v/>
      </c>
      <c r="D76" s="19" t="n">
        <v>1750</v>
      </c>
      <c r="E76" s="18" t="n">
        <v>43.81321404</v>
      </c>
      <c r="F76" s="20" t="n">
        <v>1.65836754</v>
      </c>
      <c r="G76" s="18" t="n">
        <v>6.09193615</v>
      </c>
      <c r="H76" s="20" t="n">
        <v>0.62434543</v>
      </c>
      <c r="I76" s="18" t="n">
        <v>7.90596611</v>
      </c>
      <c r="J76" s="20" t="n">
        <v>0.97443218</v>
      </c>
      <c r="K76" s="18" t="n">
        <v>0.99800902</v>
      </c>
      <c r="L76" s="20" t="n">
        <v>0.38288691</v>
      </c>
      <c r="M76" s="18" t="n">
        <v>32.1588893</v>
      </c>
      <c r="N76" s="20" t="n">
        <v>1.26887962</v>
      </c>
      <c r="O76" s="18" t="s">
        <v>349</v>
      </c>
      <c r="P76" s="20" t="s">
        <v>349</v>
      </c>
      <c r="Q76" s="18" t="n">
        <v>0.36343261</v>
      </c>
      <c r="R76" s="20" t="n">
        <v>0.1651072</v>
      </c>
      <c r="S76" s="18" t="n">
        <v>0.11392747</v>
      </c>
      <c r="T76" s="20" t="n">
        <v>0.06263079000000001</v>
      </c>
      <c r="U76" s="18" t="n">
        <v>0</v>
      </c>
      <c r="V76" s="20" t="n">
        <v>0</v>
      </c>
      <c r="W76" s="18" t="n">
        <v>8.5546253</v>
      </c>
      <c r="X76" s="20" t="n">
        <v>0.81873239</v>
      </c>
    </row>
    <row r="77" spans="1:24">
      <c r="A77" s="15" t="s">
        <v>419</v>
      </c>
      <c r="B77" s="17" t="n">
        <v>6062</v>
      </c>
      <c r="C77" s="18">
        <f>(5355.0/B77*100)</f>
        <v/>
      </c>
      <c r="D77" s="19" t="n">
        <v>707</v>
      </c>
      <c r="E77" s="18" t="n">
        <v>21.27626681</v>
      </c>
      <c r="F77" s="20" t="n">
        <v>1.75136688</v>
      </c>
      <c r="G77" s="18" t="n">
        <v>6.69377805</v>
      </c>
      <c r="H77" s="20" t="n">
        <v>0.93164702</v>
      </c>
      <c r="I77" s="18" t="n">
        <v>4.51376632</v>
      </c>
      <c r="J77" s="20" t="n">
        <v>0.83985535</v>
      </c>
      <c r="K77" s="18" t="n">
        <v>1.06870369</v>
      </c>
      <c r="L77" s="20" t="n">
        <v>0.45537732</v>
      </c>
      <c r="M77" s="18" t="n">
        <v>22.17497784</v>
      </c>
      <c r="N77" s="20" t="n">
        <v>1.55126961</v>
      </c>
      <c r="O77" s="18" t="s">
        <v>349</v>
      </c>
      <c r="P77" s="20" t="s">
        <v>349</v>
      </c>
      <c r="Q77" s="18" t="n">
        <v>0.51937583</v>
      </c>
      <c r="R77" s="20" t="n">
        <v>0.34274407</v>
      </c>
      <c r="S77" s="18" t="n">
        <v>5.98947186</v>
      </c>
      <c r="T77" s="20" t="n">
        <v>1.05834334</v>
      </c>
      <c r="U77" s="18" t="n">
        <v>0</v>
      </c>
      <c r="V77" s="20" t="n">
        <v>0</v>
      </c>
      <c r="W77" s="18" t="n">
        <v>37.76365961</v>
      </c>
      <c r="X77" s="20" t="n">
        <v>2.00395809</v>
      </c>
    </row>
    <row r="78" spans="1:24">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8861</v>
      </c>
      <c r="C81" s="18">
        <f>(7792.0/B81*100)</f>
        <v/>
      </c>
      <c r="D81" s="19" t="n">
        <v>1069</v>
      </c>
      <c r="E81" s="18" t="n">
        <v>37.60118664</v>
      </c>
      <c r="F81" s="20" t="n">
        <v>2.05202476</v>
      </c>
      <c r="G81" s="18" t="n">
        <v>4.27934369</v>
      </c>
      <c r="H81" s="20" t="n">
        <v>0.78099957</v>
      </c>
      <c r="I81" s="18" t="n">
        <v>11.17549295</v>
      </c>
      <c r="J81" s="20" t="n">
        <v>1.3694903</v>
      </c>
      <c r="K81" s="18" t="n">
        <v>2.08551496</v>
      </c>
      <c r="L81" s="20" t="n">
        <v>0.54256647</v>
      </c>
      <c r="M81" s="18" t="n">
        <v>38.01336</v>
      </c>
      <c r="N81" s="20" t="n">
        <v>2.08230071</v>
      </c>
      <c r="O81" s="18" t="s">
        <v>349</v>
      </c>
      <c r="P81" s="20" t="s">
        <v>349</v>
      </c>
      <c r="Q81" s="18" t="n">
        <v>0.14166174</v>
      </c>
      <c r="R81" s="20" t="n">
        <v>0.13279619</v>
      </c>
      <c r="S81" s="18" t="n">
        <v>0</v>
      </c>
      <c r="T81" s="20" t="n">
        <v>0</v>
      </c>
      <c r="U81" s="18" t="n">
        <v>0</v>
      </c>
      <c r="V81" s="20" t="n">
        <v>0</v>
      </c>
      <c r="W81" s="18" t="n">
        <v>6.70344003</v>
      </c>
      <c r="X81" s="20" t="n">
        <v>1.09643969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(12693.0/B7*100)</f>
        <v/>
      </c>
      <c r="D7" s="19" t="n">
        <v>1837</v>
      </c>
      <c r="E7" s="18" t="n">
        <v>25.05813445</v>
      </c>
      <c r="F7" s="20" t="n">
        <v>1.25300592</v>
      </c>
      <c r="G7" s="18" t="n">
        <v>68.88432788</v>
      </c>
      <c r="H7" s="20" t="n">
        <v>1.26865924</v>
      </c>
      <c r="I7" s="18" t="s">
        <v>349</v>
      </c>
      <c r="J7" s="20" t="s">
        <v>349</v>
      </c>
      <c r="K7" s="18" t="n">
        <v>0.69840339</v>
      </c>
      <c r="L7" s="20" t="n">
        <v>0.22233476</v>
      </c>
      <c r="M7" s="18" t="n">
        <v>0</v>
      </c>
      <c r="N7" s="20" t="n">
        <v>0</v>
      </c>
      <c r="O7" s="18" t="n">
        <v>0</v>
      </c>
      <c r="P7" s="20" t="n">
        <v>0</v>
      </c>
      <c r="Q7" s="18" t="n">
        <v>5.35913427</v>
      </c>
      <c r="R7" s="20" t="n">
        <v>0.6792335</v>
      </c>
    </row>
    <row r="8" spans="1:18">
      <c r="A8" s="15" t="s">
        <v>350</v>
      </c>
      <c r="B8" s="17" t="n">
        <v>7007</v>
      </c>
      <c r="C8" s="18">
        <f>(6163.0/B8*100)</f>
        <v/>
      </c>
      <c r="D8" s="19" t="n">
        <v>844</v>
      </c>
      <c r="E8" s="18" t="n">
        <v>28.0905615</v>
      </c>
      <c r="F8" s="20" t="n">
        <v>1.72559621</v>
      </c>
      <c r="G8" s="18" t="n">
        <v>63.83767435</v>
      </c>
      <c r="H8" s="20" t="n">
        <v>1.94510796</v>
      </c>
      <c r="I8" s="18" t="s">
        <v>349</v>
      </c>
      <c r="J8" s="20" t="s">
        <v>349</v>
      </c>
      <c r="K8" s="18" t="n">
        <v>0.06215845</v>
      </c>
      <c r="L8" s="20" t="n">
        <v>0.06320679</v>
      </c>
      <c r="M8" s="18" t="n">
        <v>0</v>
      </c>
      <c r="N8" s="20" t="n">
        <v>0</v>
      </c>
      <c r="O8" s="18" t="n">
        <v>0</v>
      </c>
      <c r="P8" s="20" t="n">
        <v>0</v>
      </c>
      <c r="Q8" s="18" t="n">
        <v>8.0096057</v>
      </c>
      <c r="R8" s="20" t="n">
        <v>1.18377409</v>
      </c>
    </row>
    <row r="9" spans="1:18">
      <c r="A9" s="15" t="s">
        <v>351</v>
      </c>
      <c r="B9" s="17" t="n">
        <v>9651</v>
      </c>
      <c r="C9" s="18">
        <f>(8496.0/B9*100)</f>
        <v/>
      </c>
      <c r="D9" s="19" t="n">
        <v>1155</v>
      </c>
      <c r="E9" s="18" t="n">
        <v>24.10576055</v>
      </c>
      <c r="F9" s="20" t="n">
        <v>1.1136807</v>
      </c>
      <c r="G9" s="18" t="n">
        <v>70.08787639000001</v>
      </c>
      <c r="H9" s="20" t="n">
        <v>1.27694293</v>
      </c>
      <c r="I9" s="18" t="s">
        <v>349</v>
      </c>
      <c r="J9" s="20" t="s">
        <v>349</v>
      </c>
      <c r="K9" s="18" t="n">
        <v>0.1107584</v>
      </c>
      <c r="L9" s="20" t="n">
        <v>0.1109611</v>
      </c>
      <c r="M9" s="18" t="n">
        <v>0</v>
      </c>
      <c r="N9" s="20" t="n">
        <v>0</v>
      </c>
      <c r="O9" s="18" t="n">
        <v>0</v>
      </c>
      <c r="P9" s="20" t="n">
        <v>0</v>
      </c>
      <c r="Q9" s="18" t="n">
        <v>5.69560466</v>
      </c>
      <c r="R9" s="20" t="n">
        <v>0.7544729100000001</v>
      </c>
    </row>
    <row r="10" spans="1:18">
      <c r="A10" s="15" t="s">
        <v>352</v>
      </c>
      <c r="B10" s="17" t="n">
        <v>20058</v>
      </c>
      <c r="C10" s="18">
        <f>(17626.0/B10*100)</f>
        <v/>
      </c>
      <c r="D10" s="19" t="n">
        <v>2432</v>
      </c>
      <c r="E10" s="18" t="n">
        <v>20.77759459</v>
      </c>
      <c r="F10" s="20" t="n">
        <v>1.20637414</v>
      </c>
      <c r="G10" s="18" t="n">
        <v>75.83592184</v>
      </c>
      <c r="H10" s="20" t="n">
        <v>1.31481386</v>
      </c>
      <c r="I10" s="18" t="s">
        <v>349</v>
      </c>
      <c r="J10" s="20" t="s">
        <v>349</v>
      </c>
      <c r="K10" s="18" t="n">
        <v>0.11826867</v>
      </c>
      <c r="L10" s="20" t="n">
        <v>0.053271</v>
      </c>
      <c r="M10" s="18" t="n">
        <v>0</v>
      </c>
      <c r="N10" s="20" t="n">
        <v>0</v>
      </c>
      <c r="O10" s="18" t="n">
        <v>0</v>
      </c>
      <c r="P10" s="20" t="n">
        <v>0</v>
      </c>
      <c r="Q10" s="18" t="n">
        <v>3.26821491</v>
      </c>
      <c r="R10" s="20" t="n">
        <v>0.53016168</v>
      </c>
    </row>
    <row r="11" spans="1:18">
      <c r="A11" s="15" t="s">
        <v>353</v>
      </c>
      <c r="B11" s="17" t="n">
        <v>7053</v>
      </c>
      <c r="C11" s="18">
        <f>(6196.0/B11*100)</f>
        <v/>
      </c>
      <c r="D11" s="19" t="n">
        <v>857</v>
      </c>
      <c r="E11" s="18" t="n">
        <v>31.70262903</v>
      </c>
      <c r="F11" s="20" t="n">
        <v>1.67247722</v>
      </c>
      <c r="G11" s="18" t="n">
        <v>57.21485</v>
      </c>
      <c r="H11" s="20" t="n">
        <v>1.72600793</v>
      </c>
      <c r="I11" s="18" t="s">
        <v>349</v>
      </c>
      <c r="J11" s="20" t="s">
        <v>349</v>
      </c>
      <c r="K11" s="18" t="n">
        <v>0.50698432</v>
      </c>
      <c r="L11" s="20" t="n">
        <v>0.21337935</v>
      </c>
      <c r="M11" s="18" t="n">
        <v>0</v>
      </c>
      <c r="N11" s="20" t="n">
        <v>0</v>
      </c>
      <c r="O11" s="18" t="n">
        <v>0</v>
      </c>
      <c r="P11" s="20" t="n">
        <v>0</v>
      </c>
      <c r="Q11" s="18" t="n">
        <v>10.57553665</v>
      </c>
      <c r="R11" s="20" t="n">
        <v>1.3017025</v>
      </c>
    </row>
    <row r="12" spans="1:18">
      <c r="A12" s="15" t="s">
        <v>354</v>
      </c>
      <c r="B12" s="17" t="n">
        <v>6894</v>
      </c>
      <c r="C12" s="18">
        <f>(6072.0/B12*100)</f>
        <v/>
      </c>
      <c r="D12" s="19" t="n">
        <v>822</v>
      </c>
      <c r="E12" s="18" t="n">
        <v>20.83577084</v>
      </c>
      <c r="F12" s="20" t="n">
        <v>1.58285528</v>
      </c>
      <c r="G12" s="18" t="n">
        <v>72.99411495</v>
      </c>
      <c r="H12" s="20" t="n">
        <v>1.75134001</v>
      </c>
      <c r="I12" s="18" t="s">
        <v>349</v>
      </c>
      <c r="J12" s="20" t="s">
        <v>349</v>
      </c>
      <c r="K12" s="18" t="n">
        <v>0</v>
      </c>
      <c r="L12" s="20" t="n">
        <v>0</v>
      </c>
      <c r="M12" s="18" t="n">
        <v>0</v>
      </c>
      <c r="N12" s="20" t="n">
        <v>0</v>
      </c>
      <c r="O12" s="18" t="n">
        <v>0</v>
      </c>
      <c r="P12" s="20" t="n">
        <v>0</v>
      </c>
      <c r="Q12" s="18" t="n">
        <v>6.17011421</v>
      </c>
      <c r="R12" s="20" t="n">
        <v>1.03123452</v>
      </c>
    </row>
    <row r="13" spans="1:18">
      <c r="A13" s="15" t="s">
        <v>355</v>
      </c>
      <c r="B13" s="17" t="n">
        <v>7161</v>
      </c>
      <c r="C13" s="18">
        <f>(6335.0/B13*100)</f>
        <v/>
      </c>
      <c r="D13" s="19" t="n">
        <v>826</v>
      </c>
      <c r="E13" s="18" t="n">
        <v>22.54084864</v>
      </c>
      <c r="F13" s="20" t="n">
        <v>1.67024694</v>
      </c>
      <c r="G13" s="18" t="n">
        <v>72.22346405</v>
      </c>
      <c r="H13" s="20" t="n">
        <v>1.81791313</v>
      </c>
      <c r="I13" s="18" t="s">
        <v>349</v>
      </c>
      <c r="J13" s="20" t="s">
        <v>349</v>
      </c>
      <c r="K13" s="18" t="n">
        <v>0.5118847</v>
      </c>
      <c r="L13" s="20" t="n">
        <v>0.32601954</v>
      </c>
      <c r="M13" s="18" t="n">
        <v>0</v>
      </c>
      <c r="N13" s="20" t="n">
        <v>0</v>
      </c>
      <c r="O13" s="18" t="n">
        <v>0</v>
      </c>
      <c r="P13" s="20" t="n">
        <v>0</v>
      </c>
      <c r="Q13" s="18" t="n">
        <v>4.72380261</v>
      </c>
      <c r="R13" s="20" t="n">
        <v>0.75467679</v>
      </c>
    </row>
    <row r="14" spans="1:18">
      <c r="A14" s="15" t="s">
        <v>356</v>
      </c>
      <c r="B14" s="17" t="n">
        <v>5587</v>
      </c>
      <c r="C14" s="18">
        <f>(4888.0/B14*100)</f>
        <v/>
      </c>
      <c r="D14" s="19" t="n">
        <v>699</v>
      </c>
      <c r="E14" s="18" t="n">
        <v>17.09700852</v>
      </c>
      <c r="F14" s="20" t="n">
        <v>1.58976181</v>
      </c>
      <c r="G14" s="18" t="n">
        <v>80.90749529999999</v>
      </c>
      <c r="H14" s="20" t="n">
        <v>1.71080761</v>
      </c>
      <c r="I14" s="18" t="s">
        <v>349</v>
      </c>
      <c r="J14" s="20" t="s">
        <v>349</v>
      </c>
      <c r="K14" s="18" t="n">
        <v>0</v>
      </c>
      <c r="L14" s="20" t="n">
        <v>0</v>
      </c>
      <c r="M14" s="18" t="n">
        <v>0</v>
      </c>
      <c r="N14" s="20" t="n">
        <v>0</v>
      </c>
      <c r="O14" s="18" t="n">
        <v>0</v>
      </c>
      <c r="P14" s="20" t="n">
        <v>0</v>
      </c>
      <c r="Q14" s="18" t="n">
        <v>1.99549618</v>
      </c>
      <c r="R14" s="20" t="n">
        <v>0.53460037</v>
      </c>
    </row>
    <row r="15" spans="1:18">
      <c r="A15" s="15" t="s">
        <v>357</v>
      </c>
      <c r="B15" s="17" t="n">
        <v>5882</v>
      </c>
      <c r="C15" s="18">
        <f>(5158.0/B15*100)</f>
        <v/>
      </c>
      <c r="D15" s="19" t="n">
        <v>724</v>
      </c>
      <c r="E15" s="18" t="n">
        <v>23.89566967</v>
      </c>
      <c r="F15" s="20" t="n">
        <v>1.64127139</v>
      </c>
      <c r="G15" s="18" t="n">
        <v>73.00665291999999</v>
      </c>
      <c r="H15" s="20" t="n">
        <v>1.817544</v>
      </c>
      <c r="I15" s="18" t="s">
        <v>349</v>
      </c>
      <c r="J15" s="20" t="s">
        <v>349</v>
      </c>
      <c r="K15" s="18" t="n">
        <v>0</v>
      </c>
      <c r="L15" s="20" t="n">
        <v>0</v>
      </c>
      <c r="M15" s="18" t="n">
        <v>0</v>
      </c>
      <c r="N15" s="20" t="n">
        <v>0</v>
      </c>
      <c r="O15" s="18" t="n">
        <v>0</v>
      </c>
      <c r="P15" s="20" t="n">
        <v>0</v>
      </c>
      <c r="Q15" s="18" t="n">
        <v>3.09767741</v>
      </c>
      <c r="R15" s="20" t="n">
        <v>0.72028582</v>
      </c>
    </row>
    <row r="16" spans="1:18">
      <c r="A16" s="15" t="s">
        <v>358</v>
      </c>
      <c r="B16" s="17" t="n">
        <v>6108</v>
      </c>
      <c r="C16" s="18">
        <f>(5341.0/B16*100)</f>
        <v/>
      </c>
      <c r="D16" s="19" t="n">
        <v>767</v>
      </c>
      <c r="E16" s="18" t="n">
        <v>26.44002845</v>
      </c>
      <c r="F16" s="20" t="n">
        <v>1.82886739</v>
      </c>
      <c r="G16" s="18" t="n">
        <v>64.28018949</v>
      </c>
      <c r="H16" s="20" t="n">
        <v>1.9065409</v>
      </c>
      <c r="I16" s="18" t="s">
        <v>349</v>
      </c>
      <c r="J16" s="20" t="s">
        <v>349</v>
      </c>
      <c r="K16" s="18" t="n">
        <v>0.50890302</v>
      </c>
      <c r="L16" s="20" t="n">
        <v>0.25450259</v>
      </c>
      <c r="M16" s="18" t="n">
        <v>0</v>
      </c>
      <c r="N16" s="20" t="n">
        <v>0</v>
      </c>
      <c r="O16" s="18" t="n">
        <v>0</v>
      </c>
      <c r="P16" s="20" t="n">
        <v>0</v>
      </c>
      <c r="Q16" s="18" t="n">
        <v>8.770879040000001</v>
      </c>
      <c r="R16" s="20" t="n">
        <v>1.05053512</v>
      </c>
    </row>
    <row r="17" spans="1:18">
      <c r="A17" s="15" t="s">
        <v>359</v>
      </c>
      <c r="B17" s="17" t="n">
        <v>6504</v>
      </c>
      <c r="C17" s="18">
        <f>(5721.0/B17*100)</f>
        <v/>
      </c>
      <c r="D17" s="19" t="n">
        <v>783</v>
      </c>
      <c r="E17" s="18" t="n">
        <v>20.81274906</v>
      </c>
      <c r="F17" s="20" t="n">
        <v>1.51680843</v>
      </c>
      <c r="G17" s="18" t="n">
        <v>72.81037034000001</v>
      </c>
      <c r="H17" s="20" t="n">
        <v>1.83052932</v>
      </c>
      <c r="I17" s="18" t="s">
        <v>349</v>
      </c>
      <c r="J17" s="20" t="s">
        <v>349</v>
      </c>
      <c r="K17" s="18" t="n">
        <v>0.72821171</v>
      </c>
      <c r="L17" s="20" t="n">
        <v>0.32502944</v>
      </c>
      <c r="M17" s="18" t="n">
        <v>0</v>
      </c>
      <c r="N17" s="20" t="n">
        <v>0</v>
      </c>
      <c r="O17" s="18" t="n">
        <v>0</v>
      </c>
      <c r="P17" s="20" t="n">
        <v>0</v>
      </c>
      <c r="Q17" s="18" t="n">
        <v>5.64866889</v>
      </c>
      <c r="R17" s="20" t="n">
        <v>0.89233717</v>
      </c>
    </row>
    <row r="18" spans="1:18">
      <c r="A18" s="15" t="s">
        <v>360</v>
      </c>
      <c r="B18" s="17" t="n">
        <v>5532</v>
      </c>
      <c r="C18" s="18">
        <f>(4867.0/B18*100)</f>
        <v/>
      </c>
      <c r="D18" s="19" t="n">
        <v>665</v>
      </c>
      <c r="E18" s="18" t="n">
        <v>31.40838069</v>
      </c>
      <c r="F18" s="20" t="n">
        <v>1.88368016</v>
      </c>
      <c r="G18" s="18" t="n">
        <v>58.16813391</v>
      </c>
      <c r="H18" s="20" t="n">
        <v>2.30871136</v>
      </c>
      <c r="I18" s="18" t="s">
        <v>349</v>
      </c>
      <c r="J18" s="20" t="s">
        <v>349</v>
      </c>
      <c r="K18" s="18" t="n">
        <v>0.67685629</v>
      </c>
      <c r="L18" s="20" t="n">
        <v>0.28866365</v>
      </c>
      <c r="M18" s="18" t="n">
        <v>0</v>
      </c>
      <c r="N18" s="20" t="n">
        <v>0</v>
      </c>
      <c r="O18" s="18" t="n">
        <v>0</v>
      </c>
      <c r="P18" s="20" t="n">
        <v>0</v>
      </c>
      <c r="Q18" s="18" t="n">
        <v>9.746629110000001</v>
      </c>
      <c r="R18" s="20" t="n">
        <v>1.37290989</v>
      </c>
    </row>
    <row r="19" spans="1:18">
      <c r="A19" s="15" t="s">
        <v>361</v>
      </c>
      <c r="B19" s="17" t="n">
        <v>5658</v>
      </c>
      <c r="C19" s="18">
        <f>(4960.0/B19*100)</f>
        <v/>
      </c>
      <c r="D19" s="19" t="n">
        <v>698</v>
      </c>
      <c r="E19" s="18" t="n">
        <v>28.74079047</v>
      </c>
      <c r="F19" s="20" t="n">
        <v>1.71790264</v>
      </c>
      <c r="G19" s="18" t="n">
        <v>64.30226686</v>
      </c>
      <c r="H19" s="20" t="n">
        <v>1.8075478</v>
      </c>
      <c r="I19" s="18" t="s">
        <v>349</v>
      </c>
      <c r="J19" s="20" t="s">
        <v>349</v>
      </c>
      <c r="K19" s="18" t="n">
        <v>0.33214782</v>
      </c>
      <c r="L19" s="20" t="n">
        <v>0.31370309</v>
      </c>
      <c r="M19" s="18" t="n">
        <v>0</v>
      </c>
      <c r="N19" s="20" t="n">
        <v>0</v>
      </c>
      <c r="O19" s="18" t="n">
        <v>0</v>
      </c>
      <c r="P19" s="20" t="n">
        <v>0</v>
      </c>
      <c r="Q19" s="18" t="n">
        <v>6.62479485</v>
      </c>
      <c r="R19" s="20" t="n">
        <v>1.16694868</v>
      </c>
    </row>
    <row r="20" spans="1:18">
      <c r="A20" s="15" t="s">
        <v>362</v>
      </c>
      <c r="B20" s="17" t="n">
        <v>3371</v>
      </c>
      <c r="C20" s="18">
        <f>(2936.0/B20*100)</f>
        <v/>
      </c>
      <c r="D20" s="19" t="n">
        <v>435</v>
      </c>
      <c r="E20" s="18" t="n">
        <v>17.93377076</v>
      </c>
      <c r="F20" s="20" t="n">
        <v>1.7673107</v>
      </c>
      <c r="G20" s="18" t="n">
        <v>70.72813480000001</v>
      </c>
      <c r="H20" s="20" t="n">
        <v>2.19386923</v>
      </c>
      <c r="I20" s="18" t="s">
        <v>349</v>
      </c>
      <c r="J20" s="20" t="s">
        <v>349</v>
      </c>
      <c r="K20" s="18" t="n">
        <v>0.22631516</v>
      </c>
      <c r="L20" s="20" t="n">
        <v>0.23024743</v>
      </c>
      <c r="M20" s="18" t="n">
        <v>0</v>
      </c>
      <c r="N20" s="20" t="n">
        <v>0</v>
      </c>
      <c r="O20" s="18" t="n">
        <v>0</v>
      </c>
      <c r="P20" s="20" t="n">
        <v>0</v>
      </c>
      <c r="Q20" s="18" t="n">
        <v>11.11177927</v>
      </c>
      <c r="R20" s="20" t="n">
        <v>1.70712729</v>
      </c>
    </row>
    <row r="21" spans="1:18">
      <c r="A21" s="15" t="s">
        <v>363</v>
      </c>
      <c r="B21" s="17" t="n">
        <v>5741</v>
      </c>
      <c r="C21" s="18">
        <f>(4809.0/B21*100)</f>
        <v/>
      </c>
      <c r="D21" s="19" t="n">
        <v>932</v>
      </c>
      <c r="E21" s="18" t="n">
        <v>21.75731462</v>
      </c>
      <c r="F21" s="20" t="n">
        <v>1.40193938</v>
      </c>
      <c r="G21" s="18" t="n">
        <v>75.64344257</v>
      </c>
      <c r="H21" s="20" t="n">
        <v>1.56013306</v>
      </c>
      <c r="I21" s="18" t="s">
        <v>349</v>
      </c>
      <c r="J21" s="20" t="s">
        <v>349</v>
      </c>
      <c r="K21" s="18" t="n">
        <v>0.17513072</v>
      </c>
      <c r="L21" s="20" t="n">
        <v>0.12357924</v>
      </c>
      <c r="M21" s="18" t="n">
        <v>0</v>
      </c>
      <c r="N21" s="20" t="n">
        <v>0</v>
      </c>
      <c r="O21" s="18" t="n">
        <v>0</v>
      </c>
      <c r="P21" s="20" t="n">
        <v>0</v>
      </c>
      <c r="Q21" s="18" t="n">
        <v>2.42411209</v>
      </c>
      <c r="R21" s="20" t="n">
        <v>0.51898785</v>
      </c>
    </row>
    <row r="22" spans="1:18">
      <c r="A22" s="15" t="s">
        <v>364</v>
      </c>
      <c r="B22" s="17" t="n">
        <v>6598</v>
      </c>
      <c r="C22" s="18">
        <f>(5771.0/B22*100)</f>
        <v/>
      </c>
      <c r="D22" s="19" t="n">
        <v>827</v>
      </c>
      <c r="E22" s="18" t="n">
        <v>33.92364859</v>
      </c>
      <c r="F22" s="20" t="n">
        <v>1.65195785</v>
      </c>
      <c r="G22" s="18" t="n">
        <v>51.35750576</v>
      </c>
      <c r="H22" s="20" t="n">
        <v>1.85282493</v>
      </c>
      <c r="I22" s="18" t="s">
        <v>349</v>
      </c>
      <c r="J22" s="20" t="s">
        <v>349</v>
      </c>
      <c r="K22" s="18" t="n">
        <v>0.30558926</v>
      </c>
      <c r="L22" s="20" t="n">
        <v>0.23021652</v>
      </c>
      <c r="M22" s="18" t="n">
        <v>0</v>
      </c>
      <c r="N22" s="20" t="n">
        <v>0</v>
      </c>
      <c r="O22" s="18" t="n">
        <v>0</v>
      </c>
      <c r="P22" s="20" t="n">
        <v>0</v>
      </c>
      <c r="Q22" s="18" t="n">
        <v>14.41325638</v>
      </c>
      <c r="R22" s="20" t="n">
        <v>1.36427139</v>
      </c>
    </row>
    <row r="23" spans="1:18">
      <c r="A23" s="15" t="s">
        <v>365</v>
      </c>
      <c r="B23" s="17" t="n">
        <v>11583</v>
      </c>
      <c r="C23" s="18">
        <f>(10150.0/B23*100)</f>
        <v/>
      </c>
      <c r="D23" s="19" t="n">
        <v>1433</v>
      </c>
      <c r="E23" s="18" t="n">
        <v>20.02157747</v>
      </c>
      <c r="F23" s="20" t="n">
        <v>1.59546191</v>
      </c>
      <c r="G23" s="18" t="n">
        <v>72.53275309</v>
      </c>
      <c r="H23" s="20" t="n">
        <v>1.9545764</v>
      </c>
      <c r="I23" s="18" t="s">
        <v>349</v>
      </c>
      <c r="J23" s="20" t="s">
        <v>349</v>
      </c>
      <c r="K23" s="18" t="n">
        <v>0.35045525</v>
      </c>
      <c r="L23" s="20" t="n">
        <v>0.25394915</v>
      </c>
      <c r="M23" s="18" t="n">
        <v>0</v>
      </c>
      <c r="N23" s="20" t="n">
        <v>0</v>
      </c>
      <c r="O23" s="18" t="n">
        <v>0</v>
      </c>
      <c r="P23" s="20" t="n">
        <v>0</v>
      </c>
      <c r="Q23" s="18" t="n">
        <v>7.09521419</v>
      </c>
      <c r="R23" s="20" t="n">
        <v>0.97987464</v>
      </c>
    </row>
    <row r="24" spans="1:18">
      <c r="A24" s="15" t="s">
        <v>366</v>
      </c>
      <c r="B24" s="17" t="n">
        <v>6647</v>
      </c>
      <c r="C24" s="18">
        <f>(5811.0/B24*100)</f>
        <v/>
      </c>
      <c r="D24" s="19" t="n">
        <v>836</v>
      </c>
      <c r="E24" s="18" t="n">
        <v>26.86859232</v>
      </c>
      <c r="F24" s="20" t="n">
        <v>1.74242388</v>
      </c>
      <c r="G24" s="18" t="n">
        <v>70.80043243999999</v>
      </c>
      <c r="H24" s="20" t="n">
        <v>1.7645843</v>
      </c>
      <c r="I24" s="18" t="s">
        <v>349</v>
      </c>
      <c r="J24" s="20" t="s">
        <v>349</v>
      </c>
      <c r="K24" s="18" t="n">
        <v>0.23377797</v>
      </c>
      <c r="L24" s="20" t="n">
        <v>0.16346737</v>
      </c>
      <c r="M24" s="18" t="n">
        <v>0</v>
      </c>
      <c r="N24" s="20" t="n">
        <v>0</v>
      </c>
      <c r="O24" s="18" t="n">
        <v>0</v>
      </c>
      <c r="P24" s="20" t="n">
        <v>0</v>
      </c>
      <c r="Q24" s="18" t="n">
        <v>2.09719727</v>
      </c>
      <c r="R24" s="20" t="n">
        <v>0.46435518</v>
      </c>
    </row>
    <row r="25" spans="1:18">
      <c r="A25" s="15" t="s">
        <v>367</v>
      </c>
      <c r="B25" s="17" t="n">
        <v>5581</v>
      </c>
      <c r="C25" s="18">
        <f>(4887.0/B25*100)</f>
        <v/>
      </c>
      <c r="D25" s="19" t="n">
        <v>694</v>
      </c>
      <c r="E25" s="18" t="n">
        <v>20.64088623</v>
      </c>
      <c r="F25" s="20" t="n">
        <v>1.77564468</v>
      </c>
      <c r="G25" s="18" t="n">
        <v>77.26120383</v>
      </c>
      <c r="H25" s="20" t="n">
        <v>1.97178279</v>
      </c>
      <c r="I25" s="18" t="s">
        <v>349</v>
      </c>
      <c r="J25" s="20" t="s">
        <v>349</v>
      </c>
      <c r="K25" s="18" t="n">
        <v>0.13603693</v>
      </c>
      <c r="L25" s="20" t="n">
        <v>0.13583135</v>
      </c>
      <c r="M25" s="18" t="n">
        <v>0</v>
      </c>
      <c r="N25" s="20" t="n">
        <v>0</v>
      </c>
      <c r="O25" s="18" t="n">
        <v>0</v>
      </c>
      <c r="P25" s="20" t="n">
        <v>0</v>
      </c>
      <c r="Q25" s="18" t="n">
        <v>1.96187301</v>
      </c>
      <c r="R25" s="20" t="n">
        <v>0.52699778</v>
      </c>
    </row>
    <row r="26" spans="1:18">
      <c r="A26" s="15" t="s">
        <v>368</v>
      </c>
      <c r="B26" s="17" t="n">
        <v>4869</v>
      </c>
      <c r="C26" s="18">
        <f>(4282.0/B26*100)</f>
        <v/>
      </c>
      <c r="D26" s="19" t="n">
        <v>587</v>
      </c>
      <c r="E26" s="18" t="n">
        <v>24.6756748</v>
      </c>
      <c r="F26" s="20" t="n">
        <v>1.71831821</v>
      </c>
      <c r="G26" s="18" t="n">
        <v>69.62918736</v>
      </c>
      <c r="H26" s="20" t="n">
        <v>1.86187531</v>
      </c>
      <c r="I26" s="18" t="s">
        <v>349</v>
      </c>
      <c r="J26" s="20" t="s">
        <v>349</v>
      </c>
      <c r="K26" s="18" t="n">
        <v>0</v>
      </c>
      <c r="L26" s="20" t="n">
        <v>0</v>
      </c>
      <c r="M26" s="18" t="n">
        <v>0</v>
      </c>
      <c r="N26" s="20" t="n">
        <v>0</v>
      </c>
      <c r="O26" s="18" t="n">
        <v>0</v>
      </c>
      <c r="P26" s="20" t="n">
        <v>0</v>
      </c>
      <c r="Q26" s="18" t="n">
        <v>5.69513785</v>
      </c>
      <c r="R26" s="20" t="n">
        <v>1.05198352</v>
      </c>
    </row>
    <row r="27" spans="1:18">
      <c r="A27" s="15" t="s">
        <v>369</v>
      </c>
      <c r="B27" s="17" t="n">
        <v>5299</v>
      </c>
      <c r="C27" s="18">
        <f>(4664.0/B27*100)</f>
        <v/>
      </c>
      <c r="D27" s="19" t="n">
        <v>635</v>
      </c>
      <c r="E27" s="18" t="n">
        <v>28.33377899</v>
      </c>
      <c r="F27" s="20" t="n">
        <v>1.89489879</v>
      </c>
      <c r="G27" s="18" t="n">
        <v>63.83770279</v>
      </c>
      <c r="H27" s="20" t="n">
        <v>1.96197723</v>
      </c>
      <c r="I27" s="18" t="s">
        <v>349</v>
      </c>
      <c r="J27" s="20" t="s">
        <v>349</v>
      </c>
      <c r="K27" s="18" t="n">
        <v>0.15573389</v>
      </c>
      <c r="L27" s="20" t="n">
        <v>0.15569326</v>
      </c>
      <c r="M27" s="18" t="n">
        <v>0</v>
      </c>
      <c r="N27" s="20" t="n">
        <v>0</v>
      </c>
      <c r="O27" s="18" t="n">
        <v>0</v>
      </c>
      <c r="P27" s="20" t="n">
        <v>0</v>
      </c>
      <c r="Q27" s="18" t="n">
        <v>7.67278433</v>
      </c>
      <c r="R27" s="20" t="n">
        <v>1.11726216</v>
      </c>
    </row>
    <row r="28" spans="1:18">
      <c r="A28" s="15" t="s">
        <v>370</v>
      </c>
      <c r="B28" s="17" t="n">
        <v>7568</v>
      </c>
      <c r="C28" s="18">
        <f>(6667.0/B28*100)</f>
        <v/>
      </c>
      <c r="D28" s="19" t="n">
        <v>901</v>
      </c>
      <c r="E28" s="18" t="n">
        <v>45.46243261</v>
      </c>
      <c r="F28" s="20" t="n">
        <v>1.87075861</v>
      </c>
      <c r="G28" s="18" t="n">
        <v>46.8136139</v>
      </c>
      <c r="H28" s="20" t="n">
        <v>1.82393977</v>
      </c>
      <c r="I28" s="18" t="s">
        <v>349</v>
      </c>
      <c r="J28" s="20" t="s">
        <v>349</v>
      </c>
      <c r="K28" s="18" t="n">
        <v>0</v>
      </c>
      <c r="L28" s="20" t="n">
        <v>0</v>
      </c>
      <c r="M28" s="18" t="n">
        <v>0</v>
      </c>
      <c r="N28" s="20" t="n">
        <v>0</v>
      </c>
      <c r="O28" s="18" t="n">
        <v>0</v>
      </c>
      <c r="P28" s="20" t="n">
        <v>0</v>
      </c>
      <c r="Q28" s="18" t="n">
        <v>7.72395348</v>
      </c>
      <c r="R28" s="20" t="n">
        <v>1.01933112</v>
      </c>
    </row>
    <row r="29" spans="1:18">
      <c r="A29" s="15" t="s">
        <v>371</v>
      </c>
      <c r="B29" s="17" t="n">
        <v>5385</v>
      </c>
      <c r="C29" s="18">
        <f>(4743.0/B29*100)</f>
        <v/>
      </c>
      <c r="D29" s="19" t="n">
        <v>642</v>
      </c>
      <c r="E29" s="18" t="n">
        <v>22.18435417</v>
      </c>
      <c r="F29" s="20" t="n">
        <v>1.7231531</v>
      </c>
      <c r="G29" s="18" t="n">
        <v>72.18100784000001</v>
      </c>
      <c r="H29" s="20" t="n">
        <v>1.89494792</v>
      </c>
      <c r="I29" s="18" t="s">
        <v>349</v>
      </c>
      <c r="J29" s="20" t="s">
        <v>349</v>
      </c>
      <c r="K29" s="18" t="n">
        <v>0.23728233</v>
      </c>
      <c r="L29" s="20" t="n">
        <v>0.21136056</v>
      </c>
      <c r="M29" s="18" t="n">
        <v>0</v>
      </c>
      <c r="N29" s="20" t="n">
        <v>0</v>
      </c>
      <c r="O29" s="18" t="n">
        <v>0</v>
      </c>
      <c r="P29" s="20" t="n">
        <v>0</v>
      </c>
      <c r="Q29" s="18" t="n">
        <v>5.39735566</v>
      </c>
      <c r="R29" s="20" t="n">
        <v>1.08462303</v>
      </c>
    </row>
    <row r="30" spans="1:18">
      <c r="A30" s="15" t="s">
        <v>372</v>
      </c>
      <c r="B30" s="17" t="n">
        <v>4520</v>
      </c>
      <c r="C30" s="18">
        <f>(3950.0/B30*100)</f>
        <v/>
      </c>
      <c r="D30" s="19" t="n">
        <v>570</v>
      </c>
      <c r="E30" s="18" t="n">
        <v>25.09297948</v>
      </c>
      <c r="F30" s="20" t="n">
        <v>1.92625996</v>
      </c>
      <c r="G30" s="18" t="n">
        <v>67.80913796999999</v>
      </c>
      <c r="H30" s="20" t="n">
        <v>2.12779589</v>
      </c>
      <c r="I30" s="18" t="s">
        <v>349</v>
      </c>
      <c r="J30" s="20" t="s">
        <v>349</v>
      </c>
      <c r="K30" s="18" t="n">
        <v>0.27471799</v>
      </c>
      <c r="L30" s="20" t="n">
        <v>0.18354547</v>
      </c>
      <c r="M30" s="18" t="n">
        <v>0</v>
      </c>
      <c r="N30" s="20" t="n">
        <v>0</v>
      </c>
      <c r="O30" s="18" t="n">
        <v>0</v>
      </c>
      <c r="P30" s="20" t="n">
        <v>0</v>
      </c>
      <c r="Q30" s="18" t="n">
        <v>6.82316456</v>
      </c>
      <c r="R30" s="20" t="n">
        <v>1.13553775</v>
      </c>
    </row>
    <row r="31" spans="1:18">
      <c r="A31" s="15" t="s">
        <v>373</v>
      </c>
      <c r="B31" s="17" t="n">
        <v>5456</v>
      </c>
      <c r="C31" s="18">
        <f>(4759.0/B31*100)</f>
        <v/>
      </c>
      <c r="D31" s="19" t="n">
        <v>697</v>
      </c>
      <c r="E31" s="18" t="n">
        <v>26.87677613</v>
      </c>
      <c r="F31" s="20" t="n">
        <v>1.68135639</v>
      </c>
      <c r="G31" s="18" t="n">
        <v>65.38946969</v>
      </c>
      <c r="H31" s="20" t="n">
        <v>1.74187612</v>
      </c>
      <c r="I31" s="18" t="s">
        <v>349</v>
      </c>
      <c r="J31" s="20" t="s">
        <v>349</v>
      </c>
      <c r="K31" s="18" t="n">
        <v>0.45062436</v>
      </c>
      <c r="L31" s="20" t="n">
        <v>0.25429982</v>
      </c>
      <c r="M31" s="18" t="n">
        <v>0</v>
      </c>
      <c r="N31" s="20" t="n">
        <v>0</v>
      </c>
      <c r="O31" s="18" t="n">
        <v>0</v>
      </c>
      <c r="P31" s="20" t="n">
        <v>0</v>
      </c>
      <c r="Q31" s="18" t="n">
        <v>7.28312982</v>
      </c>
      <c r="R31" s="20" t="n">
        <v>1.06203433</v>
      </c>
    </row>
    <row r="32" spans="1:18">
      <c r="A32" s="15" t="s">
        <v>374</v>
      </c>
      <c r="B32" s="17" t="n">
        <v>4478</v>
      </c>
      <c r="C32" s="18">
        <f>(3755.0/B32*100)</f>
        <v/>
      </c>
      <c r="D32" s="19" t="n">
        <v>723</v>
      </c>
      <c r="E32" s="18" t="n">
        <v>32.6113241</v>
      </c>
      <c r="F32" s="20" t="n">
        <v>1.64125766</v>
      </c>
      <c r="G32" s="18" t="n">
        <v>64.85047074000001</v>
      </c>
      <c r="H32" s="20" t="n">
        <v>1.79802506</v>
      </c>
      <c r="I32" s="18" t="s">
        <v>349</v>
      </c>
      <c r="J32" s="20" t="s">
        <v>349</v>
      </c>
      <c r="K32" s="18" t="n">
        <v>0</v>
      </c>
      <c r="L32" s="20" t="n">
        <v>0</v>
      </c>
      <c r="M32" s="18" t="n">
        <v>0</v>
      </c>
      <c r="N32" s="20" t="n">
        <v>0</v>
      </c>
      <c r="O32" s="18" t="n">
        <v>0</v>
      </c>
      <c r="P32" s="20" t="n">
        <v>0</v>
      </c>
      <c r="Q32" s="18" t="n">
        <v>2.53820516</v>
      </c>
      <c r="R32" s="20" t="n">
        <v>0.6568179</v>
      </c>
    </row>
    <row r="33" spans="1:18">
      <c r="A33" s="15" t="s">
        <v>375</v>
      </c>
      <c r="B33" s="17" t="n">
        <v>7325</v>
      </c>
      <c r="C33" s="18">
        <f>(6409.0/B33*100)</f>
        <v/>
      </c>
      <c r="D33" s="19" t="n">
        <v>916</v>
      </c>
      <c r="E33" s="18" t="n">
        <v>28.57037927</v>
      </c>
      <c r="F33" s="20" t="n">
        <v>1.70867039</v>
      </c>
      <c r="G33" s="18" t="n">
        <v>64.71260095</v>
      </c>
      <c r="H33" s="20" t="n">
        <v>1.67688174</v>
      </c>
      <c r="I33" s="18" t="s">
        <v>349</v>
      </c>
      <c r="J33" s="20" t="s">
        <v>349</v>
      </c>
      <c r="K33" s="18" t="n">
        <v>0.41323585</v>
      </c>
      <c r="L33" s="20" t="n">
        <v>0.23067199</v>
      </c>
      <c r="M33" s="18" t="n">
        <v>0</v>
      </c>
      <c r="N33" s="20" t="n">
        <v>0</v>
      </c>
      <c r="O33" s="18" t="n">
        <v>0</v>
      </c>
      <c r="P33" s="20" t="n">
        <v>0</v>
      </c>
      <c r="Q33" s="18" t="n">
        <v>6.30378393</v>
      </c>
      <c r="R33" s="20" t="n">
        <v>0.89444524</v>
      </c>
    </row>
    <row r="34" spans="1:18">
      <c r="A34" s="15" t="s">
        <v>376</v>
      </c>
      <c r="B34" s="17" t="n">
        <v>6350</v>
      </c>
      <c r="C34" s="18">
        <f>(5576.0/B34*100)</f>
        <v/>
      </c>
      <c r="D34" s="19" t="n">
        <v>774</v>
      </c>
      <c r="E34" s="18" t="n">
        <v>28.92921353</v>
      </c>
      <c r="F34" s="20" t="n">
        <v>1.62334784</v>
      </c>
      <c r="G34" s="18" t="n">
        <v>63.4883861</v>
      </c>
      <c r="H34" s="20" t="n">
        <v>1.79815512</v>
      </c>
      <c r="I34" s="18" t="s">
        <v>349</v>
      </c>
      <c r="J34" s="20" t="s">
        <v>349</v>
      </c>
      <c r="K34" s="18" t="n">
        <v>0.19067469</v>
      </c>
      <c r="L34" s="20" t="n">
        <v>0.18875629</v>
      </c>
      <c r="M34" s="18" t="n">
        <v>0</v>
      </c>
      <c r="N34" s="20" t="n">
        <v>0</v>
      </c>
      <c r="O34" s="18" t="n">
        <v>0</v>
      </c>
      <c r="P34" s="20" t="n">
        <v>0</v>
      </c>
      <c r="Q34" s="18" t="n">
        <v>7.39172568</v>
      </c>
      <c r="R34" s="20" t="n">
        <v>0.77102421</v>
      </c>
    </row>
    <row r="35" spans="1:18">
      <c r="A35" s="15" t="s">
        <v>377</v>
      </c>
      <c r="B35" s="17" t="n">
        <v>6406</v>
      </c>
      <c r="C35" s="18">
        <f>(5637.0/B35*100)</f>
        <v/>
      </c>
      <c r="D35" s="19" t="n">
        <v>769</v>
      </c>
      <c r="E35" s="18" t="n">
        <v>24.31955119</v>
      </c>
      <c r="F35" s="20" t="n">
        <v>2.23071079</v>
      </c>
      <c r="G35" s="18" t="n">
        <v>71.69401382</v>
      </c>
      <c r="H35" s="20" t="n">
        <v>2.27268898</v>
      </c>
      <c r="I35" s="18" t="s">
        <v>349</v>
      </c>
      <c r="J35" s="20" t="s">
        <v>349</v>
      </c>
      <c r="K35" s="18" t="n">
        <v>0</v>
      </c>
      <c r="L35" s="20" t="n">
        <v>0</v>
      </c>
      <c r="M35" s="18" t="n">
        <v>0</v>
      </c>
      <c r="N35" s="20" t="n">
        <v>0</v>
      </c>
      <c r="O35" s="18" t="n">
        <v>0</v>
      </c>
      <c r="P35" s="20" t="n">
        <v>0</v>
      </c>
      <c r="Q35" s="18" t="n">
        <v>3.986435</v>
      </c>
      <c r="R35" s="20" t="n">
        <v>0.81567668</v>
      </c>
    </row>
    <row r="36" spans="1:18">
      <c r="A36" s="15" t="s">
        <v>378</v>
      </c>
      <c r="B36" s="17" t="n">
        <v>6736</v>
      </c>
      <c r="C36" s="18">
        <f>(5922.0/B36*100)</f>
        <v/>
      </c>
      <c r="D36" s="19" t="n">
        <v>814</v>
      </c>
      <c r="E36" s="18" t="n">
        <v>27.00322827</v>
      </c>
      <c r="F36" s="20" t="n">
        <v>1.69536114</v>
      </c>
      <c r="G36" s="18" t="n">
        <v>64.29125924</v>
      </c>
      <c r="H36" s="20" t="n">
        <v>1.82347728</v>
      </c>
      <c r="I36" s="18" t="s">
        <v>349</v>
      </c>
      <c r="J36" s="20" t="s">
        <v>349</v>
      </c>
      <c r="K36" s="18" t="n">
        <v>0.48351232</v>
      </c>
      <c r="L36" s="20" t="n">
        <v>0.30884412</v>
      </c>
      <c r="M36" s="18" t="n">
        <v>0</v>
      </c>
      <c r="N36" s="20" t="n">
        <v>0</v>
      </c>
      <c r="O36" s="18" t="n">
        <v>0</v>
      </c>
      <c r="P36" s="20" t="n">
        <v>0</v>
      </c>
      <c r="Q36" s="18" t="n">
        <v>8.222000169999999</v>
      </c>
      <c r="R36" s="20" t="n">
        <v>1.09957897</v>
      </c>
    </row>
    <row r="37" spans="1:18">
      <c r="A37" s="15" t="s">
        <v>379</v>
      </c>
      <c r="B37" s="17" t="n">
        <v>5458</v>
      </c>
      <c r="C37" s="18">
        <f>(4828.0/B37*100)</f>
        <v/>
      </c>
      <c r="D37" s="19" t="n">
        <v>630</v>
      </c>
      <c r="E37" s="18" t="n">
        <v>22.08078322</v>
      </c>
      <c r="F37" s="20" t="n">
        <v>1.8293692</v>
      </c>
      <c r="G37" s="18" t="n">
        <v>68.4449372</v>
      </c>
      <c r="H37" s="20" t="n">
        <v>2.30328917</v>
      </c>
      <c r="I37" s="18" t="s">
        <v>349</v>
      </c>
      <c r="J37" s="20" t="s">
        <v>349</v>
      </c>
      <c r="K37" s="18" t="n">
        <v>1.12200277</v>
      </c>
      <c r="L37" s="20" t="n">
        <v>0.45933054</v>
      </c>
      <c r="M37" s="18" t="n">
        <v>0</v>
      </c>
      <c r="N37" s="20" t="n">
        <v>0</v>
      </c>
      <c r="O37" s="18" t="n">
        <v>0</v>
      </c>
      <c r="P37" s="20" t="n">
        <v>0</v>
      </c>
      <c r="Q37" s="18" t="n">
        <v>8.3522768</v>
      </c>
      <c r="R37" s="20" t="n">
        <v>1.17378956</v>
      </c>
    </row>
    <row r="38" spans="1:18">
      <c r="A38" s="15" t="s">
        <v>380</v>
      </c>
      <c r="B38" s="17" t="n">
        <v>5860</v>
      </c>
      <c r="C38" s="18">
        <f>(4894.0/B38*100)</f>
        <v/>
      </c>
      <c r="D38" s="19" t="n">
        <v>966</v>
      </c>
      <c r="E38" s="18" t="n">
        <v>22.86139334</v>
      </c>
      <c r="F38" s="20" t="n">
        <v>1.56370044</v>
      </c>
      <c r="G38" s="18" t="n">
        <v>71.20968661000001</v>
      </c>
      <c r="H38" s="20" t="n">
        <v>1.67617677</v>
      </c>
      <c r="I38" s="18" t="s">
        <v>349</v>
      </c>
      <c r="J38" s="20" t="s">
        <v>349</v>
      </c>
      <c r="K38" s="18" t="n">
        <v>0.58472139</v>
      </c>
      <c r="L38" s="20" t="n">
        <v>0.2594566</v>
      </c>
      <c r="M38" s="18" t="n">
        <v>0</v>
      </c>
      <c r="N38" s="20" t="n">
        <v>0</v>
      </c>
      <c r="O38" s="18" t="n">
        <v>0</v>
      </c>
      <c r="P38" s="20" t="n">
        <v>0</v>
      </c>
      <c r="Q38" s="18" t="n">
        <v>5.34419866</v>
      </c>
      <c r="R38" s="20" t="n">
        <v>0.81491683</v>
      </c>
    </row>
    <row r="39" spans="1:18">
      <c r="A39" s="15" t="s">
        <v>381</v>
      </c>
      <c r="B39" s="17" t="n">
        <v>5895</v>
      </c>
      <c r="C39" s="18">
        <f>(5171.0/B39*100)</f>
        <v/>
      </c>
      <c r="D39" s="19" t="n">
        <v>724</v>
      </c>
      <c r="E39" s="18" t="n">
        <v>43.99367842</v>
      </c>
      <c r="F39" s="20" t="n">
        <v>2.51300084</v>
      </c>
      <c r="G39" s="18" t="n">
        <v>46.88421911</v>
      </c>
      <c r="H39" s="20" t="n">
        <v>2.76808897</v>
      </c>
      <c r="I39" s="18" t="s">
        <v>349</v>
      </c>
      <c r="J39" s="20" t="s">
        <v>349</v>
      </c>
      <c r="K39" s="18" t="n">
        <v>0.30063773</v>
      </c>
      <c r="L39" s="20" t="n">
        <v>0.2412172</v>
      </c>
      <c r="M39" s="18" t="n">
        <v>0</v>
      </c>
      <c r="N39" s="20" t="n">
        <v>0</v>
      </c>
      <c r="O39" s="18" t="n">
        <v>0</v>
      </c>
      <c r="P39" s="20" t="n">
        <v>0</v>
      </c>
      <c r="Q39" s="18" t="n">
        <v>8.82146474</v>
      </c>
      <c r="R39" s="20" t="n">
        <v>1.39805345</v>
      </c>
    </row>
    <row r="40" spans="1:18">
      <c r="A40" s="15" t="s">
        <v>382</v>
      </c>
      <c r="B40" s="17" t="n">
        <v>14157</v>
      </c>
      <c r="C40" s="18">
        <f>(12401.0/B40*100)</f>
        <v/>
      </c>
      <c r="D40" s="19" t="n">
        <v>1756</v>
      </c>
      <c r="E40" s="18" t="n">
        <v>25.39692424</v>
      </c>
      <c r="F40" s="20" t="n">
        <v>1.50698082</v>
      </c>
      <c r="G40" s="18" t="n">
        <v>69.95149232</v>
      </c>
      <c r="H40" s="20" t="n">
        <v>1.59047062</v>
      </c>
      <c r="I40" s="18" t="s">
        <v>349</v>
      </c>
      <c r="J40" s="20" t="s">
        <v>349</v>
      </c>
      <c r="K40" s="18" t="n">
        <v>0.30916312</v>
      </c>
      <c r="L40" s="20" t="n">
        <v>0.26731276</v>
      </c>
      <c r="M40" s="18" t="n">
        <v>0</v>
      </c>
      <c r="N40" s="20" t="n">
        <v>0</v>
      </c>
      <c r="O40" s="18" t="n">
        <v>0</v>
      </c>
      <c r="P40" s="20" t="n">
        <v>0</v>
      </c>
      <c r="Q40" s="18" t="n">
        <v>4.34242032</v>
      </c>
      <c r="R40" s="20" t="n">
        <v>0.70916603</v>
      </c>
    </row>
    <row r="41" spans="1:18">
      <c r="A41" s="15" t="s">
        <v>383</v>
      </c>
      <c r="B41" s="17" t="n">
        <v>5712</v>
      </c>
      <c r="C41" s="18">
        <f>(5037.0/B41*100)</f>
        <v/>
      </c>
      <c r="D41" s="19" t="n">
        <v>675</v>
      </c>
      <c r="E41" s="18" t="n">
        <v>30.11356485</v>
      </c>
      <c r="F41" s="20" t="n">
        <v>1.92909458</v>
      </c>
      <c r="G41" s="18" t="n">
        <v>65.0686062</v>
      </c>
      <c r="H41" s="20" t="n">
        <v>1.90604802</v>
      </c>
      <c r="I41" s="18" t="s">
        <v>349</v>
      </c>
      <c r="J41" s="20" t="s">
        <v>349</v>
      </c>
      <c r="K41" s="18" t="n">
        <v>0.30781835</v>
      </c>
      <c r="L41" s="20" t="n">
        <v>0.21782886</v>
      </c>
      <c r="M41" s="18" t="n">
        <v>0</v>
      </c>
      <c r="N41" s="20" t="n">
        <v>0</v>
      </c>
      <c r="O41" s="18" t="n">
        <v>0</v>
      </c>
      <c r="P41" s="20" t="n">
        <v>0</v>
      </c>
      <c r="Q41" s="18" t="n">
        <v>4.5100106</v>
      </c>
      <c r="R41" s="20" t="n">
        <v>0.74260446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(20480.0/B46*100)</f>
        <v/>
      </c>
      <c r="D46" s="19" t="n">
        <v>2661</v>
      </c>
      <c r="E46" s="18" t="n">
        <v>40.56525971</v>
      </c>
      <c r="F46" s="20" t="n">
        <v>1.42964301</v>
      </c>
      <c r="G46" s="18" t="n">
        <v>41.03313304</v>
      </c>
      <c r="H46" s="20" t="n">
        <v>1.49233972</v>
      </c>
      <c r="I46" s="18" t="s">
        <v>349</v>
      </c>
      <c r="J46" s="20" t="s">
        <v>349</v>
      </c>
      <c r="K46" s="18" t="n">
        <v>0.76070735</v>
      </c>
      <c r="L46" s="20" t="n">
        <v>0.18633707</v>
      </c>
      <c r="M46" s="18" t="n">
        <v>0</v>
      </c>
      <c r="N46" s="20" t="n">
        <v>0</v>
      </c>
      <c r="O46" s="18" t="n">
        <v>0</v>
      </c>
      <c r="P46" s="20" t="n">
        <v>0</v>
      </c>
      <c r="Q46" s="18" t="n">
        <v>17.6408999</v>
      </c>
      <c r="R46" s="20" t="n">
        <v>1.08997381</v>
      </c>
    </row>
    <row r="47" spans="1:18">
      <c r="A47" s="15" t="s">
        <v>389</v>
      </c>
      <c r="B47" s="17" t="n">
        <v>5928</v>
      </c>
      <c r="C47" s="18">
        <f>(5211.0/B47*100)</f>
        <v/>
      </c>
      <c r="D47" s="19" t="n">
        <v>717</v>
      </c>
      <c r="E47" s="18" t="n">
        <v>27.68482676</v>
      </c>
      <c r="F47" s="20" t="n">
        <v>2.07662395</v>
      </c>
      <c r="G47" s="18" t="n">
        <v>60.12328382</v>
      </c>
      <c r="H47" s="20" t="n">
        <v>2.16342423</v>
      </c>
      <c r="I47" s="18" t="s">
        <v>349</v>
      </c>
      <c r="J47" s="20" t="s">
        <v>349</v>
      </c>
      <c r="K47" s="18" t="n">
        <v>0.53786201</v>
      </c>
      <c r="L47" s="20" t="n">
        <v>0.26811576</v>
      </c>
      <c r="M47" s="18" t="n">
        <v>0</v>
      </c>
      <c r="N47" s="20" t="n">
        <v>0</v>
      </c>
      <c r="O47" s="18" t="n">
        <v>0</v>
      </c>
      <c r="P47" s="20" t="n">
        <v>0</v>
      </c>
      <c r="Q47" s="18" t="n">
        <v>11.65402741</v>
      </c>
      <c r="R47" s="20" t="n">
        <v>1.52216241</v>
      </c>
    </row>
    <row r="48" spans="1:18">
      <c r="A48" s="15" t="s">
        <v>390</v>
      </c>
      <c r="B48" s="17" t="n">
        <v>9841</v>
      </c>
      <c r="C48" s="18">
        <f>(8598.0/B48*100)</f>
        <v/>
      </c>
      <c r="D48" s="19" t="n">
        <v>1243</v>
      </c>
      <c r="E48" s="18" t="n">
        <v>26.05652921</v>
      </c>
      <c r="F48" s="20" t="n">
        <v>1.86962059</v>
      </c>
      <c r="G48" s="18" t="n">
        <v>66.35005925999999</v>
      </c>
      <c r="H48" s="20" t="n">
        <v>2.08488574</v>
      </c>
      <c r="I48" s="18" t="s">
        <v>349</v>
      </c>
      <c r="J48" s="20" t="s">
        <v>349</v>
      </c>
      <c r="K48" s="18" t="n">
        <v>0.15747613</v>
      </c>
      <c r="L48" s="20" t="n">
        <v>0.11781106</v>
      </c>
      <c r="M48" s="18" t="n">
        <v>0</v>
      </c>
      <c r="N48" s="20" t="n">
        <v>0</v>
      </c>
      <c r="O48" s="18" t="n">
        <v>0</v>
      </c>
      <c r="P48" s="20" t="n">
        <v>0</v>
      </c>
      <c r="Q48" s="18" t="n">
        <v>7.4359354</v>
      </c>
      <c r="R48" s="20" t="n">
        <v>0.84554539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(10356.0/B50*100)</f>
        <v/>
      </c>
      <c r="D50" s="19" t="n">
        <v>1439</v>
      </c>
      <c r="E50" s="18" t="n">
        <v>53.99592694</v>
      </c>
      <c r="F50" s="20" t="n">
        <v>1.66700244</v>
      </c>
      <c r="G50" s="18" t="n">
        <v>35.32092276</v>
      </c>
      <c r="H50" s="20" t="n">
        <v>1.61370298</v>
      </c>
      <c r="I50" s="18" t="s">
        <v>349</v>
      </c>
      <c r="J50" s="20" t="s">
        <v>349</v>
      </c>
      <c r="K50" s="18" t="n">
        <v>0.33340083</v>
      </c>
      <c r="L50" s="20" t="n">
        <v>0.16364434</v>
      </c>
      <c r="M50" s="18" t="n">
        <v>0</v>
      </c>
      <c r="N50" s="20" t="n">
        <v>0</v>
      </c>
      <c r="O50" s="18" t="n">
        <v>0</v>
      </c>
      <c r="P50" s="20" t="n">
        <v>0</v>
      </c>
      <c r="Q50" s="18" t="n">
        <v>10.34974946</v>
      </c>
      <c r="R50" s="20" t="n">
        <v>1.11236022</v>
      </c>
    </row>
    <row r="51" spans="1:18">
      <c r="A51" s="15" t="s">
        <v>393</v>
      </c>
      <c r="B51" s="17" t="n">
        <v>6866</v>
      </c>
      <c r="C51" s="18">
        <f>(6116.0/B51*100)</f>
        <v/>
      </c>
      <c r="D51" s="19" t="n">
        <v>750</v>
      </c>
      <c r="E51" s="18" t="n">
        <v>38.23184851</v>
      </c>
      <c r="F51" s="20" t="n">
        <v>2.27276933</v>
      </c>
      <c r="G51" s="18" t="n">
        <v>52.43163065</v>
      </c>
      <c r="H51" s="20" t="n">
        <v>2.51527427</v>
      </c>
      <c r="I51" s="18" t="s">
        <v>349</v>
      </c>
      <c r="J51" s="20" t="s">
        <v>349</v>
      </c>
      <c r="K51" s="18" t="n">
        <v>0.18062602</v>
      </c>
      <c r="L51" s="20" t="n">
        <v>0.17976907</v>
      </c>
      <c r="M51" s="18" t="n">
        <v>0</v>
      </c>
      <c r="N51" s="20" t="n">
        <v>0</v>
      </c>
      <c r="O51" s="18" t="n">
        <v>0</v>
      </c>
      <c r="P51" s="20" t="n">
        <v>0</v>
      </c>
      <c r="Q51" s="18" t="n">
        <v>9.155894809999999</v>
      </c>
      <c r="R51" s="20" t="n">
        <v>1.19583739</v>
      </c>
    </row>
    <row r="52" spans="1:18">
      <c r="A52" s="15" t="s">
        <v>394</v>
      </c>
      <c r="B52" s="17" t="n">
        <v>5809</v>
      </c>
      <c r="C52" s="18">
        <f>(5090.0/B52*100)</f>
        <v/>
      </c>
      <c r="D52" s="19" t="n">
        <v>719</v>
      </c>
      <c r="E52" s="18" t="n">
        <v>28.33246634</v>
      </c>
      <c r="F52" s="20" t="n">
        <v>1.84599687</v>
      </c>
      <c r="G52" s="18" t="n">
        <v>65.37386581</v>
      </c>
      <c r="H52" s="20" t="n">
        <v>1.95413307</v>
      </c>
      <c r="I52" s="18" t="s">
        <v>349</v>
      </c>
      <c r="J52" s="20" t="s">
        <v>349</v>
      </c>
      <c r="K52" s="18" t="n">
        <v>0</v>
      </c>
      <c r="L52" s="20" t="n">
        <v>0</v>
      </c>
      <c r="M52" s="18" t="n">
        <v>0</v>
      </c>
      <c r="N52" s="20" t="n">
        <v>0</v>
      </c>
      <c r="O52" s="18" t="n">
        <v>0</v>
      </c>
      <c r="P52" s="20" t="n">
        <v>0</v>
      </c>
      <c r="Q52" s="18" t="n">
        <v>6.29366785</v>
      </c>
      <c r="R52" s="20" t="n">
        <v>0.94818719</v>
      </c>
    </row>
    <row r="53" spans="1:18">
      <c r="A53" s="15" t="s">
        <v>395</v>
      </c>
      <c r="B53" s="17" t="n">
        <v>5571</v>
      </c>
      <c r="C53" s="18">
        <f>(4864.0/B53*100)</f>
        <v/>
      </c>
      <c r="D53" s="19" t="n">
        <v>707</v>
      </c>
      <c r="E53" s="18" t="n">
        <v>29.64625492</v>
      </c>
      <c r="F53" s="20" t="n">
        <v>2.03826439</v>
      </c>
      <c r="G53" s="18" t="n">
        <v>59.27229116</v>
      </c>
      <c r="H53" s="20" t="n">
        <v>2.16068204</v>
      </c>
      <c r="I53" s="18" t="s">
        <v>349</v>
      </c>
      <c r="J53" s="20" t="s">
        <v>349</v>
      </c>
      <c r="K53" s="18" t="n">
        <v>0.62131763</v>
      </c>
      <c r="L53" s="20" t="n">
        <v>0.32203557</v>
      </c>
      <c r="M53" s="18" t="n">
        <v>0</v>
      </c>
      <c r="N53" s="20" t="n">
        <v>0</v>
      </c>
      <c r="O53" s="18" t="n">
        <v>0</v>
      </c>
      <c r="P53" s="20" t="n">
        <v>0</v>
      </c>
      <c r="Q53" s="18" t="n">
        <v>10.46013629</v>
      </c>
      <c r="R53" s="20" t="n">
        <v>1.14591413</v>
      </c>
    </row>
    <row r="54" spans="1:18">
      <c r="A54" s="15" t="s">
        <v>396</v>
      </c>
      <c r="B54" s="17" t="n">
        <v>4740</v>
      </c>
      <c r="C54" s="18">
        <f>(3945.0/B54*100)</f>
        <v/>
      </c>
      <c r="D54" s="19" t="n">
        <v>795</v>
      </c>
      <c r="E54" s="18" t="n">
        <v>48.64036986</v>
      </c>
      <c r="F54" s="20" t="n">
        <v>1.97799996</v>
      </c>
      <c r="G54" s="18" t="n">
        <v>20.50084266</v>
      </c>
      <c r="H54" s="20" t="n">
        <v>1.51506735</v>
      </c>
      <c r="I54" s="18" t="s">
        <v>349</v>
      </c>
      <c r="J54" s="20" t="s">
        <v>349</v>
      </c>
      <c r="K54" s="18" t="n">
        <v>5.13207993</v>
      </c>
      <c r="L54" s="20" t="n">
        <v>0.97400888</v>
      </c>
      <c r="M54" s="18" t="n">
        <v>0</v>
      </c>
      <c r="N54" s="20" t="n">
        <v>0</v>
      </c>
      <c r="O54" s="18" t="n">
        <v>0</v>
      </c>
      <c r="P54" s="20" t="n">
        <v>0</v>
      </c>
      <c r="Q54" s="18" t="n">
        <v>25.72670755</v>
      </c>
      <c r="R54" s="20" t="n">
        <v>1.63801956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(4679.0/B56*100)</f>
        <v/>
      </c>
      <c r="D56" s="19" t="n">
        <v>680</v>
      </c>
      <c r="E56" s="18" t="n">
        <v>21.58053678</v>
      </c>
      <c r="F56" s="20" t="n">
        <v>1.64389187</v>
      </c>
      <c r="G56" s="18" t="n">
        <v>74.78177339</v>
      </c>
      <c r="H56" s="20" t="n">
        <v>1.72223213</v>
      </c>
      <c r="I56" s="18" t="s">
        <v>349</v>
      </c>
      <c r="J56" s="20" t="s">
        <v>349</v>
      </c>
      <c r="K56" s="18" t="n">
        <v>0</v>
      </c>
      <c r="L56" s="20" t="n">
        <v>0</v>
      </c>
      <c r="M56" s="18" t="n">
        <v>0</v>
      </c>
      <c r="N56" s="20" t="n">
        <v>0</v>
      </c>
      <c r="O56" s="18" t="n">
        <v>0</v>
      </c>
      <c r="P56" s="20" t="n">
        <v>0</v>
      </c>
      <c r="Q56" s="18" t="n">
        <v>3.63768983</v>
      </c>
      <c r="R56" s="20" t="n">
        <v>0.7718814899999999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(5712.0/B61*100)</f>
        <v/>
      </c>
      <c r="D61" s="19" t="n">
        <v>813</v>
      </c>
      <c r="E61" s="18" t="n">
        <v>34.7151524</v>
      </c>
      <c r="F61" s="20" t="n">
        <v>1.93303759</v>
      </c>
      <c r="G61" s="18" t="n">
        <v>58.91134393</v>
      </c>
      <c r="H61" s="20" t="n">
        <v>1.87828914</v>
      </c>
      <c r="I61" s="18" t="s">
        <v>349</v>
      </c>
      <c r="J61" s="20" t="s">
        <v>349</v>
      </c>
      <c r="K61" s="18" t="n">
        <v>0.28046854</v>
      </c>
      <c r="L61" s="20" t="n">
        <v>0.20035493</v>
      </c>
      <c r="M61" s="18" t="n">
        <v>0</v>
      </c>
      <c r="N61" s="20" t="n">
        <v>0</v>
      </c>
      <c r="O61" s="18" t="n">
        <v>0</v>
      </c>
      <c r="P61" s="20" t="n">
        <v>0</v>
      </c>
      <c r="Q61" s="18" t="n">
        <v>6.09303514</v>
      </c>
      <c r="R61" s="20" t="n">
        <v>0.87716603</v>
      </c>
    </row>
    <row r="62" spans="1:18">
      <c r="A62" s="15" t="s">
        <v>404</v>
      </c>
      <c r="B62" s="17" t="n">
        <v>4476</v>
      </c>
      <c r="C62" s="18">
        <f>(3923.0/B62*100)</f>
        <v/>
      </c>
      <c r="D62" s="19" t="n">
        <v>553</v>
      </c>
      <c r="E62" s="18" t="n">
        <v>18.6349151</v>
      </c>
      <c r="F62" s="20" t="n">
        <v>1.78784389</v>
      </c>
      <c r="G62" s="18" t="n">
        <v>78.30562447</v>
      </c>
      <c r="H62" s="20" t="n">
        <v>1.91688983</v>
      </c>
      <c r="I62" s="18" t="s">
        <v>349</v>
      </c>
      <c r="J62" s="20" t="s">
        <v>349</v>
      </c>
      <c r="K62" s="18" t="n">
        <v>0</v>
      </c>
      <c r="L62" s="20" t="n">
        <v>0</v>
      </c>
      <c r="M62" s="18" t="n">
        <v>0</v>
      </c>
      <c r="N62" s="20" t="n">
        <v>0</v>
      </c>
      <c r="O62" s="18" t="n">
        <v>0</v>
      </c>
      <c r="P62" s="20" t="n">
        <v>0</v>
      </c>
      <c r="Q62" s="18" t="n">
        <v>3.05946043</v>
      </c>
      <c r="R62" s="20" t="n">
        <v>0.67596891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(4962.0/B66*100)</f>
        <v/>
      </c>
      <c r="D66" s="19" t="n">
        <v>703</v>
      </c>
      <c r="E66" s="18" t="n">
        <v>37.7063526</v>
      </c>
      <c r="F66" s="20" t="n">
        <v>2.00083017</v>
      </c>
      <c r="G66" s="18" t="n">
        <v>45.27694059</v>
      </c>
      <c r="H66" s="20" t="n">
        <v>1.862995</v>
      </c>
      <c r="I66" s="18" t="s">
        <v>349</v>
      </c>
      <c r="J66" s="20" t="s">
        <v>349</v>
      </c>
      <c r="K66" s="18" t="n">
        <v>0.93441443</v>
      </c>
      <c r="L66" s="20" t="n">
        <v>0.37316965</v>
      </c>
      <c r="M66" s="18" t="n">
        <v>0</v>
      </c>
      <c r="N66" s="20" t="n">
        <v>0</v>
      </c>
      <c r="O66" s="18" t="n">
        <v>0</v>
      </c>
      <c r="P66" s="20" t="n">
        <v>0</v>
      </c>
      <c r="Q66" s="18" t="n">
        <v>16.08229238</v>
      </c>
      <c r="R66" s="20" t="n">
        <v>1.2505577</v>
      </c>
    </row>
    <row r="67" spans="1:18">
      <c r="A67" s="15" t="s">
        <v>409</v>
      </c>
      <c r="B67" s="17" t="n">
        <v>6971</v>
      </c>
      <c r="C67" s="18">
        <f>(6131.0/B67*100)</f>
        <v/>
      </c>
      <c r="D67" s="19" t="n">
        <v>840</v>
      </c>
      <c r="E67" s="18" t="n">
        <v>51.39262986</v>
      </c>
      <c r="F67" s="20" t="n">
        <v>1.7630067</v>
      </c>
      <c r="G67" s="18" t="n">
        <v>34.2006897</v>
      </c>
      <c r="H67" s="20" t="n">
        <v>1.66922318</v>
      </c>
      <c r="I67" s="18" t="s">
        <v>349</v>
      </c>
      <c r="J67" s="20" t="s">
        <v>349</v>
      </c>
      <c r="K67" s="18" t="n">
        <v>0</v>
      </c>
      <c r="L67" s="20" t="n">
        <v>0</v>
      </c>
      <c r="M67" s="18" t="n">
        <v>0</v>
      </c>
      <c r="N67" s="20" t="n">
        <v>0</v>
      </c>
      <c r="O67" s="18" t="n">
        <v>0</v>
      </c>
      <c r="P67" s="20" t="n">
        <v>0</v>
      </c>
      <c r="Q67" s="18" t="n">
        <v>14.40668044</v>
      </c>
      <c r="R67" s="20" t="n">
        <v>1.39302917</v>
      </c>
    </row>
    <row r="68" spans="1:18">
      <c r="A68" s="15" t="s">
        <v>410</v>
      </c>
      <c r="B68" s="17" t="n">
        <v>12083</v>
      </c>
      <c r="C68" s="18">
        <f>(10062.0/B68*100)</f>
        <v/>
      </c>
      <c r="D68" s="19" t="n">
        <v>2021</v>
      </c>
      <c r="E68" s="18" t="n">
        <v>38.02331013</v>
      </c>
      <c r="F68" s="20" t="n">
        <v>1.25746059</v>
      </c>
      <c r="G68" s="18" t="n">
        <v>40.48858764</v>
      </c>
      <c r="H68" s="20" t="n">
        <v>1.11545334</v>
      </c>
      <c r="I68" s="18" t="s">
        <v>349</v>
      </c>
      <c r="J68" s="20" t="s">
        <v>349</v>
      </c>
      <c r="K68" s="18" t="n">
        <v>1.86484161</v>
      </c>
      <c r="L68" s="20" t="n">
        <v>0.28300234</v>
      </c>
      <c r="M68" s="18" t="n">
        <v>0</v>
      </c>
      <c r="N68" s="20" t="n">
        <v>0</v>
      </c>
      <c r="O68" s="18" t="n">
        <v>0</v>
      </c>
      <c r="P68" s="20" t="n">
        <v>0</v>
      </c>
      <c r="Q68" s="18" t="n">
        <v>19.62326062</v>
      </c>
      <c r="R68" s="20" t="n">
        <v>1.01490005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(5285.0/B70*100)</f>
        <v/>
      </c>
      <c r="D70" s="19" t="n">
        <v>751</v>
      </c>
      <c r="E70" s="18" t="n">
        <v>27.40027262</v>
      </c>
      <c r="F70" s="20" t="n">
        <v>1.88407926</v>
      </c>
      <c r="G70" s="18" t="n">
        <v>64.31252148999999</v>
      </c>
      <c r="H70" s="20" t="n">
        <v>2.3531994</v>
      </c>
      <c r="I70" s="18" t="s">
        <v>349</v>
      </c>
      <c r="J70" s="20" t="s">
        <v>349</v>
      </c>
      <c r="K70" s="18" t="n">
        <v>0</v>
      </c>
      <c r="L70" s="20" t="n">
        <v>0</v>
      </c>
      <c r="M70" s="18" t="n">
        <v>0</v>
      </c>
      <c r="N70" s="20" t="n">
        <v>0</v>
      </c>
      <c r="O70" s="18" t="n">
        <v>0</v>
      </c>
      <c r="P70" s="20" t="n">
        <v>0</v>
      </c>
      <c r="Q70" s="18" t="n">
        <v>8.28720588</v>
      </c>
      <c r="R70" s="20" t="n">
        <v>1.06624055</v>
      </c>
    </row>
    <row r="71" spans="1:18">
      <c r="A71" s="15" t="s">
        <v>413</v>
      </c>
      <c r="B71" s="17" t="n">
        <v>6115</v>
      </c>
      <c r="C71" s="18">
        <f>(5366.0/B71*100)</f>
        <v/>
      </c>
      <c r="D71" s="19" t="n">
        <v>749</v>
      </c>
      <c r="E71" s="18" t="n">
        <v>13.41690413</v>
      </c>
      <c r="F71" s="20" t="n">
        <v>1.14435265</v>
      </c>
      <c r="G71" s="18" t="n">
        <v>83.54575816000001</v>
      </c>
      <c r="H71" s="20" t="n">
        <v>1.29816421</v>
      </c>
      <c r="I71" s="18" t="s">
        <v>349</v>
      </c>
      <c r="J71" s="20" t="s">
        <v>349</v>
      </c>
      <c r="K71" s="18" t="n">
        <v>0.31475906</v>
      </c>
      <c r="L71" s="20" t="n">
        <v>0.18973836</v>
      </c>
      <c r="M71" s="18" t="n">
        <v>0</v>
      </c>
      <c r="N71" s="20" t="n">
        <v>0</v>
      </c>
      <c r="O71" s="18" t="n">
        <v>0</v>
      </c>
      <c r="P71" s="20" t="n">
        <v>0</v>
      </c>
      <c r="Q71" s="18" t="n">
        <v>2.72257866</v>
      </c>
      <c r="R71" s="20" t="n">
        <v>0.77592272</v>
      </c>
    </row>
    <row r="72" spans="1:18">
      <c r="A72" s="15" t="s">
        <v>414</v>
      </c>
      <c r="B72" s="17" t="n">
        <v>7708</v>
      </c>
      <c r="C72" s="18">
        <f>(6767.0/B72*100)</f>
        <v/>
      </c>
      <c r="D72" s="19" t="n">
        <v>941</v>
      </c>
      <c r="E72" s="18" t="n">
        <v>20.8160019</v>
      </c>
      <c r="F72" s="20" t="n">
        <v>1.49552391</v>
      </c>
      <c r="G72" s="18" t="n">
        <v>76.19366350999999</v>
      </c>
      <c r="H72" s="20" t="n">
        <v>1.59613263</v>
      </c>
      <c r="I72" s="18" t="s">
        <v>349</v>
      </c>
      <c r="J72" s="20" t="s">
        <v>349</v>
      </c>
      <c r="K72" s="18" t="n">
        <v>0</v>
      </c>
      <c r="L72" s="20" t="n">
        <v>0</v>
      </c>
      <c r="M72" s="18" t="n">
        <v>0</v>
      </c>
      <c r="N72" s="20" t="n">
        <v>0</v>
      </c>
      <c r="O72" s="18" t="n">
        <v>0</v>
      </c>
      <c r="P72" s="20" t="n">
        <v>0</v>
      </c>
      <c r="Q72" s="18" t="n">
        <v>2.9903346</v>
      </c>
      <c r="R72" s="20" t="n">
        <v>0.58386186</v>
      </c>
    </row>
    <row r="73" spans="1:18">
      <c r="A73" s="15" t="s">
        <v>415</v>
      </c>
      <c r="B73" s="17" t="n">
        <v>8249</v>
      </c>
      <c r="C73" s="18">
        <f>(7270.0/B73*100)</f>
        <v/>
      </c>
      <c r="D73" s="19" t="n">
        <v>979</v>
      </c>
      <c r="E73" s="18" t="n">
        <v>53.09024374</v>
      </c>
      <c r="F73" s="20" t="n">
        <v>1.67046499</v>
      </c>
      <c r="G73" s="18" t="n">
        <v>34.97457665</v>
      </c>
      <c r="H73" s="20" t="n">
        <v>1.60482716</v>
      </c>
      <c r="I73" s="18" t="s">
        <v>349</v>
      </c>
      <c r="J73" s="20" t="s">
        <v>349</v>
      </c>
      <c r="K73" s="18" t="n">
        <v>0</v>
      </c>
      <c r="L73" s="20" t="n">
        <v>0</v>
      </c>
      <c r="M73" s="18" t="n">
        <v>0</v>
      </c>
      <c r="N73" s="20" t="n">
        <v>0</v>
      </c>
      <c r="O73" s="18" t="n">
        <v>0</v>
      </c>
      <c r="P73" s="20" t="n">
        <v>0</v>
      </c>
      <c r="Q73" s="18" t="n">
        <v>11.93517962</v>
      </c>
      <c r="R73" s="20" t="n">
        <v>1.33733349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(4758.0/B75*100)</f>
        <v/>
      </c>
      <c r="D75" s="19" t="n">
        <v>617</v>
      </c>
      <c r="E75" s="18" t="n">
        <v>45.83636991</v>
      </c>
      <c r="F75" s="20" t="n">
        <v>2.18176184</v>
      </c>
      <c r="G75" s="18" t="n">
        <v>34.15142842</v>
      </c>
      <c r="H75" s="20" t="n">
        <v>1.99617646</v>
      </c>
      <c r="I75" s="18" t="s">
        <v>349</v>
      </c>
      <c r="J75" s="20" t="s">
        <v>349</v>
      </c>
      <c r="K75" s="18" t="n">
        <v>1.43587873</v>
      </c>
      <c r="L75" s="20" t="n">
        <v>0.52248565</v>
      </c>
      <c r="M75" s="18" t="n">
        <v>0</v>
      </c>
      <c r="N75" s="20" t="n">
        <v>0</v>
      </c>
      <c r="O75" s="18" t="n">
        <v>0</v>
      </c>
      <c r="P75" s="20" t="n">
        <v>0</v>
      </c>
      <c r="Q75" s="18" t="n">
        <v>18.57632293</v>
      </c>
      <c r="R75" s="20" t="n">
        <v>1.66475596</v>
      </c>
    </row>
    <row r="76" spans="1:18">
      <c r="A76" s="15" t="s">
        <v>418</v>
      </c>
      <c r="B76" s="17" t="n">
        <v>14167</v>
      </c>
      <c r="C76" s="18">
        <f>(12419.0/B76*100)</f>
        <v/>
      </c>
      <c r="D76" s="19" t="n">
        <v>1748</v>
      </c>
      <c r="E76" s="18" t="n">
        <v>37.49953484</v>
      </c>
      <c r="F76" s="20" t="n">
        <v>1.33453733</v>
      </c>
      <c r="G76" s="18" t="n">
        <v>51.14699796</v>
      </c>
      <c r="H76" s="20" t="n">
        <v>1.45927288</v>
      </c>
      <c r="I76" s="18" t="s">
        <v>349</v>
      </c>
      <c r="J76" s="20" t="s">
        <v>349</v>
      </c>
      <c r="K76" s="18" t="n">
        <v>0.4449589</v>
      </c>
      <c r="L76" s="20" t="n">
        <v>0.18619306</v>
      </c>
      <c r="M76" s="18" t="n">
        <v>0</v>
      </c>
      <c r="N76" s="20" t="n">
        <v>0</v>
      </c>
      <c r="O76" s="18" t="n">
        <v>0</v>
      </c>
      <c r="P76" s="20" t="n">
        <v>0</v>
      </c>
      <c r="Q76" s="18" t="n">
        <v>10.9085083</v>
      </c>
      <c r="R76" s="20" t="n">
        <v>0.9728705</v>
      </c>
    </row>
    <row r="77" spans="1:18">
      <c r="A77" s="15" t="s">
        <v>419</v>
      </c>
      <c r="B77" s="17" t="n">
        <v>6062</v>
      </c>
      <c r="C77" s="18">
        <f>(5346.0/B77*100)</f>
        <v/>
      </c>
      <c r="D77" s="19" t="n">
        <v>716</v>
      </c>
      <c r="E77" s="18" t="n">
        <v>38.56749851</v>
      </c>
      <c r="F77" s="20" t="n">
        <v>1.71339575</v>
      </c>
      <c r="G77" s="18" t="n">
        <v>47.17248498</v>
      </c>
      <c r="H77" s="20" t="n">
        <v>1.87652341</v>
      </c>
      <c r="I77" s="18" t="s">
        <v>349</v>
      </c>
      <c r="J77" s="20" t="s">
        <v>349</v>
      </c>
      <c r="K77" s="18" t="n">
        <v>0.64440636</v>
      </c>
      <c r="L77" s="20" t="n">
        <v>0.36259937</v>
      </c>
      <c r="M77" s="18" t="n">
        <v>0</v>
      </c>
      <c r="N77" s="20" t="n">
        <v>0</v>
      </c>
      <c r="O77" s="18" t="n">
        <v>0</v>
      </c>
      <c r="P77" s="20" t="n">
        <v>0</v>
      </c>
      <c r="Q77" s="18" t="n">
        <v>13.61561014</v>
      </c>
      <c r="R77" s="20" t="n">
        <v>1.23337463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(7789.0/B81*100)</f>
        <v/>
      </c>
      <c r="D81" s="19" t="n">
        <v>1072</v>
      </c>
      <c r="E81" s="18" t="n">
        <v>43.01573045</v>
      </c>
      <c r="F81" s="20" t="n">
        <v>1.82471764</v>
      </c>
      <c r="G81" s="18" t="n">
        <v>51.51415362</v>
      </c>
      <c r="H81" s="20" t="n">
        <v>1.99786112</v>
      </c>
      <c r="I81" s="18" t="s">
        <v>349</v>
      </c>
      <c r="J81" s="20" t="s">
        <v>349</v>
      </c>
      <c r="K81" s="18" t="n">
        <v>0.14097497</v>
      </c>
      <c r="L81" s="20" t="n">
        <v>0.13214207</v>
      </c>
      <c r="M81" s="18" t="n">
        <v>0</v>
      </c>
      <c r="N81" s="20" t="n">
        <v>0</v>
      </c>
      <c r="O81" s="18" t="n">
        <v>0</v>
      </c>
      <c r="P81" s="20" t="n">
        <v>0</v>
      </c>
      <c r="Q81" s="18" t="n">
        <v>5.32914097</v>
      </c>
      <c r="R81" s="20" t="n">
        <v>0.81415901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B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331</v>
      </c>
    </row>
    <row r="2" spans="1:28">
      <c r="A2" s="5" t="s">
        <v>446</v>
      </c>
    </row>
    <row customHeight="1" ht="30" r="4" spans="1:28">
      <c r="A4" s="6" t="n"/>
      <c r="B4" s="7" t="s">
        <v>333</v>
      </c>
      <c r="C4" s="7" t="s">
        <v>334</v>
      </c>
      <c r="D4" s="8" t="s">
        <v>333</v>
      </c>
      <c r="E4" s="9" t="s">
        <v>440</v>
      </c>
      <c r="F4" s="10" t="n"/>
      <c r="G4" s="9" t="s">
        <v>441</v>
      </c>
      <c r="H4" s="10" t="n"/>
      <c r="I4" s="9" t="s">
        <v>442</v>
      </c>
      <c r="J4" s="10" t="n"/>
      <c r="K4" s="9" t="s">
        <v>443</v>
      </c>
      <c r="L4" s="10" t="n"/>
      <c r="M4" s="9" t="s">
        <v>444</v>
      </c>
      <c r="N4" s="10" t="n"/>
      <c r="O4" s="9" t="s">
        <v>447</v>
      </c>
      <c r="P4" s="10" t="n"/>
      <c r="Q4" s="9" t="s">
        <v>448</v>
      </c>
      <c r="R4" s="10" t="n"/>
      <c r="S4" s="9" t="s">
        <v>337</v>
      </c>
      <c r="T4" s="10" t="n"/>
      <c r="U4" s="9" t="s">
        <v>338</v>
      </c>
      <c r="V4" s="10" t="n"/>
      <c r="W4" s="9" t="s">
        <v>339</v>
      </c>
      <c r="X4" s="10" t="n"/>
      <c r="Y4" s="9" t="s">
        <v>340</v>
      </c>
      <c r="Z4" s="10" t="n"/>
      <c r="AA4" s="9" t="s">
        <v>341</v>
      </c>
      <c r="AB4" s="10" t="n"/>
    </row>
    <row r="5" spans="1:2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row>
    <row r="6" spans="1:28">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348</v>
      </c>
      <c r="B7" s="17" t="n">
        <v>14530</v>
      </c>
      <c r="C7" s="18">
        <f>(12697.0/B7*100)</f>
        <v/>
      </c>
      <c r="D7" s="19" t="n">
        <v>1833</v>
      </c>
      <c r="E7" s="18" t="n">
        <v>58.48724996</v>
      </c>
      <c r="F7" s="20" t="n">
        <v>1.59611429</v>
      </c>
      <c r="G7" s="18" t="n">
        <v>1.44454431</v>
      </c>
      <c r="H7" s="20" t="n">
        <v>0.38898622</v>
      </c>
      <c r="I7" s="18" t="n">
        <v>4.67914908</v>
      </c>
      <c r="J7" s="20" t="n">
        <v>0.59358342</v>
      </c>
      <c r="K7" s="18" t="n">
        <v>0.98279081</v>
      </c>
      <c r="L7" s="20" t="n">
        <v>0.25512754</v>
      </c>
      <c r="M7" s="18" t="n">
        <v>0.17633013</v>
      </c>
      <c r="N7" s="20" t="n">
        <v>0.10251739</v>
      </c>
      <c r="O7" s="18" t="n">
        <v>10.27167966</v>
      </c>
      <c r="P7" s="20" t="n">
        <v>0.88604326</v>
      </c>
      <c r="Q7" s="18" t="n">
        <v>4.42195154</v>
      </c>
      <c r="R7" s="20" t="n">
        <v>0.62385038</v>
      </c>
      <c r="S7" s="18" t="s">
        <v>349</v>
      </c>
      <c r="T7" s="20" t="s">
        <v>349</v>
      </c>
      <c r="U7" s="18" t="n">
        <v>0.71460044</v>
      </c>
      <c r="V7" s="20" t="n">
        <v>0.22300122</v>
      </c>
      <c r="W7" s="18" t="n">
        <v>0.01970198</v>
      </c>
      <c r="X7" s="20" t="n">
        <v>0.01143788</v>
      </c>
      <c r="Y7" s="18" t="n">
        <v>0</v>
      </c>
      <c r="Z7" s="20" t="n">
        <v>0</v>
      </c>
      <c r="AA7" s="18" t="n">
        <v>18.80200209</v>
      </c>
      <c r="AB7" s="20" t="n">
        <v>0.94635441</v>
      </c>
    </row>
    <row r="8" spans="1:28">
      <c r="A8" s="15" t="s">
        <v>350</v>
      </c>
      <c r="B8" s="17" t="n">
        <v>7007</v>
      </c>
      <c r="C8" s="18">
        <f>(6166.0/B8*100)</f>
        <v/>
      </c>
      <c r="D8" s="19" t="n">
        <v>841</v>
      </c>
      <c r="E8" s="18" t="n">
        <v>42.41265084</v>
      </c>
      <c r="F8" s="20" t="n">
        <v>1.7947234</v>
      </c>
      <c r="G8" s="18" t="n">
        <v>1.63041761</v>
      </c>
      <c r="H8" s="20" t="n">
        <v>0.45824103</v>
      </c>
      <c r="I8" s="18" t="n">
        <v>8.65059316</v>
      </c>
      <c r="J8" s="20" t="n">
        <v>1.08740525</v>
      </c>
      <c r="K8" s="18" t="n">
        <v>0.97613661</v>
      </c>
      <c r="L8" s="20" t="n">
        <v>0.36278171</v>
      </c>
      <c r="M8" s="18" t="n">
        <v>0</v>
      </c>
      <c r="N8" s="20" t="n">
        <v>0</v>
      </c>
      <c r="O8" s="18" t="n">
        <v>7.87613767</v>
      </c>
      <c r="P8" s="20" t="n">
        <v>0.88176219</v>
      </c>
      <c r="Q8" s="18" t="n">
        <v>3.91616018</v>
      </c>
      <c r="R8" s="20" t="n">
        <v>0.71835069</v>
      </c>
      <c r="S8" s="18" t="s">
        <v>349</v>
      </c>
      <c r="T8" s="20" t="s">
        <v>349</v>
      </c>
      <c r="U8" s="18" t="n">
        <v>0.06243333</v>
      </c>
      <c r="V8" s="20" t="n">
        <v>0.06348284999999999</v>
      </c>
      <c r="W8" s="18" t="n">
        <v>0</v>
      </c>
      <c r="X8" s="20" t="n">
        <v>0</v>
      </c>
      <c r="Y8" s="18" t="n">
        <v>0</v>
      </c>
      <c r="Z8" s="20" t="n">
        <v>0</v>
      </c>
      <c r="AA8" s="18" t="n">
        <v>34.47547061</v>
      </c>
      <c r="AB8" s="20" t="n">
        <v>1.75490618</v>
      </c>
    </row>
    <row r="9" spans="1:28">
      <c r="A9" s="15" t="s">
        <v>351</v>
      </c>
      <c r="B9" s="17" t="n">
        <v>9651</v>
      </c>
      <c r="C9" s="18">
        <f>(8503.0/B9*100)</f>
        <v/>
      </c>
      <c r="D9" s="19" t="n">
        <v>1148</v>
      </c>
      <c r="E9" s="18" t="n">
        <v>42.03911686</v>
      </c>
      <c r="F9" s="20" t="n">
        <v>1.51447401</v>
      </c>
      <c r="G9" s="18" t="n">
        <v>1.10319593</v>
      </c>
      <c r="H9" s="20" t="n">
        <v>0.33941982</v>
      </c>
      <c r="I9" s="18" t="n">
        <v>9.521379189999999</v>
      </c>
      <c r="J9" s="20" t="n">
        <v>0.8431518</v>
      </c>
      <c r="K9" s="18" t="n">
        <v>3.0242076</v>
      </c>
      <c r="L9" s="20" t="n">
        <v>0.46920613</v>
      </c>
      <c r="M9" s="18" t="n">
        <v>0</v>
      </c>
      <c r="N9" s="20" t="n">
        <v>0</v>
      </c>
      <c r="O9" s="18" t="n">
        <v>9.596370800000001</v>
      </c>
      <c r="P9" s="20" t="n">
        <v>0.80254077</v>
      </c>
      <c r="Q9" s="18" t="n">
        <v>2.10501348</v>
      </c>
      <c r="R9" s="20" t="n">
        <v>0.37475913</v>
      </c>
      <c r="S9" s="18" t="s">
        <v>349</v>
      </c>
      <c r="T9" s="20" t="s">
        <v>349</v>
      </c>
      <c r="U9" s="18" t="n">
        <v>0.18412616</v>
      </c>
      <c r="V9" s="20" t="n">
        <v>0.13494388</v>
      </c>
      <c r="W9" s="18" t="n">
        <v>0.46644605</v>
      </c>
      <c r="X9" s="20" t="n">
        <v>0.19709454</v>
      </c>
      <c r="Y9" s="18" t="n">
        <v>0</v>
      </c>
      <c r="Z9" s="20" t="n">
        <v>0</v>
      </c>
      <c r="AA9" s="18" t="n">
        <v>31.96014393</v>
      </c>
      <c r="AB9" s="20" t="n">
        <v>1.4311398</v>
      </c>
    </row>
    <row r="10" spans="1:28">
      <c r="A10" s="15" t="s">
        <v>352</v>
      </c>
      <c r="B10" s="17" t="n">
        <v>20058</v>
      </c>
      <c r="C10" s="18">
        <f>(17634.0/B10*100)</f>
        <v/>
      </c>
      <c r="D10" s="19" t="n">
        <v>2424</v>
      </c>
      <c r="E10" s="18" t="n">
        <v>46.01182323</v>
      </c>
      <c r="F10" s="20" t="n">
        <v>1.30159696</v>
      </c>
      <c r="G10" s="18" t="n">
        <v>1.45920149</v>
      </c>
      <c r="H10" s="20" t="n">
        <v>0.27504039</v>
      </c>
      <c r="I10" s="18" t="n">
        <v>13.93295581</v>
      </c>
      <c r="J10" s="20" t="n">
        <v>1.06191776</v>
      </c>
      <c r="K10" s="18" t="n">
        <v>1.30867849</v>
      </c>
      <c r="L10" s="20" t="n">
        <v>0.30072366</v>
      </c>
      <c r="M10" s="18" t="n">
        <v>0.00338225</v>
      </c>
      <c r="N10" s="20" t="n">
        <v>0.0033968</v>
      </c>
      <c r="O10" s="18" t="n">
        <v>16.07109796</v>
      </c>
      <c r="P10" s="20" t="n">
        <v>1.13004814</v>
      </c>
      <c r="Q10" s="18" t="n">
        <v>4.56290336</v>
      </c>
      <c r="R10" s="20" t="n">
        <v>0.66955935</v>
      </c>
      <c r="S10" s="18" t="s">
        <v>349</v>
      </c>
      <c r="T10" s="20" t="s">
        <v>349</v>
      </c>
      <c r="U10" s="18" t="n">
        <v>0.1191365</v>
      </c>
      <c r="V10" s="20" t="n">
        <v>0.05365701</v>
      </c>
      <c r="W10" s="18" t="n">
        <v>0.32153271</v>
      </c>
      <c r="X10" s="20" t="n">
        <v>0.17808753</v>
      </c>
      <c r="Y10" s="18" t="n">
        <v>0</v>
      </c>
      <c r="Z10" s="20" t="n">
        <v>0</v>
      </c>
      <c r="AA10" s="18" t="n">
        <v>16.2092882</v>
      </c>
      <c r="AB10" s="20" t="n">
        <v>1.09537467</v>
      </c>
    </row>
    <row r="11" spans="1:28">
      <c r="A11" s="15" t="s">
        <v>353</v>
      </c>
      <c r="B11" s="17" t="n">
        <v>7053</v>
      </c>
      <c r="C11" s="18">
        <f>(6200.0/B11*100)</f>
        <v/>
      </c>
      <c r="D11" s="19" t="n">
        <v>853</v>
      </c>
      <c r="E11" s="18" t="n">
        <v>41.48287383</v>
      </c>
      <c r="F11" s="20" t="n">
        <v>1.91587505</v>
      </c>
      <c r="G11" s="18" t="n">
        <v>0.32558885</v>
      </c>
      <c r="H11" s="20" t="n">
        <v>0.20268207</v>
      </c>
      <c r="I11" s="18" t="n">
        <v>3.15734857</v>
      </c>
      <c r="J11" s="20" t="n">
        <v>0.65849324</v>
      </c>
      <c r="K11" s="18" t="n">
        <v>0.09153575</v>
      </c>
      <c r="L11" s="20" t="n">
        <v>0.06435718999999999</v>
      </c>
      <c r="M11" s="18" t="n">
        <v>0.03546024</v>
      </c>
      <c r="N11" s="20" t="n">
        <v>0.03530435</v>
      </c>
      <c r="O11" s="18" t="n">
        <v>2.13887609</v>
      </c>
      <c r="P11" s="20" t="n">
        <v>0.46672167</v>
      </c>
      <c r="Q11" s="18" t="n">
        <v>3.81137337</v>
      </c>
      <c r="R11" s="20" t="n">
        <v>0.68650258</v>
      </c>
      <c r="S11" s="18" t="s">
        <v>349</v>
      </c>
      <c r="T11" s="20" t="s">
        <v>349</v>
      </c>
      <c r="U11" s="18" t="n">
        <v>0.50864066</v>
      </c>
      <c r="V11" s="20" t="n">
        <v>0.21409879</v>
      </c>
      <c r="W11" s="18" t="n">
        <v>0</v>
      </c>
      <c r="X11" s="20" t="n">
        <v>0</v>
      </c>
      <c r="Y11" s="18" t="n">
        <v>0</v>
      </c>
      <c r="Z11" s="20" t="n">
        <v>0</v>
      </c>
      <c r="AA11" s="18" t="n">
        <v>48.44830264</v>
      </c>
      <c r="AB11" s="20" t="n">
        <v>1.85378132</v>
      </c>
    </row>
    <row r="12" spans="1:28">
      <c r="A12" s="15" t="s">
        <v>354</v>
      </c>
      <c r="B12" s="17" t="n">
        <v>6894</v>
      </c>
      <c r="C12" s="18">
        <f>(6074.0/B12*100)</f>
        <v/>
      </c>
      <c r="D12" s="19" t="n">
        <v>820</v>
      </c>
      <c r="E12" s="18" t="n">
        <v>46.26782445</v>
      </c>
      <c r="F12" s="20" t="n">
        <v>2.03631221</v>
      </c>
      <c r="G12" s="18" t="n">
        <v>2.02987616</v>
      </c>
      <c r="H12" s="20" t="n">
        <v>0.5434793</v>
      </c>
      <c r="I12" s="18" t="n">
        <v>5.2955807</v>
      </c>
      <c r="J12" s="20" t="n">
        <v>0.8254539</v>
      </c>
      <c r="K12" s="18" t="n">
        <v>2.22630201</v>
      </c>
      <c r="L12" s="20" t="n">
        <v>0.7163303600000001</v>
      </c>
      <c r="M12" s="18" t="n">
        <v>0</v>
      </c>
      <c r="N12" s="20" t="n">
        <v>0</v>
      </c>
      <c r="O12" s="18" t="n">
        <v>10.60821092</v>
      </c>
      <c r="P12" s="20" t="n">
        <v>1.21926507</v>
      </c>
      <c r="Q12" s="18" t="n">
        <v>5.76585109</v>
      </c>
      <c r="R12" s="20" t="n">
        <v>0.81329662</v>
      </c>
      <c r="S12" s="18" t="s">
        <v>349</v>
      </c>
      <c r="T12" s="20" t="s">
        <v>349</v>
      </c>
      <c r="U12" s="18" t="n">
        <v>0</v>
      </c>
      <c r="V12" s="20" t="n">
        <v>0</v>
      </c>
      <c r="W12" s="18" t="n">
        <v>0.32048752</v>
      </c>
      <c r="X12" s="20" t="n">
        <v>0.26525612</v>
      </c>
      <c r="Y12" s="18" t="n">
        <v>0</v>
      </c>
      <c r="Z12" s="20" t="n">
        <v>0</v>
      </c>
      <c r="AA12" s="18" t="n">
        <v>27.48586716</v>
      </c>
      <c r="AB12" s="20" t="n">
        <v>2.02851098</v>
      </c>
    </row>
    <row r="13" spans="1:28">
      <c r="A13" s="15" t="s">
        <v>355</v>
      </c>
      <c r="B13" s="17" t="n">
        <v>7161</v>
      </c>
      <c r="C13" s="18">
        <f>(6336.0/B13*100)</f>
        <v/>
      </c>
      <c r="D13" s="19" t="n">
        <v>825</v>
      </c>
      <c r="E13" s="18" t="n">
        <v>49.12500998</v>
      </c>
      <c r="F13" s="20" t="n">
        <v>1.91496717</v>
      </c>
      <c r="G13" s="18" t="n">
        <v>0.84136817</v>
      </c>
      <c r="H13" s="20" t="n">
        <v>0.35315156</v>
      </c>
      <c r="I13" s="18" t="n">
        <v>5.4391726</v>
      </c>
      <c r="J13" s="20" t="n">
        <v>0.81504094</v>
      </c>
      <c r="K13" s="18" t="n">
        <v>4.70255085</v>
      </c>
      <c r="L13" s="20" t="n">
        <v>0.77887368</v>
      </c>
      <c r="M13" s="18" t="n">
        <v>0</v>
      </c>
      <c r="N13" s="20" t="n">
        <v>0</v>
      </c>
      <c r="O13" s="18" t="n">
        <v>12.20554441</v>
      </c>
      <c r="P13" s="20" t="n">
        <v>1.65725909</v>
      </c>
      <c r="Q13" s="18" t="n">
        <v>3.81222443</v>
      </c>
      <c r="R13" s="20" t="n">
        <v>0.8203694499999999</v>
      </c>
      <c r="S13" s="18" t="s">
        <v>349</v>
      </c>
      <c r="T13" s="20" t="s">
        <v>349</v>
      </c>
      <c r="U13" s="18" t="n">
        <v>0.5121531499999999</v>
      </c>
      <c r="V13" s="20" t="n">
        <v>0.32527235</v>
      </c>
      <c r="W13" s="18" t="n">
        <v>0.25445936</v>
      </c>
      <c r="X13" s="20" t="n">
        <v>0.21976367</v>
      </c>
      <c r="Y13" s="18" t="n">
        <v>0</v>
      </c>
      <c r="Z13" s="20" t="n">
        <v>0</v>
      </c>
      <c r="AA13" s="18" t="n">
        <v>23.10751706</v>
      </c>
      <c r="AB13" s="20" t="n">
        <v>1.72019963</v>
      </c>
    </row>
    <row r="14" spans="1:28">
      <c r="A14" s="15" t="s">
        <v>356</v>
      </c>
      <c r="B14" s="17" t="n">
        <v>5587</v>
      </c>
      <c r="C14" s="18">
        <f>(4889.0/B14*100)</f>
        <v/>
      </c>
      <c r="D14" s="19" t="n">
        <v>698</v>
      </c>
      <c r="E14" s="18" t="n">
        <v>42.11248088</v>
      </c>
      <c r="F14" s="20" t="n">
        <v>2.01516965</v>
      </c>
      <c r="G14" s="18" t="n">
        <v>1.75770926</v>
      </c>
      <c r="H14" s="20" t="n">
        <v>0.67704819</v>
      </c>
      <c r="I14" s="18" t="n">
        <v>5.35513398</v>
      </c>
      <c r="J14" s="20" t="n">
        <v>0.96509397</v>
      </c>
      <c r="K14" s="18" t="n">
        <v>3.2138003</v>
      </c>
      <c r="L14" s="20" t="n">
        <v>0.70259542</v>
      </c>
      <c r="M14" s="18" t="n">
        <v>0.7424549499999999</v>
      </c>
      <c r="N14" s="20" t="n">
        <v>0.27635484</v>
      </c>
      <c r="O14" s="18" t="n">
        <v>13.89770175</v>
      </c>
      <c r="P14" s="20" t="n">
        <v>1.57335166</v>
      </c>
      <c r="Q14" s="18" t="n">
        <v>2.68573848</v>
      </c>
      <c r="R14" s="20" t="n">
        <v>0.64205806</v>
      </c>
      <c r="S14" s="18" t="s">
        <v>349</v>
      </c>
      <c r="T14" s="20" t="s">
        <v>349</v>
      </c>
      <c r="U14" s="18" t="n">
        <v>0</v>
      </c>
      <c r="V14" s="20" t="n">
        <v>0</v>
      </c>
      <c r="W14" s="18" t="n">
        <v>0.22473682</v>
      </c>
      <c r="X14" s="20" t="n">
        <v>0.16035587</v>
      </c>
      <c r="Y14" s="18" t="n">
        <v>0</v>
      </c>
      <c r="Z14" s="20" t="n">
        <v>0</v>
      </c>
      <c r="AA14" s="18" t="n">
        <v>30.01024357</v>
      </c>
      <c r="AB14" s="20" t="n">
        <v>1.73319507</v>
      </c>
    </row>
    <row r="15" spans="1:28">
      <c r="A15" s="15" t="s">
        <v>357</v>
      </c>
      <c r="B15" s="17" t="n">
        <v>5882</v>
      </c>
      <c r="C15" s="18">
        <f>(5160.0/B15*100)</f>
        <v/>
      </c>
      <c r="D15" s="19" t="n">
        <v>722</v>
      </c>
      <c r="E15" s="18" t="n">
        <v>43.77618011</v>
      </c>
      <c r="F15" s="20" t="n">
        <v>1.86050875</v>
      </c>
      <c r="G15" s="18" t="n">
        <v>3.00384455</v>
      </c>
      <c r="H15" s="20" t="n">
        <v>0.562993</v>
      </c>
      <c r="I15" s="18" t="n">
        <v>12.50341651</v>
      </c>
      <c r="J15" s="20" t="n">
        <v>1.30591697</v>
      </c>
      <c r="K15" s="18" t="n">
        <v>2.53260362</v>
      </c>
      <c r="L15" s="20" t="n">
        <v>0.64947297</v>
      </c>
      <c r="M15" s="18" t="n">
        <v>0.25754148</v>
      </c>
      <c r="N15" s="20" t="n">
        <v>0.20765261</v>
      </c>
      <c r="O15" s="18" t="n">
        <v>9.01047838</v>
      </c>
      <c r="P15" s="20" t="n">
        <v>0.82040643</v>
      </c>
      <c r="Q15" s="18" t="n">
        <v>5.10553843</v>
      </c>
      <c r="R15" s="20" t="n">
        <v>0.86121541</v>
      </c>
      <c r="S15" s="18" t="s">
        <v>349</v>
      </c>
      <c r="T15" s="20" t="s">
        <v>349</v>
      </c>
      <c r="U15" s="18" t="n">
        <v>0</v>
      </c>
      <c r="V15" s="20" t="n">
        <v>0</v>
      </c>
      <c r="W15" s="18" t="n">
        <v>0</v>
      </c>
      <c r="X15" s="20" t="n">
        <v>0</v>
      </c>
      <c r="Y15" s="18" t="n">
        <v>0</v>
      </c>
      <c r="Z15" s="20" t="n">
        <v>0</v>
      </c>
      <c r="AA15" s="18" t="n">
        <v>23.81039693</v>
      </c>
      <c r="AB15" s="20" t="n">
        <v>1.85124243</v>
      </c>
    </row>
    <row r="16" spans="1:28">
      <c r="A16" s="15" t="s">
        <v>358</v>
      </c>
      <c r="B16" s="17" t="n">
        <v>6108</v>
      </c>
      <c r="C16" s="18">
        <f>(5343.0/B16*100)</f>
        <v/>
      </c>
      <c r="D16" s="19" t="n">
        <v>765</v>
      </c>
      <c r="E16" s="18" t="n">
        <v>36.40623729</v>
      </c>
      <c r="F16" s="20" t="n">
        <v>1.73612577</v>
      </c>
      <c r="G16" s="18" t="n">
        <v>1.38439605</v>
      </c>
      <c r="H16" s="20" t="n">
        <v>0.43063476</v>
      </c>
      <c r="I16" s="18" t="n">
        <v>5.99205201</v>
      </c>
      <c r="J16" s="20" t="n">
        <v>0.80343139</v>
      </c>
      <c r="K16" s="18" t="n">
        <v>0</v>
      </c>
      <c r="L16" s="20" t="n">
        <v>0</v>
      </c>
      <c r="M16" s="18" t="n">
        <v>0</v>
      </c>
      <c r="N16" s="20" t="n">
        <v>0</v>
      </c>
      <c r="O16" s="18" t="n">
        <v>9.783445179999999</v>
      </c>
      <c r="P16" s="20" t="n">
        <v>1.02907606</v>
      </c>
      <c r="Q16" s="18" t="n">
        <v>2.27841658</v>
      </c>
      <c r="R16" s="20" t="n">
        <v>0.51558257</v>
      </c>
      <c r="S16" s="18" t="s">
        <v>349</v>
      </c>
      <c r="T16" s="20" t="s">
        <v>349</v>
      </c>
      <c r="U16" s="18" t="n">
        <v>0.64332532</v>
      </c>
      <c r="V16" s="20" t="n">
        <v>0.28675307</v>
      </c>
      <c r="W16" s="18" t="n">
        <v>0</v>
      </c>
      <c r="X16" s="20" t="n">
        <v>0</v>
      </c>
      <c r="Y16" s="18" t="n">
        <v>0</v>
      </c>
      <c r="Z16" s="20" t="n">
        <v>0</v>
      </c>
      <c r="AA16" s="18" t="n">
        <v>43.51212756</v>
      </c>
      <c r="AB16" s="20" t="n">
        <v>1.8301332</v>
      </c>
    </row>
    <row r="17" spans="1:28">
      <c r="A17" s="15" t="s">
        <v>359</v>
      </c>
      <c r="B17" s="17" t="n">
        <v>6504</v>
      </c>
      <c r="C17" s="18">
        <f>(5722.0/B17*100)</f>
        <v/>
      </c>
      <c r="D17" s="19" t="n">
        <v>782</v>
      </c>
      <c r="E17" s="18" t="n">
        <v>38.84540093</v>
      </c>
      <c r="F17" s="20" t="n">
        <v>1.54234468</v>
      </c>
      <c r="G17" s="18" t="n">
        <v>2.69394422</v>
      </c>
      <c r="H17" s="20" t="n">
        <v>0.65632591</v>
      </c>
      <c r="I17" s="18" t="n">
        <v>9.944430819999999</v>
      </c>
      <c r="J17" s="20" t="n">
        <v>1.02647107</v>
      </c>
      <c r="K17" s="18" t="n">
        <v>2.18281439</v>
      </c>
      <c r="L17" s="20" t="n">
        <v>0.61449152</v>
      </c>
      <c r="M17" s="18" t="n">
        <v>0</v>
      </c>
      <c r="N17" s="20" t="n">
        <v>0</v>
      </c>
      <c r="O17" s="18" t="n">
        <v>9.79681895</v>
      </c>
      <c r="P17" s="20" t="n">
        <v>0.99250709</v>
      </c>
      <c r="Q17" s="18" t="n">
        <v>3.58529085</v>
      </c>
      <c r="R17" s="20" t="n">
        <v>0.64022229</v>
      </c>
      <c r="S17" s="18" t="s">
        <v>349</v>
      </c>
      <c r="T17" s="20" t="s">
        <v>349</v>
      </c>
      <c r="U17" s="18" t="n">
        <v>0.7295883399999999</v>
      </c>
      <c r="V17" s="20" t="n">
        <v>0.32558453</v>
      </c>
      <c r="W17" s="18" t="n">
        <v>0</v>
      </c>
      <c r="X17" s="20" t="n">
        <v>0</v>
      </c>
      <c r="Y17" s="18" t="n">
        <v>0</v>
      </c>
      <c r="Z17" s="20" t="n">
        <v>0</v>
      </c>
      <c r="AA17" s="18" t="n">
        <v>32.2217115</v>
      </c>
      <c r="AB17" s="20" t="n">
        <v>1.75578723</v>
      </c>
    </row>
    <row r="18" spans="1:28">
      <c r="A18" s="15" t="s">
        <v>360</v>
      </c>
      <c r="B18" s="17" t="n">
        <v>5532</v>
      </c>
      <c r="C18" s="18">
        <f>(4869.0/B18*100)</f>
        <v/>
      </c>
      <c r="D18" s="19" t="n">
        <v>663</v>
      </c>
      <c r="E18" s="18" t="n">
        <v>53.03561647</v>
      </c>
      <c r="F18" s="20" t="n">
        <v>2.32379411</v>
      </c>
      <c r="G18" s="18" t="n">
        <v>2.64870634</v>
      </c>
      <c r="H18" s="20" t="n">
        <v>0.63988916</v>
      </c>
      <c r="I18" s="18" t="n">
        <v>1.91119612</v>
      </c>
      <c r="J18" s="20" t="n">
        <v>0.55673472</v>
      </c>
      <c r="K18" s="18" t="n">
        <v>1.64076503</v>
      </c>
      <c r="L18" s="20" t="n">
        <v>0.46772619</v>
      </c>
      <c r="M18" s="18" t="n">
        <v>0.20921072</v>
      </c>
      <c r="N18" s="20" t="n">
        <v>0.15084324</v>
      </c>
      <c r="O18" s="18" t="n">
        <v>4.77896439</v>
      </c>
      <c r="P18" s="20" t="n">
        <v>0.90658223</v>
      </c>
      <c r="Q18" s="18" t="n">
        <v>2.77868381</v>
      </c>
      <c r="R18" s="20" t="n">
        <v>0.65972651</v>
      </c>
      <c r="S18" s="18" t="s">
        <v>349</v>
      </c>
      <c r="T18" s="20" t="s">
        <v>349</v>
      </c>
      <c r="U18" s="18" t="n">
        <v>0.67876049</v>
      </c>
      <c r="V18" s="20" t="n">
        <v>0.28947717</v>
      </c>
      <c r="W18" s="18" t="n">
        <v>0.17015594</v>
      </c>
      <c r="X18" s="20" t="n">
        <v>0.13777297</v>
      </c>
      <c r="Y18" s="18" t="n">
        <v>0</v>
      </c>
      <c r="Z18" s="20" t="n">
        <v>0</v>
      </c>
      <c r="AA18" s="18" t="n">
        <v>32.1479407</v>
      </c>
      <c r="AB18" s="20" t="n">
        <v>2.19646225</v>
      </c>
    </row>
    <row r="19" spans="1:28">
      <c r="A19" s="15" t="s">
        <v>361</v>
      </c>
      <c r="B19" s="17" t="n">
        <v>5658</v>
      </c>
      <c r="C19" s="18">
        <f>(4963.0/B19*100)</f>
        <v/>
      </c>
      <c r="D19" s="19" t="n">
        <v>695</v>
      </c>
      <c r="E19" s="18" t="n">
        <v>50.1561681</v>
      </c>
      <c r="F19" s="20" t="n">
        <v>2.09269411</v>
      </c>
      <c r="G19" s="18" t="n">
        <v>1.20166548</v>
      </c>
      <c r="H19" s="20" t="n">
        <v>0.47160236</v>
      </c>
      <c r="I19" s="18" t="n">
        <v>3.47067355</v>
      </c>
      <c r="J19" s="20" t="n">
        <v>0.62743739</v>
      </c>
      <c r="K19" s="18" t="n">
        <v>1.89267597</v>
      </c>
      <c r="L19" s="20" t="n">
        <v>0.47916325</v>
      </c>
      <c r="M19" s="18" t="n">
        <v>0</v>
      </c>
      <c r="N19" s="20" t="n">
        <v>0</v>
      </c>
      <c r="O19" s="18" t="n">
        <v>8.04191151</v>
      </c>
      <c r="P19" s="20" t="n">
        <v>0.96037757</v>
      </c>
      <c r="Q19" s="18" t="n">
        <v>4.17286223</v>
      </c>
      <c r="R19" s="20" t="n">
        <v>0.9124856099999999</v>
      </c>
      <c r="S19" s="18" t="s">
        <v>349</v>
      </c>
      <c r="T19" s="20" t="s">
        <v>349</v>
      </c>
      <c r="U19" s="18" t="n">
        <v>0.33425435</v>
      </c>
      <c r="V19" s="20" t="n">
        <v>0.3157473</v>
      </c>
      <c r="W19" s="18" t="n">
        <v>0.26828875</v>
      </c>
      <c r="X19" s="20" t="n">
        <v>0.15840178</v>
      </c>
      <c r="Y19" s="18" t="n">
        <v>0</v>
      </c>
      <c r="Z19" s="20" t="n">
        <v>0</v>
      </c>
      <c r="AA19" s="18" t="n">
        <v>30.46150006</v>
      </c>
      <c r="AB19" s="20" t="n">
        <v>1.8387718</v>
      </c>
    </row>
    <row r="20" spans="1:28">
      <c r="A20" s="15" t="s">
        <v>362</v>
      </c>
      <c r="B20" s="17" t="n">
        <v>3371</v>
      </c>
      <c r="C20" s="18">
        <f>(2943.0/B20*100)</f>
        <v/>
      </c>
      <c r="D20" s="19" t="n">
        <v>428</v>
      </c>
      <c r="E20" s="18" t="n">
        <v>45.29936587</v>
      </c>
      <c r="F20" s="20" t="n">
        <v>2.92868947</v>
      </c>
      <c r="G20" s="18" t="n">
        <v>2.79830728</v>
      </c>
      <c r="H20" s="20" t="n">
        <v>0.80405684</v>
      </c>
      <c r="I20" s="18" t="n">
        <v>13.50378932</v>
      </c>
      <c r="J20" s="20" t="n">
        <v>1.72508895</v>
      </c>
      <c r="K20" s="18" t="n">
        <v>1.75600786</v>
      </c>
      <c r="L20" s="20" t="n">
        <v>0.6202016</v>
      </c>
      <c r="M20" s="18" t="n">
        <v>0</v>
      </c>
      <c r="N20" s="20" t="n">
        <v>0</v>
      </c>
      <c r="O20" s="18" t="n">
        <v>12.25767237</v>
      </c>
      <c r="P20" s="20" t="n">
        <v>1.74460712</v>
      </c>
      <c r="Q20" s="18" t="n">
        <v>4.2136119</v>
      </c>
      <c r="R20" s="20" t="n">
        <v>0.89049495</v>
      </c>
      <c r="S20" s="18" t="s">
        <v>349</v>
      </c>
      <c r="T20" s="20" t="s">
        <v>349</v>
      </c>
      <c r="U20" s="18" t="n">
        <v>0.47923452</v>
      </c>
      <c r="V20" s="20" t="n">
        <v>0.35209411</v>
      </c>
      <c r="W20" s="18" t="n">
        <v>0.35785895</v>
      </c>
      <c r="X20" s="20" t="n">
        <v>0.35069875</v>
      </c>
      <c r="Y20" s="18" t="n">
        <v>0</v>
      </c>
      <c r="Z20" s="20" t="n">
        <v>0</v>
      </c>
      <c r="AA20" s="18" t="n">
        <v>19.33415193</v>
      </c>
      <c r="AB20" s="20" t="n">
        <v>2.08478716</v>
      </c>
    </row>
    <row r="21" spans="1:28">
      <c r="A21" s="15" t="s">
        <v>363</v>
      </c>
      <c r="B21" s="17" t="n">
        <v>5741</v>
      </c>
      <c r="C21" s="18">
        <f>(4810.0/B21*100)</f>
        <v/>
      </c>
      <c r="D21" s="19" t="n">
        <v>931</v>
      </c>
      <c r="E21" s="18" t="n">
        <v>48.90890937</v>
      </c>
      <c r="F21" s="20" t="n">
        <v>1.65516986</v>
      </c>
      <c r="G21" s="18" t="n">
        <v>3.23751118</v>
      </c>
      <c r="H21" s="20" t="n">
        <v>0.62295151</v>
      </c>
      <c r="I21" s="18" t="n">
        <v>5.5166161</v>
      </c>
      <c r="J21" s="20" t="n">
        <v>0.7387520400000001</v>
      </c>
      <c r="K21" s="18" t="n">
        <v>7.50411063</v>
      </c>
      <c r="L21" s="20" t="n">
        <v>0.7921495200000001</v>
      </c>
      <c r="M21" s="18" t="n">
        <v>0.08761396</v>
      </c>
      <c r="N21" s="20" t="n">
        <v>0.08908355</v>
      </c>
      <c r="O21" s="18" t="n">
        <v>12.96064628</v>
      </c>
      <c r="P21" s="20" t="n">
        <v>1.1413465</v>
      </c>
      <c r="Q21" s="18" t="n">
        <v>2.68921492</v>
      </c>
      <c r="R21" s="20" t="n">
        <v>0.52521195</v>
      </c>
      <c r="S21" s="18" t="s">
        <v>349</v>
      </c>
      <c r="T21" s="20" t="s">
        <v>349</v>
      </c>
      <c r="U21" s="18" t="n">
        <v>0.17531117</v>
      </c>
      <c r="V21" s="20" t="n">
        <v>0.12370671</v>
      </c>
      <c r="W21" s="18" t="n">
        <v>0.10304117</v>
      </c>
      <c r="X21" s="20" t="n">
        <v>0.10289658</v>
      </c>
      <c r="Y21" s="18" t="n">
        <v>0</v>
      </c>
      <c r="Z21" s="20" t="n">
        <v>0</v>
      </c>
      <c r="AA21" s="18" t="n">
        <v>18.81702522</v>
      </c>
      <c r="AB21" s="20" t="n">
        <v>1.25907402</v>
      </c>
    </row>
    <row r="22" spans="1:28">
      <c r="A22" s="15" t="s">
        <v>364</v>
      </c>
      <c r="B22" s="17" t="n">
        <v>6598</v>
      </c>
      <c r="C22" s="18">
        <f>(5778.0/B22*100)</f>
        <v/>
      </c>
      <c r="D22" s="19" t="n">
        <v>820</v>
      </c>
      <c r="E22" s="18" t="n">
        <v>48.30728367</v>
      </c>
      <c r="F22" s="20" t="n">
        <v>1.85778397</v>
      </c>
      <c r="G22" s="18" t="n">
        <v>1.24624298</v>
      </c>
      <c r="H22" s="20" t="n">
        <v>0.37092524</v>
      </c>
      <c r="I22" s="18" t="n">
        <v>3.14904242</v>
      </c>
      <c r="J22" s="20" t="n">
        <v>0.56577122</v>
      </c>
      <c r="K22" s="18" t="n">
        <v>1.92982484</v>
      </c>
      <c r="L22" s="20" t="n">
        <v>0.52811409</v>
      </c>
      <c r="M22" s="18" t="n">
        <v>0</v>
      </c>
      <c r="N22" s="20" t="n">
        <v>0</v>
      </c>
      <c r="O22" s="18" t="n">
        <v>5.50775023</v>
      </c>
      <c r="P22" s="20" t="n">
        <v>0.78348523</v>
      </c>
      <c r="Q22" s="18" t="n">
        <v>4.77450161</v>
      </c>
      <c r="R22" s="20" t="n">
        <v>0.77959353</v>
      </c>
      <c r="S22" s="18" t="s">
        <v>349</v>
      </c>
      <c r="T22" s="20" t="s">
        <v>349</v>
      </c>
      <c r="U22" s="18" t="n">
        <v>0.30831892</v>
      </c>
      <c r="V22" s="20" t="n">
        <v>0.23226281</v>
      </c>
      <c r="W22" s="18" t="n">
        <v>0.4157097</v>
      </c>
      <c r="X22" s="20" t="n">
        <v>0.29317944</v>
      </c>
      <c r="Y22" s="18" t="n">
        <v>0</v>
      </c>
      <c r="Z22" s="20" t="n">
        <v>0</v>
      </c>
      <c r="AA22" s="18" t="n">
        <v>34.36132564</v>
      </c>
      <c r="AB22" s="20" t="n">
        <v>1.71476052</v>
      </c>
    </row>
    <row r="23" spans="1:28">
      <c r="A23" s="15" t="s">
        <v>365</v>
      </c>
      <c r="B23" s="17" t="n">
        <v>11583</v>
      </c>
      <c r="C23" s="18">
        <f>(10150.0/B23*100)</f>
        <v/>
      </c>
      <c r="D23" s="19" t="n">
        <v>1433</v>
      </c>
      <c r="E23" s="18" t="n">
        <v>38.72271219</v>
      </c>
      <c r="F23" s="20" t="n">
        <v>1.62417013</v>
      </c>
      <c r="G23" s="18" t="n">
        <v>0.73247896</v>
      </c>
      <c r="H23" s="20" t="n">
        <v>0.30283719</v>
      </c>
      <c r="I23" s="18" t="n">
        <v>8.669721819999999</v>
      </c>
      <c r="J23" s="20" t="n">
        <v>0.81881425</v>
      </c>
      <c r="K23" s="18" t="n">
        <v>1.10046183</v>
      </c>
      <c r="L23" s="20" t="n">
        <v>0.42538036</v>
      </c>
      <c r="M23" s="18" t="n">
        <v>0.11999666</v>
      </c>
      <c r="N23" s="20" t="n">
        <v>0.09469226</v>
      </c>
      <c r="O23" s="18" t="n">
        <v>7.15608133</v>
      </c>
      <c r="P23" s="20" t="n">
        <v>0.97363638</v>
      </c>
      <c r="Q23" s="18" t="n">
        <v>2.87034747</v>
      </c>
      <c r="R23" s="20" t="n">
        <v>0.5629991</v>
      </c>
      <c r="S23" s="18" t="s">
        <v>349</v>
      </c>
      <c r="T23" s="20" t="s">
        <v>349</v>
      </c>
      <c r="U23" s="18" t="n">
        <v>0.46794569</v>
      </c>
      <c r="V23" s="20" t="n">
        <v>0.28127486</v>
      </c>
      <c r="W23" s="18" t="n">
        <v>0</v>
      </c>
      <c r="X23" s="20" t="n">
        <v>0</v>
      </c>
      <c r="Y23" s="18" t="n">
        <v>0</v>
      </c>
      <c r="Z23" s="20" t="n">
        <v>0</v>
      </c>
      <c r="AA23" s="18" t="n">
        <v>40.16025406</v>
      </c>
      <c r="AB23" s="20" t="n">
        <v>1.70907119</v>
      </c>
    </row>
    <row r="24" spans="1:28">
      <c r="A24" s="15" t="s">
        <v>366</v>
      </c>
      <c r="B24" s="17" t="n">
        <v>6647</v>
      </c>
      <c r="C24" s="18">
        <f>(5814.0/B24*100)</f>
        <v/>
      </c>
      <c r="D24" s="19" t="n">
        <v>833</v>
      </c>
      <c r="E24" s="18" t="n">
        <v>32.87253575</v>
      </c>
      <c r="F24" s="20" t="n">
        <v>1.60910829</v>
      </c>
      <c r="G24" s="18" t="n">
        <v>3.90499049</v>
      </c>
      <c r="H24" s="20" t="n">
        <v>0.75536442</v>
      </c>
      <c r="I24" s="18" t="n">
        <v>6.71529436</v>
      </c>
      <c r="J24" s="20" t="n">
        <v>0.80280813</v>
      </c>
      <c r="K24" s="18" t="n">
        <v>1.9942737</v>
      </c>
      <c r="L24" s="20" t="n">
        <v>0.47513529</v>
      </c>
      <c r="M24" s="18" t="n">
        <v>0</v>
      </c>
      <c r="N24" s="20" t="n">
        <v>0</v>
      </c>
      <c r="O24" s="18" t="n">
        <v>13.96968901</v>
      </c>
      <c r="P24" s="20" t="n">
        <v>1.24643874</v>
      </c>
      <c r="Q24" s="18" t="n">
        <v>5.84238986</v>
      </c>
      <c r="R24" s="20" t="n">
        <v>0.87727628</v>
      </c>
      <c r="S24" s="18" t="s">
        <v>349</v>
      </c>
      <c r="T24" s="20" t="s">
        <v>349</v>
      </c>
      <c r="U24" s="18" t="n">
        <v>0.23462218</v>
      </c>
      <c r="V24" s="20" t="n">
        <v>0.1640887</v>
      </c>
      <c r="W24" s="18" t="n">
        <v>0.11684599</v>
      </c>
      <c r="X24" s="20" t="n">
        <v>0.11714032</v>
      </c>
      <c r="Y24" s="18" t="n">
        <v>0</v>
      </c>
      <c r="Z24" s="20" t="n">
        <v>0</v>
      </c>
      <c r="AA24" s="18" t="n">
        <v>34.34935866</v>
      </c>
      <c r="AB24" s="20" t="n">
        <v>1.7522068</v>
      </c>
    </row>
    <row r="25" spans="1:28">
      <c r="A25" s="15" t="s">
        <v>367</v>
      </c>
      <c r="B25" s="17" t="n">
        <v>5581</v>
      </c>
      <c r="C25" s="18">
        <f>(4887.0/B25*100)</f>
        <v/>
      </c>
      <c r="D25" s="19" t="n">
        <v>694</v>
      </c>
      <c r="E25" s="18" t="n">
        <v>36.91115844</v>
      </c>
      <c r="F25" s="20" t="n">
        <v>1.94850685</v>
      </c>
      <c r="G25" s="18" t="n">
        <v>2.05568576</v>
      </c>
      <c r="H25" s="20" t="n">
        <v>0.57872986</v>
      </c>
      <c r="I25" s="18" t="n">
        <v>17.36185822</v>
      </c>
      <c r="J25" s="20" t="n">
        <v>1.54214971</v>
      </c>
      <c r="K25" s="18" t="n">
        <v>7.47556619</v>
      </c>
      <c r="L25" s="20" t="n">
        <v>1.06717611</v>
      </c>
      <c r="M25" s="18" t="n">
        <v>0</v>
      </c>
      <c r="N25" s="20" t="n">
        <v>0</v>
      </c>
      <c r="O25" s="18" t="n">
        <v>11.8263375</v>
      </c>
      <c r="P25" s="20" t="n">
        <v>1.48689694</v>
      </c>
      <c r="Q25" s="18" t="n">
        <v>9.827320309999999</v>
      </c>
      <c r="R25" s="20" t="n">
        <v>1.2079539</v>
      </c>
      <c r="S25" s="18" t="s">
        <v>349</v>
      </c>
      <c r="T25" s="20" t="s">
        <v>349</v>
      </c>
      <c r="U25" s="18" t="n">
        <v>0.28575153</v>
      </c>
      <c r="V25" s="20" t="n">
        <v>0.20189928</v>
      </c>
      <c r="W25" s="18" t="n">
        <v>0</v>
      </c>
      <c r="X25" s="20" t="n">
        <v>0</v>
      </c>
      <c r="Y25" s="18" t="n">
        <v>0</v>
      </c>
      <c r="Z25" s="20" t="n">
        <v>0</v>
      </c>
      <c r="AA25" s="18" t="n">
        <v>14.25632205</v>
      </c>
      <c r="AB25" s="20" t="n">
        <v>1.57221384</v>
      </c>
    </row>
    <row r="26" spans="1:28">
      <c r="A26" s="15" t="s">
        <v>368</v>
      </c>
      <c r="B26" s="17" t="n">
        <v>4869</v>
      </c>
      <c r="C26" s="18">
        <f>(4283.0/B26*100)</f>
        <v/>
      </c>
      <c r="D26" s="19" t="n">
        <v>586</v>
      </c>
      <c r="E26" s="18" t="n">
        <v>63.03942363</v>
      </c>
      <c r="F26" s="20" t="n">
        <v>2.1889298</v>
      </c>
      <c r="G26" s="18" t="n">
        <v>1.45791185</v>
      </c>
      <c r="H26" s="20" t="n">
        <v>0.4175845</v>
      </c>
      <c r="I26" s="18" t="n">
        <v>0.32498159</v>
      </c>
      <c r="J26" s="20" t="n">
        <v>0.32642351</v>
      </c>
      <c r="K26" s="18" t="n">
        <v>1.44935591</v>
      </c>
      <c r="L26" s="20" t="n">
        <v>0.52925679</v>
      </c>
      <c r="M26" s="18" t="n">
        <v>0.36104676</v>
      </c>
      <c r="N26" s="20" t="n">
        <v>0.25697166</v>
      </c>
      <c r="O26" s="18" t="n">
        <v>5.60578831</v>
      </c>
      <c r="P26" s="20" t="n">
        <v>1.07517224</v>
      </c>
      <c r="Q26" s="18" t="n">
        <v>3.7689508</v>
      </c>
      <c r="R26" s="20" t="n">
        <v>0.88706686</v>
      </c>
      <c r="S26" s="18" t="s">
        <v>349</v>
      </c>
      <c r="T26" s="20" t="s">
        <v>349</v>
      </c>
      <c r="U26" s="18" t="n">
        <v>0</v>
      </c>
      <c r="V26" s="20" t="n">
        <v>0</v>
      </c>
      <c r="W26" s="18" t="n">
        <v>0.30066132</v>
      </c>
      <c r="X26" s="20" t="n">
        <v>0.21043418</v>
      </c>
      <c r="Y26" s="18" t="n">
        <v>0</v>
      </c>
      <c r="Z26" s="20" t="n">
        <v>0</v>
      </c>
      <c r="AA26" s="18" t="n">
        <v>23.69187982</v>
      </c>
      <c r="AB26" s="20" t="n">
        <v>2.03265478</v>
      </c>
    </row>
    <row r="27" spans="1:28">
      <c r="A27" s="15" t="s">
        <v>369</v>
      </c>
      <c r="B27" s="17" t="n">
        <v>5299</v>
      </c>
      <c r="C27" s="18">
        <f>(4665.0/B27*100)</f>
        <v/>
      </c>
      <c r="D27" s="19" t="n">
        <v>634</v>
      </c>
      <c r="E27" s="18" t="n">
        <v>43.5338337</v>
      </c>
      <c r="F27" s="20" t="n">
        <v>1.79708494</v>
      </c>
      <c r="G27" s="18" t="n">
        <v>1.39592942</v>
      </c>
      <c r="H27" s="20" t="n">
        <v>0.41167509</v>
      </c>
      <c r="I27" s="18" t="n">
        <v>8.294357659999999</v>
      </c>
      <c r="J27" s="20" t="n">
        <v>1.16599163</v>
      </c>
      <c r="K27" s="18" t="n">
        <v>0.93635254</v>
      </c>
      <c r="L27" s="20" t="n">
        <v>0.37646156</v>
      </c>
      <c r="M27" s="18" t="n">
        <v>0</v>
      </c>
      <c r="N27" s="20" t="n">
        <v>0</v>
      </c>
      <c r="O27" s="18" t="n">
        <v>6.2896033</v>
      </c>
      <c r="P27" s="20" t="n">
        <v>1.00893551</v>
      </c>
      <c r="Q27" s="18" t="n">
        <v>3.74023259</v>
      </c>
      <c r="R27" s="20" t="n">
        <v>0.7654045900000001</v>
      </c>
      <c r="S27" s="18" t="s">
        <v>349</v>
      </c>
      <c r="T27" s="20" t="s">
        <v>349</v>
      </c>
      <c r="U27" s="18" t="n">
        <v>0.32349893</v>
      </c>
      <c r="V27" s="20" t="n">
        <v>0.22933418</v>
      </c>
      <c r="W27" s="18" t="n">
        <v>0</v>
      </c>
      <c r="X27" s="20" t="n">
        <v>0</v>
      </c>
      <c r="Y27" s="18" t="n">
        <v>0</v>
      </c>
      <c r="Z27" s="20" t="n">
        <v>0</v>
      </c>
      <c r="AA27" s="18" t="n">
        <v>35.48619186</v>
      </c>
      <c r="AB27" s="20" t="n">
        <v>1.90193728</v>
      </c>
    </row>
    <row r="28" spans="1:28">
      <c r="A28" s="15" t="s">
        <v>370</v>
      </c>
      <c r="B28" s="17" t="n">
        <v>7568</v>
      </c>
      <c r="C28" s="18">
        <f>(6682.0/B28*100)</f>
        <v/>
      </c>
      <c r="D28" s="19" t="n">
        <v>886</v>
      </c>
      <c r="E28" s="18" t="n">
        <v>67.89001025</v>
      </c>
      <c r="F28" s="20" t="n">
        <v>1.80165671</v>
      </c>
      <c r="G28" s="18" t="n">
        <v>0.0987878</v>
      </c>
      <c r="H28" s="20" t="n">
        <v>0.07767515999999999</v>
      </c>
      <c r="I28" s="18" t="n">
        <v>1.56382756</v>
      </c>
      <c r="J28" s="20" t="n">
        <v>0.43336151</v>
      </c>
      <c r="K28" s="18" t="n">
        <v>0</v>
      </c>
      <c r="L28" s="20" t="n">
        <v>0</v>
      </c>
      <c r="M28" s="18" t="n">
        <v>0.47613444</v>
      </c>
      <c r="N28" s="20" t="n">
        <v>0.24528244</v>
      </c>
      <c r="O28" s="18" t="n">
        <v>0.35833142</v>
      </c>
      <c r="P28" s="20" t="n">
        <v>0.18399425</v>
      </c>
      <c r="Q28" s="18" t="n">
        <v>5.09748713</v>
      </c>
      <c r="R28" s="20" t="n">
        <v>0.81190991</v>
      </c>
      <c r="S28" s="18" t="s">
        <v>349</v>
      </c>
      <c r="T28" s="20" t="s">
        <v>349</v>
      </c>
      <c r="U28" s="18" t="n">
        <v>0</v>
      </c>
      <c r="V28" s="20" t="n">
        <v>0</v>
      </c>
      <c r="W28" s="18" t="n">
        <v>0.94216639</v>
      </c>
      <c r="X28" s="20" t="n">
        <v>0.48507998</v>
      </c>
      <c r="Y28" s="18" t="n">
        <v>0</v>
      </c>
      <c r="Z28" s="20" t="n">
        <v>0</v>
      </c>
      <c r="AA28" s="18" t="n">
        <v>23.57325503</v>
      </c>
      <c r="AB28" s="20" t="n">
        <v>1.52051192</v>
      </c>
    </row>
    <row r="29" spans="1:28">
      <c r="A29" s="15" t="s">
        <v>371</v>
      </c>
      <c r="B29" s="17" t="n">
        <v>5385</v>
      </c>
      <c r="C29" s="18">
        <f>(4743.0/B29*100)</f>
        <v/>
      </c>
      <c r="D29" s="19" t="n">
        <v>642</v>
      </c>
      <c r="E29" s="18" t="n">
        <v>54.26786994</v>
      </c>
      <c r="F29" s="20" t="n">
        <v>1.96297662</v>
      </c>
      <c r="G29" s="18" t="n">
        <v>1.2631926</v>
      </c>
      <c r="H29" s="20" t="n">
        <v>0.39657753</v>
      </c>
      <c r="I29" s="18" t="n">
        <v>11.34347082</v>
      </c>
      <c r="J29" s="20" t="n">
        <v>1.23968942</v>
      </c>
      <c r="K29" s="18" t="n">
        <v>1.7828013</v>
      </c>
      <c r="L29" s="20" t="n">
        <v>0.47561374</v>
      </c>
      <c r="M29" s="18" t="n">
        <v>0.19472038</v>
      </c>
      <c r="N29" s="20" t="n">
        <v>0.13911877</v>
      </c>
      <c r="O29" s="18" t="n">
        <v>14.01632986</v>
      </c>
      <c r="P29" s="20" t="n">
        <v>1.31740954</v>
      </c>
      <c r="Q29" s="18" t="n">
        <v>1.60154425</v>
      </c>
      <c r="R29" s="20" t="n">
        <v>0.43470371</v>
      </c>
      <c r="S29" s="18" t="s">
        <v>349</v>
      </c>
      <c r="T29" s="20" t="s">
        <v>349</v>
      </c>
      <c r="U29" s="18" t="n">
        <v>0.38293383</v>
      </c>
      <c r="V29" s="20" t="n">
        <v>0.26466475</v>
      </c>
      <c r="W29" s="18" t="n">
        <v>0.42299882</v>
      </c>
      <c r="X29" s="20" t="n">
        <v>0.24759513</v>
      </c>
      <c r="Y29" s="18" t="n">
        <v>0</v>
      </c>
      <c r="Z29" s="20" t="n">
        <v>0</v>
      </c>
      <c r="AA29" s="18" t="n">
        <v>14.7241382</v>
      </c>
      <c r="AB29" s="20" t="n">
        <v>1.43441054</v>
      </c>
    </row>
    <row r="30" spans="1:28">
      <c r="A30" s="15" t="s">
        <v>372</v>
      </c>
      <c r="B30" s="17" t="n">
        <v>4520</v>
      </c>
      <c r="C30" s="18">
        <f>(3956.0/B30*100)</f>
        <v/>
      </c>
      <c r="D30" s="19" t="n">
        <v>564</v>
      </c>
      <c r="E30" s="18" t="n">
        <v>44.35946173</v>
      </c>
      <c r="F30" s="20" t="n">
        <v>2.42914829</v>
      </c>
      <c r="G30" s="18" t="n">
        <v>1.25707241</v>
      </c>
      <c r="H30" s="20" t="n">
        <v>0.45630779</v>
      </c>
      <c r="I30" s="18" t="n">
        <v>11.24959609</v>
      </c>
      <c r="J30" s="20" t="n">
        <v>1.45202891</v>
      </c>
      <c r="K30" s="18" t="n">
        <v>1.32322348</v>
      </c>
      <c r="L30" s="20" t="n">
        <v>0.49788874</v>
      </c>
      <c r="M30" s="18" t="n">
        <v>0.17583496</v>
      </c>
      <c r="N30" s="20" t="n">
        <v>0.17622489</v>
      </c>
      <c r="O30" s="18" t="n">
        <v>8.191521379999999</v>
      </c>
      <c r="P30" s="20" t="n">
        <v>0.88215717</v>
      </c>
      <c r="Q30" s="18" t="n">
        <v>4.95367708</v>
      </c>
      <c r="R30" s="20" t="n">
        <v>0.9805738000000001</v>
      </c>
      <c r="S30" s="18" t="s">
        <v>349</v>
      </c>
      <c r="T30" s="20" t="s">
        <v>349</v>
      </c>
      <c r="U30" s="18" t="n">
        <v>0.27723054</v>
      </c>
      <c r="V30" s="20" t="n">
        <v>0.18524312</v>
      </c>
      <c r="W30" s="18" t="n">
        <v>0.57929292</v>
      </c>
      <c r="X30" s="20" t="n">
        <v>0.37113574</v>
      </c>
      <c r="Y30" s="18" t="n">
        <v>0</v>
      </c>
      <c r="Z30" s="20" t="n">
        <v>0</v>
      </c>
      <c r="AA30" s="18" t="n">
        <v>27.6330894</v>
      </c>
      <c r="AB30" s="20" t="n">
        <v>1.92683243</v>
      </c>
    </row>
    <row r="31" spans="1:28">
      <c r="A31" s="15" t="s">
        <v>373</v>
      </c>
      <c r="B31" s="17" t="n">
        <v>5456</v>
      </c>
      <c r="C31" s="18">
        <f>(4762.0/B31*100)</f>
        <v/>
      </c>
      <c r="D31" s="19" t="n">
        <v>694</v>
      </c>
      <c r="E31" s="18" t="n">
        <v>41.05797476</v>
      </c>
      <c r="F31" s="20" t="n">
        <v>1.94067121</v>
      </c>
      <c r="G31" s="18" t="n">
        <v>1.10340126</v>
      </c>
      <c r="H31" s="20" t="n">
        <v>0.38217779</v>
      </c>
      <c r="I31" s="18" t="n">
        <v>10.30516033</v>
      </c>
      <c r="J31" s="20" t="n">
        <v>1.14383443</v>
      </c>
      <c r="K31" s="18" t="n">
        <v>1.93810152</v>
      </c>
      <c r="L31" s="20" t="n">
        <v>0.4440723</v>
      </c>
      <c r="M31" s="18" t="n">
        <v>0.22406455</v>
      </c>
      <c r="N31" s="20" t="n">
        <v>0.19406265</v>
      </c>
      <c r="O31" s="18" t="n">
        <v>6.55942537</v>
      </c>
      <c r="P31" s="20" t="n">
        <v>0.91456494</v>
      </c>
      <c r="Q31" s="18" t="n">
        <v>5.40407007</v>
      </c>
      <c r="R31" s="20" t="n">
        <v>0.66575211</v>
      </c>
      <c r="S31" s="18" t="s">
        <v>349</v>
      </c>
      <c r="T31" s="20" t="s">
        <v>349</v>
      </c>
      <c r="U31" s="18" t="n">
        <v>0.45264547</v>
      </c>
      <c r="V31" s="20" t="n">
        <v>0.25545388</v>
      </c>
      <c r="W31" s="18" t="n">
        <v>0</v>
      </c>
      <c r="X31" s="20" t="n">
        <v>0</v>
      </c>
      <c r="Y31" s="18" t="n">
        <v>0</v>
      </c>
      <c r="Z31" s="20" t="n">
        <v>0</v>
      </c>
      <c r="AA31" s="18" t="n">
        <v>32.95515668</v>
      </c>
      <c r="AB31" s="20" t="n">
        <v>1.70921117</v>
      </c>
    </row>
    <row r="32" spans="1:28">
      <c r="A32" s="15" t="s">
        <v>374</v>
      </c>
      <c r="B32" s="17" t="n">
        <v>4478</v>
      </c>
      <c r="C32" s="18">
        <f>(3757.0/B32*100)</f>
        <v/>
      </c>
      <c r="D32" s="19" t="n">
        <v>721</v>
      </c>
      <c r="E32" s="18" t="n">
        <v>37.19966554</v>
      </c>
      <c r="F32" s="20" t="n">
        <v>1.71581041</v>
      </c>
      <c r="G32" s="18" t="n">
        <v>1.95975607</v>
      </c>
      <c r="H32" s="20" t="n">
        <v>0.52750279</v>
      </c>
      <c r="I32" s="18" t="n">
        <v>15.89789071</v>
      </c>
      <c r="J32" s="20" t="n">
        <v>1.43635802</v>
      </c>
      <c r="K32" s="18" t="n">
        <v>3.57045952</v>
      </c>
      <c r="L32" s="20" t="n">
        <v>0.60775859</v>
      </c>
      <c r="M32" s="18" t="n">
        <v>0</v>
      </c>
      <c r="N32" s="20" t="n">
        <v>0</v>
      </c>
      <c r="O32" s="18" t="n">
        <v>14.6085174</v>
      </c>
      <c r="P32" s="20" t="n">
        <v>1.31707544</v>
      </c>
      <c r="Q32" s="18" t="n">
        <v>4.6554668</v>
      </c>
      <c r="R32" s="20" t="n">
        <v>0.83754406</v>
      </c>
      <c r="S32" s="18" t="s">
        <v>349</v>
      </c>
      <c r="T32" s="20" t="s">
        <v>349</v>
      </c>
      <c r="U32" s="18" t="n">
        <v>0.12478571</v>
      </c>
      <c r="V32" s="20" t="n">
        <v>0.12493627</v>
      </c>
      <c r="W32" s="18" t="n">
        <v>0.13150252</v>
      </c>
      <c r="X32" s="20" t="n">
        <v>0.12838645</v>
      </c>
      <c r="Y32" s="18" t="n">
        <v>0</v>
      </c>
      <c r="Z32" s="20" t="n">
        <v>0</v>
      </c>
      <c r="AA32" s="18" t="n">
        <v>21.85195573</v>
      </c>
      <c r="AB32" s="20" t="n">
        <v>1.33835964</v>
      </c>
    </row>
    <row r="33" spans="1:28">
      <c r="A33" s="15" t="s">
        <v>375</v>
      </c>
      <c r="B33" s="17" t="n">
        <v>7325</v>
      </c>
      <c r="C33" s="18">
        <f>(6415.0/B33*100)</f>
        <v/>
      </c>
      <c r="D33" s="19" t="n">
        <v>910</v>
      </c>
      <c r="E33" s="18" t="n">
        <v>38.96268686</v>
      </c>
      <c r="F33" s="20" t="n">
        <v>1.68745294</v>
      </c>
      <c r="G33" s="18" t="n">
        <v>1.68350863</v>
      </c>
      <c r="H33" s="20" t="n">
        <v>0.41033753</v>
      </c>
      <c r="I33" s="18" t="n">
        <v>6.73560918</v>
      </c>
      <c r="J33" s="20" t="n">
        <v>1.04098022</v>
      </c>
      <c r="K33" s="18" t="n">
        <v>0.61348</v>
      </c>
      <c r="L33" s="20" t="n">
        <v>0.33730076</v>
      </c>
      <c r="M33" s="18" t="n">
        <v>0.40935057</v>
      </c>
      <c r="N33" s="20" t="n">
        <v>0.22015172</v>
      </c>
      <c r="O33" s="18" t="n">
        <v>11.53260485</v>
      </c>
      <c r="P33" s="20" t="n">
        <v>1.29101561</v>
      </c>
      <c r="Q33" s="18" t="n">
        <v>1.71752924</v>
      </c>
      <c r="R33" s="20" t="n">
        <v>0.51769782</v>
      </c>
      <c r="S33" s="18" t="s">
        <v>349</v>
      </c>
      <c r="T33" s="20" t="s">
        <v>349</v>
      </c>
      <c r="U33" s="18" t="n">
        <v>0.41610322</v>
      </c>
      <c r="V33" s="20" t="n">
        <v>0.23152119</v>
      </c>
      <c r="W33" s="18" t="n">
        <v>0</v>
      </c>
      <c r="X33" s="20" t="n">
        <v>0</v>
      </c>
      <c r="Y33" s="18" t="n">
        <v>0</v>
      </c>
      <c r="Z33" s="20" t="n">
        <v>0</v>
      </c>
      <c r="AA33" s="18" t="n">
        <v>37.92912744</v>
      </c>
      <c r="AB33" s="20" t="n">
        <v>1.9459238</v>
      </c>
    </row>
    <row r="34" spans="1:28">
      <c r="A34" s="15" t="s">
        <v>376</v>
      </c>
      <c r="B34" s="17" t="n">
        <v>6350</v>
      </c>
      <c r="C34" s="18">
        <f>(5578.0/B34*100)</f>
        <v/>
      </c>
      <c r="D34" s="19" t="n">
        <v>772</v>
      </c>
      <c r="E34" s="18" t="n">
        <v>50.5557776</v>
      </c>
      <c r="F34" s="20" t="n">
        <v>1.86014559</v>
      </c>
      <c r="G34" s="18" t="n">
        <v>0.50720771</v>
      </c>
      <c r="H34" s="20" t="n">
        <v>0.25264497</v>
      </c>
      <c r="I34" s="18" t="n">
        <v>11.67536809</v>
      </c>
      <c r="J34" s="20" t="n">
        <v>1.20046149</v>
      </c>
      <c r="K34" s="18" t="n">
        <v>1.64168727</v>
      </c>
      <c r="L34" s="20" t="n">
        <v>0.43736268</v>
      </c>
      <c r="M34" s="18" t="n">
        <v>0.03769817</v>
      </c>
      <c r="N34" s="20" t="n">
        <v>0.03770226</v>
      </c>
      <c r="O34" s="18" t="n">
        <v>9.76403592</v>
      </c>
      <c r="P34" s="20" t="n">
        <v>1.0198765</v>
      </c>
      <c r="Q34" s="18" t="n">
        <v>7.41170751</v>
      </c>
      <c r="R34" s="20" t="n">
        <v>1.0354002</v>
      </c>
      <c r="S34" s="18" t="s">
        <v>349</v>
      </c>
      <c r="T34" s="20" t="s">
        <v>349</v>
      </c>
      <c r="U34" s="18" t="n">
        <v>0.19112512</v>
      </c>
      <c r="V34" s="20" t="n">
        <v>0.18920323</v>
      </c>
      <c r="W34" s="18" t="n">
        <v>0</v>
      </c>
      <c r="X34" s="20" t="n">
        <v>0</v>
      </c>
      <c r="Y34" s="18" t="n">
        <v>0</v>
      </c>
      <c r="Z34" s="20" t="n">
        <v>0</v>
      </c>
      <c r="AA34" s="18" t="n">
        <v>18.2153926</v>
      </c>
      <c r="AB34" s="20" t="n">
        <v>1.6150615</v>
      </c>
    </row>
    <row r="35" spans="1:28">
      <c r="A35" s="15" t="s">
        <v>377</v>
      </c>
      <c r="B35" s="17" t="n">
        <v>6406</v>
      </c>
      <c r="C35" s="18">
        <f>(5637.0/B35*100)</f>
        <v/>
      </c>
      <c r="D35" s="19" t="n">
        <v>769</v>
      </c>
      <c r="E35" s="18" t="n">
        <v>37.34566576</v>
      </c>
      <c r="F35" s="20" t="n">
        <v>2.22321018</v>
      </c>
      <c r="G35" s="18" t="n">
        <v>1.16032853</v>
      </c>
      <c r="H35" s="20" t="n">
        <v>0.55784903</v>
      </c>
      <c r="I35" s="18" t="n">
        <v>14.4582829</v>
      </c>
      <c r="J35" s="20" t="n">
        <v>1.73765157</v>
      </c>
      <c r="K35" s="18" t="n">
        <v>1.28942995</v>
      </c>
      <c r="L35" s="20" t="n">
        <v>0.60346755</v>
      </c>
      <c r="M35" s="18" t="n">
        <v>0</v>
      </c>
      <c r="N35" s="20" t="n">
        <v>0</v>
      </c>
      <c r="O35" s="18" t="n">
        <v>11.81693536</v>
      </c>
      <c r="P35" s="20" t="n">
        <v>1.44073447</v>
      </c>
      <c r="Q35" s="18" t="n">
        <v>4.3620678</v>
      </c>
      <c r="R35" s="20" t="n">
        <v>0.7624471</v>
      </c>
      <c r="S35" s="18" t="s">
        <v>349</v>
      </c>
      <c r="T35" s="20" t="s">
        <v>349</v>
      </c>
      <c r="U35" s="18" t="n">
        <v>0</v>
      </c>
      <c r="V35" s="20" t="n">
        <v>0</v>
      </c>
      <c r="W35" s="18" t="n">
        <v>0</v>
      </c>
      <c r="X35" s="20" t="n">
        <v>0</v>
      </c>
      <c r="Y35" s="18" t="n">
        <v>0</v>
      </c>
      <c r="Z35" s="20" t="n">
        <v>0</v>
      </c>
      <c r="AA35" s="18" t="n">
        <v>29.5672897</v>
      </c>
      <c r="AB35" s="20" t="n">
        <v>2.02045403</v>
      </c>
    </row>
    <row r="36" spans="1:28">
      <c r="A36" s="15" t="s">
        <v>378</v>
      </c>
      <c r="B36" s="17" t="n">
        <v>6736</v>
      </c>
      <c r="C36" s="18">
        <f>(5923.0/B36*100)</f>
        <v/>
      </c>
      <c r="D36" s="19" t="n">
        <v>813</v>
      </c>
      <c r="E36" s="18" t="n">
        <v>45.87665206</v>
      </c>
      <c r="F36" s="20" t="n">
        <v>1.76109644</v>
      </c>
      <c r="G36" s="18" t="n">
        <v>1.11232167</v>
      </c>
      <c r="H36" s="20" t="n">
        <v>0.3551148</v>
      </c>
      <c r="I36" s="18" t="n">
        <v>4.39980236</v>
      </c>
      <c r="J36" s="20" t="n">
        <v>0.76686034</v>
      </c>
      <c r="K36" s="18" t="n">
        <v>2.08756929</v>
      </c>
      <c r="L36" s="20" t="n">
        <v>0.51759217</v>
      </c>
      <c r="M36" s="18" t="n">
        <v>1.23513449</v>
      </c>
      <c r="N36" s="20" t="n">
        <v>0.37339308</v>
      </c>
      <c r="O36" s="18" t="n">
        <v>3.84716884</v>
      </c>
      <c r="P36" s="20" t="n">
        <v>0.55440387</v>
      </c>
      <c r="Q36" s="18" t="n">
        <v>3.19468712</v>
      </c>
      <c r="R36" s="20" t="n">
        <v>0.66697979</v>
      </c>
      <c r="S36" s="18" t="s">
        <v>349</v>
      </c>
      <c r="T36" s="20" t="s">
        <v>349</v>
      </c>
      <c r="U36" s="18" t="n">
        <v>0.48412431</v>
      </c>
      <c r="V36" s="20" t="n">
        <v>0.30921126</v>
      </c>
      <c r="W36" s="18" t="n">
        <v>0</v>
      </c>
      <c r="X36" s="20" t="n">
        <v>0</v>
      </c>
      <c r="Y36" s="18" t="n">
        <v>0</v>
      </c>
      <c r="Z36" s="20" t="n">
        <v>0</v>
      </c>
      <c r="AA36" s="18" t="n">
        <v>37.76253985</v>
      </c>
      <c r="AB36" s="20" t="n">
        <v>1.664865</v>
      </c>
    </row>
    <row r="37" spans="1:28">
      <c r="A37" s="15" t="s">
        <v>379</v>
      </c>
      <c r="B37" s="17" t="n">
        <v>5458</v>
      </c>
      <c r="C37" s="18">
        <f>(4837.0/B37*100)</f>
        <v/>
      </c>
      <c r="D37" s="19" t="n">
        <v>621</v>
      </c>
      <c r="E37" s="18" t="n">
        <v>35.09562911</v>
      </c>
      <c r="F37" s="20" t="n">
        <v>2.0443401</v>
      </c>
      <c r="G37" s="18" t="n">
        <v>1.84526272</v>
      </c>
      <c r="H37" s="20" t="n">
        <v>0.51650343</v>
      </c>
      <c r="I37" s="18" t="n">
        <v>9.957118599999999</v>
      </c>
      <c r="J37" s="20" t="n">
        <v>1.08491983</v>
      </c>
      <c r="K37" s="18" t="n">
        <v>0</v>
      </c>
      <c r="L37" s="20" t="n">
        <v>0</v>
      </c>
      <c r="M37" s="18" t="n">
        <v>0</v>
      </c>
      <c r="N37" s="20" t="n">
        <v>0</v>
      </c>
      <c r="O37" s="18" t="n">
        <v>14.08732464</v>
      </c>
      <c r="P37" s="20" t="n">
        <v>2.01545627</v>
      </c>
      <c r="Q37" s="18" t="n">
        <v>3.13122218</v>
      </c>
      <c r="R37" s="20" t="n">
        <v>0.70657788</v>
      </c>
      <c r="S37" s="18" t="s">
        <v>349</v>
      </c>
      <c r="T37" s="20" t="s">
        <v>349</v>
      </c>
      <c r="U37" s="18" t="n">
        <v>1.13694241</v>
      </c>
      <c r="V37" s="20" t="n">
        <v>0.46482386</v>
      </c>
      <c r="W37" s="18" t="n">
        <v>0.14832038</v>
      </c>
      <c r="X37" s="20" t="n">
        <v>0.15733479</v>
      </c>
      <c r="Y37" s="18" t="n">
        <v>0</v>
      </c>
      <c r="Z37" s="20" t="n">
        <v>0</v>
      </c>
      <c r="AA37" s="18" t="n">
        <v>34.59817995</v>
      </c>
      <c r="AB37" s="20" t="n">
        <v>2.20739752</v>
      </c>
    </row>
    <row r="38" spans="1:28">
      <c r="A38" s="15" t="s">
        <v>380</v>
      </c>
      <c r="B38" s="17" t="n">
        <v>5860</v>
      </c>
      <c r="C38" s="18">
        <f>(4896.0/B38*100)</f>
        <v/>
      </c>
      <c r="D38" s="19" t="n">
        <v>964</v>
      </c>
      <c r="E38" s="18" t="n">
        <v>42.45197385</v>
      </c>
      <c r="F38" s="20" t="n">
        <v>1.79631724</v>
      </c>
      <c r="G38" s="18" t="n">
        <v>3.91513798</v>
      </c>
      <c r="H38" s="20" t="n">
        <v>0.96018581</v>
      </c>
      <c r="I38" s="18" t="n">
        <v>9.086349309999999</v>
      </c>
      <c r="J38" s="20" t="n">
        <v>1.06619198</v>
      </c>
      <c r="K38" s="18" t="n">
        <v>4.18527596</v>
      </c>
      <c r="L38" s="20" t="n">
        <v>0.675604</v>
      </c>
      <c r="M38" s="18" t="n">
        <v>0.87181777</v>
      </c>
      <c r="N38" s="20" t="n">
        <v>0.25354429</v>
      </c>
      <c r="O38" s="18" t="n">
        <v>10.2351913</v>
      </c>
      <c r="P38" s="20" t="n">
        <v>0.95302339</v>
      </c>
      <c r="Q38" s="18" t="n">
        <v>3.92631711</v>
      </c>
      <c r="R38" s="20" t="n">
        <v>0.84110141</v>
      </c>
      <c r="S38" s="18" t="s">
        <v>349</v>
      </c>
      <c r="T38" s="20" t="s">
        <v>349</v>
      </c>
      <c r="U38" s="18" t="n">
        <v>0.66841264</v>
      </c>
      <c r="V38" s="20" t="n">
        <v>0.27248875</v>
      </c>
      <c r="W38" s="18" t="n">
        <v>0</v>
      </c>
      <c r="X38" s="20" t="n">
        <v>0</v>
      </c>
      <c r="Y38" s="18" t="n">
        <v>0</v>
      </c>
      <c r="Z38" s="20" t="n">
        <v>0</v>
      </c>
      <c r="AA38" s="18" t="n">
        <v>24.65952407</v>
      </c>
      <c r="AB38" s="20" t="n">
        <v>1.44648741</v>
      </c>
    </row>
    <row r="39" spans="1:28">
      <c r="A39" s="15" t="s">
        <v>381</v>
      </c>
      <c r="B39" s="17" t="n">
        <v>5895</v>
      </c>
      <c r="C39" s="18">
        <f>(5171.0/B39*100)</f>
        <v/>
      </c>
      <c r="D39" s="19" t="n">
        <v>724</v>
      </c>
      <c r="E39" s="18" t="n">
        <v>51.57745832</v>
      </c>
      <c r="F39" s="20" t="n">
        <v>2.2681984</v>
      </c>
      <c r="G39" s="18" t="n">
        <v>1.50770317</v>
      </c>
      <c r="H39" s="20" t="n">
        <v>0.38405749</v>
      </c>
      <c r="I39" s="18" t="n">
        <v>6.60590144</v>
      </c>
      <c r="J39" s="20" t="n">
        <v>1.06523124</v>
      </c>
      <c r="K39" s="18" t="n">
        <v>3.25043696</v>
      </c>
      <c r="L39" s="20" t="n">
        <v>0.85353299</v>
      </c>
      <c r="M39" s="18" t="n">
        <v>0.96295671</v>
      </c>
      <c r="N39" s="20" t="n">
        <v>0.49673832</v>
      </c>
      <c r="O39" s="18" t="n">
        <v>2.50043738</v>
      </c>
      <c r="P39" s="20" t="n">
        <v>0.69400571</v>
      </c>
      <c r="Q39" s="18" t="n">
        <v>4.34799458</v>
      </c>
      <c r="R39" s="20" t="n">
        <v>0.82337014</v>
      </c>
      <c r="S39" s="18" t="s">
        <v>349</v>
      </c>
      <c r="T39" s="20" t="s">
        <v>349</v>
      </c>
      <c r="U39" s="18" t="n">
        <v>0.30063773</v>
      </c>
      <c r="V39" s="20" t="n">
        <v>0.2412172</v>
      </c>
      <c r="W39" s="18" t="n">
        <v>0</v>
      </c>
      <c r="X39" s="20" t="n">
        <v>0</v>
      </c>
      <c r="Y39" s="18" t="n">
        <v>0</v>
      </c>
      <c r="Z39" s="20" t="n">
        <v>0</v>
      </c>
      <c r="AA39" s="18" t="n">
        <v>28.9464737</v>
      </c>
      <c r="AB39" s="20" t="n">
        <v>2.20594283</v>
      </c>
    </row>
    <row r="40" spans="1:28">
      <c r="A40" s="15" t="s">
        <v>382</v>
      </c>
      <c r="B40" s="17" t="n">
        <v>14157</v>
      </c>
      <c r="C40" s="18">
        <f>(12403.0/B40*100)</f>
        <v/>
      </c>
      <c r="D40" s="19" t="n">
        <v>1754</v>
      </c>
      <c r="E40" s="18" t="n">
        <v>47.69292026</v>
      </c>
      <c r="F40" s="20" t="n">
        <v>1.78900581</v>
      </c>
      <c r="G40" s="18" t="n">
        <v>2.94979933</v>
      </c>
      <c r="H40" s="20" t="n">
        <v>0.62538499</v>
      </c>
      <c r="I40" s="18" t="n">
        <v>7.02211221</v>
      </c>
      <c r="J40" s="20" t="n">
        <v>0.90711724</v>
      </c>
      <c r="K40" s="18" t="n">
        <v>1.74562801</v>
      </c>
      <c r="L40" s="20" t="n">
        <v>0.58187828</v>
      </c>
      <c r="M40" s="18" t="n">
        <v>0.5519856</v>
      </c>
      <c r="N40" s="20" t="n">
        <v>0.30156759</v>
      </c>
      <c r="O40" s="18" t="n">
        <v>9.35370105</v>
      </c>
      <c r="P40" s="20" t="n">
        <v>1.11591195</v>
      </c>
      <c r="Q40" s="18" t="n">
        <v>5.21679934</v>
      </c>
      <c r="R40" s="20" t="n">
        <v>0.8713721800000001</v>
      </c>
      <c r="S40" s="18" t="s">
        <v>349</v>
      </c>
      <c r="T40" s="20" t="s">
        <v>349</v>
      </c>
      <c r="U40" s="18" t="n">
        <v>0.31034054</v>
      </c>
      <c r="V40" s="20" t="n">
        <v>0.26830647</v>
      </c>
      <c r="W40" s="18" t="n">
        <v>0.04412297</v>
      </c>
      <c r="X40" s="20" t="n">
        <v>0.04251</v>
      </c>
      <c r="Y40" s="18" t="n">
        <v>0</v>
      </c>
      <c r="Z40" s="20" t="n">
        <v>0</v>
      </c>
      <c r="AA40" s="18" t="n">
        <v>25.11259068</v>
      </c>
      <c r="AB40" s="20" t="n">
        <v>1.48595107</v>
      </c>
    </row>
    <row r="41" spans="1:28">
      <c r="A41" s="15" t="s">
        <v>383</v>
      </c>
      <c r="B41" s="17" t="n">
        <v>5712</v>
      </c>
      <c r="C41" s="18">
        <f>(5042.0/B41*100)</f>
        <v/>
      </c>
      <c r="D41" s="19" t="n">
        <v>670</v>
      </c>
      <c r="E41" s="18" t="n">
        <v>71.33930761000001</v>
      </c>
      <c r="F41" s="20" t="n">
        <v>1.92236484</v>
      </c>
      <c r="G41" s="18" t="n">
        <v>1.34149289</v>
      </c>
      <c r="H41" s="20" t="n">
        <v>0.4590525</v>
      </c>
      <c r="I41" s="18" t="n">
        <v>3.31666534</v>
      </c>
      <c r="J41" s="20" t="n">
        <v>0.70367713</v>
      </c>
      <c r="K41" s="18" t="n">
        <v>2.76443017</v>
      </c>
      <c r="L41" s="20" t="n">
        <v>0.6965604399999999</v>
      </c>
      <c r="M41" s="18" t="n">
        <v>0.15914072</v>
      </c>
      <c r="N41" s="20" t="n">
        <v>0.17914561</v>
      </c>
      <c r="O41" s="18" t="n">
        <v>8.20104156</v>
      </c>
      <c r="P41" s="20" t="n">
        <v>1.25897114</v>
      </c>
      <c r="Q41" s="18" t="n">
        <v>4.75492853</v>
      </c>
      <c r="R41" s="20" t="n">
        <v>0.73042619</v>
      </c>
      <c r="S41" s="18" t="s">
        <v>349</v>
      </c>
      <c r="T41" s="20" t="s">
        <v>349</v>
      </c>
      <c r="U41" s="18" t="n">
        <v>0.3092135</v>
      </c>
      <c r="V41" s="20" t="n">
        <v>0.2187813</v>
      </c>
      <c r="W41" s="18" t="n">
        <v>0</v>
      </c>
      <c r="X41" s="20" t="n">
        <v>0</v>
      </c>
      <c r="Y41" s="18" t="n">
        <v>0</v>
      </c>
      <c r="Z41" s="20" t="n">
        <v>0</v>
      </c>
      <c r="AA41" s="18" t="n">
        <v>7.81377967</v>
      </c>
      <c r="AB41" s="20" t="n">
        <v>0.9851101799999999</v>
      </c>
    </row>
    <row r="42" spans="1:2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c r="Y44" s="18" t="s">
        <v>349</v>
      </c>
      <c r="Z44" s="20" t="s">
        <v>349</v>
      </c>
      <c r="AA44" s="18" t="s">
        <v>349</v>
      </c>
      <c r="AB44" s="20" t="s">
        <v>349</v>
      </c>
    </row>
    <row r="45" spans="1:2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c r="Y45" s="18" t="s">
        <v>349</v>
      </c>
      <c r="Z45" s="20" t="s">
        <v>349</v>
      </c>
      <c r="AA45" s="18" t="s">
        <v>349</v>
      </c>
      <c r="AB45" s="20" t="s">
        <v>349</v>
      </c>
    </row>
    <row r="46" spans="1:28">
      <c r="A46" s="15" t="s">
        <v>388</v>
      </c>
      <c r="B46" s="17" t="n">
        <v>23141</v>
      </c>
      <c r="C46" s="18">
        <f>(20589.0/B46*100)</f>
        <v/>
      </c>
      <c r="D46" s="19" t="n">
        <v>2552</v>
      </c>
      <c r="E46" s="18" t="n">
        <v>57.81352093</v>
      </c>
      <c r="F46" s="20" t="n">
        <v>1.39796039</v>
      </c>
      <c r="G46" s="18" t="n">
        <v>0.0022513</v>
      </c>
      <c r="H46" s="20" t="n">
        <v>0.00219236</v>
      </c>
      <c r="I46" s="18" t="n">
        <v>0.02138769</v>
      </c>
      <c r="J46" s="20" t="n">
        <v>0.02046147</v>
      </c>
      <c r="K46" s="18" t="n">
        <v>0</v>
      </c>
      <c r="L46" s="20" t="n">
        <v>0</v>
      </c>
      <c r="M46" s="18" t="n">
        <v>0.37227757</v>
      </c>
      <c r="N46" s="20" t="n">
        <v>0.1519434</v>
      </c>
      <c r="O46" s="18" t="n">
        <v>1.23504472</v>
      </c>
      <c r="P46" s="20" t="n">
        <v>0.27429118</v>
      </c>
      <c r="Q46" s="18" t="n">
        <v>4.01518362</v>
      </c>
      <c r="R46" s="20" t="n">
        <v>0.45764816</v>
      </c>
      <c r="S46" s="18" t="s">
        <v>349</v>
      </c>
      <c r="T46" s="20" t="s">
        <v>349</v>
      </c>
      <c r="U46" s="18" t="n">
        <v>1.03715129</v>
      </c>
      <c r="V46" s="20" t="n">
        <v>0.25685483</v>
      </c>
      <c r="W46" s="18" t="n">
        <v>0.24926025</v>
      </c>
      <c r="X46" s="20" t="n">
        <v>0.14247271</v>
      </c>
      <c r="Y46" s="18" t="n">
        <v>0</v>
      </c>
      <c r="Z46" s="20" t="n">
        <v>0</v>
      </c>
      <c r="AA46" s="18" t="n">
        <v>35.25392262</v>
      </c>
      <c r="AB46" s="20" t="n">
        <v>1.40623569</v>
      </c>
    </row>
    <row r="47" spans="1:28">
      <c r="A47" s="15" t="s">
        <v>389</v>
      </c>
      <c r="B47" s="17" t="n">
        <v>5928</v>
      </c>
      <c r="C47" s="18">
        <f>(5214.0/B47*100)</f>
        <v/>
      </c>
      <c r="D47" s="19" t="n">
        <v>714</v>
      </c>
      <c r="E47" s="18" t="n">
        <v>58.51111993</v>
      </c>
      <c r="F47" s="20" t="n">
        <v>1.86324086</v>
      </c>
      <c r="G47" s="18" t="n">
        <v>1.81058825</v>
      </c>
      <c r="H47" s="20" t="n">
        <v>0.58897394</v>
      </c>
      <c r="I47" s="18" t="n">
        <v>1.51991324</v>
      </c>
      <c r="J47" s="20" t="n">
        <v>0.34991564</v>
      </c>
      <c r="K47" s="18" t="n">
        <v>1.77726324</v>
      </c>
      <c r="L47" s="20" t="n">
        <v>0.51401071</v>
      </c>
      <c r="M47" s="18" t="n">
        <v>0</v>
      </c>
      <c r="N47" s="20" t="n">
        <v>0</v>
      </c>
      <c r="O47" s="18" t="n">
        <v>3.9157155</v>
      </c>
      <c r="P47" s="20" t="n">
        <v>0.83453557</v>
      </c>
      <c r="Q47" s="18" t="n">
        <v>6.12556453</v>
      </c>
      <c r="R47" s="20" t="n">
        <v>0.93431931</v>
      </c>
      <c r="S47" s="18" t="s">
        <v>349</v>
      </c>
      <c r="T47" s="20" t="s">
        <v>349</v>
      </c>
      <c r="U47" s="18" t="n">
        <v>0.54022469</v>
      </c>
      <c r="V47" s="20" t="n">
        <v>0.26930208</v>
      </c>
      <c r="W47" s="18" t="n">
        <v>0</v>
      </c>
      <c r="X47" s="20" t="n">
        <v>0</v>
      </c>
      <c r="Y47" s="18" t="n">
        <v>0</v>
      </c>
      <c r="Z47" s="20" t="n">
        <v>0</v>
      </c>
      <c r="AA47" s="18" t="n">
        <v>25.79961061</v>
      </c>
      <c r="AB47" s="20" t="n">
        <v>1.63886475</v>
      </c>
    </row>
    <row r="48" spans="1:28">
      <c r="A48" s="15" t="s">
        <v>390</v>
      </c>
      <c r="B48" s="17" t="n">
        <v>9841</v>
      </c>
      <c r="C48" s="18">
        <f>(8600.0/B48*100)</f>
        <v/>
      </c>
      <c r="D48" s="19" t="n">
        <v>1241</v>
      </c>
      <c r="E48" s="18" t="n">
        <v>48.34795743</v>
      </c>
      <c r="F48" s="20" t="n">
        <v>2.24388334</v>
      </c>
      <c r="G48" s="18" t="n">
        <v>1.17180233</v>
      </c>
      <c r="H48" s="20" t="n">
        <v>0.37881826</v>
      </c>
      <c r="I48" s="18" t="n">
        <v>6.90600994</v>
      </c>
      <c r="J48" s="20" t="n">
        <v>0.81341042</v>
      </c>
      <c r="K48" s="18" t="n">
        <v>7.82692885</v>
      </c>
      <c r="L48" s="20" t="n">
        <v>0.9483674600000001</v>
      </c>
      <c r="M48" s="18" t="n">
        <v>0.05408431</v>
      </c>
      <c r="N48" s="20" t="n">
        <v>0.03586034</v>
      </c>
      <c r="O48" s="18" t="n">
        <v>22.40424105</v>
      </c>
      <c r="P48" s="20" t="n">
        <v>1.72782881</v>
      </c>
      <c r="Q48" s="18" t="n">
        <v>2.04017595</v>
      </c>
      <c r="R48" s="20" t="n">
        <v>0.51104341</v>
      </c>
      <c r="S48" s="18" t="s">
        <v>349</v>
      </c>
      <c r="T48" s="20" t="s">
        <v>349</v>
      </c>
      <c r="U48" s="18" t="n">
        <v>0.15783279</v>
      </c>
      <c r="V48" s="20" t="n">
        <v>0.11807945</v>
      </c>
      <c r="W48" s="18" t="n">
        <v>0</v>
      </c>
      <c r="X48" s="20" t="n">
        <v>0</v>
      </c>
      <c r="Y48" s="18" t="n">
        <v>0</v>
      </c>
      <c r="Z48" s="20" t="n">
        <v>0</v>
      </c>
      <c r="AA48" s="18" t="n">
        <v>11.09096735</v>
      </c>
      <c r="AB48" s="20" t="n">
        <v>1.14105666</v>
      </c>
    </row>
    <row r="49" spans="1:2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c r="Y49" s="18" t="s">
        <v>349</v>
      </c>
      <c r="Z49" s="20" t="s">
        <v>349</v>
      </c>
      <c r="AA49" s="18" t="s">
        <v>349</v>
      </c>
      <c r="AB49" s="20" t="s">
        <v>349</v>
      </c>
    </row>
    <row r="50" spans="1:28">
      <c r="A50" s="15" t="s">
        <v>392</v>
      </c>
      <c r="B50" s="17" t="n">
        <v>11795</v>
      </c>
      <c r="C50" s="18">
        <f>(10364.0/B50*100)</f>
        <v/>
      </c>
      <c r="D50" s="19" t="n">
        <v>1431</v>
      </c>
      <c r="E50" s="18" t="n">
        <v>67.36545103</v>
      </c>
      <c r="F50" s="20" t="n">
        <v>1.54499187</v>
      </c>
      <c r="G50" s="18" t="n">
        <v>0.00423754</v>
      </c>
      <c r="H50" s="20" t="n">
        <v>0.00438436</v>
      </c>
      <c r="I50" s="18" t="n">
        <v>4.17994167</v>
      </c>
      <c r="J50" s="20" t="n">
        <v>0.74919664</v>
      </c>
      <c r="K50" s="18" t="n">
        <v>0.8002693</v>
      </c>
      <c r="L50" s="20" t="n">
        <v>0.33508329</v>
      </c>
      <c r="M50" s="18" t="n">
        <v>0.07448241</v>
      </c>
      <c r="N50" s="20" t="n">
        <v>0.07411725</v>
      </c>
      <c r="O50" s="18" t="n">
        <v>1.18976746</v>
      </c>
      <c r="P50" s="20" t="n">
        <v>0.2812218</v>
      </c>
      <c r="Q50" s="18" t="n">
        <v>2.73384292</v>
      </c>
      <c r="R50" s="20" t="n">
        <v>0.54099915</v>
      </c>
      <c r="S50" s="18" t="s">
        <v>349</v>
      </c>
      <c r="T50" s="20" t="s">
        <v>349</v>
      </c>
      <c r="U50" s="18" t="n">
        <v>0.45356389</v>
      </c>
      <c r="V50" s="20" t="n">
        <v>0.19804443</v>
      </c>
      <c r="W50" s="18" t="n">
        <v>1.8658228</v>
      </c>
      <c r="X50" s="20" t="n">
        <v>0.39260604</v>
      </c>
      <c r="Y50" s="18" t="n">
        <v>0</v>
      </c>
      <c r="Z50" s="20" t="n">
        <v>0</v>
      </c>
      <c r="AA50" s="18" t="n">
        <v>21.33262098</v>
      </c>
      <c r="AB50" s="20" t="n">
        <v>1.42358329</v>
      </c>
    </row>
    <row r="51" spans="1:28">
      <c r="A51" s="15" t="s">
        <v>393</v>
      </c>
      <c r="B51" s="17" t="n">
        <v>6866</v>
      </c>
      <c r="C51" s="18">
        <f>(6126.0/B51*100)</f>
        <v/>
      </c>
      <c r="D51" s="19" t="n">
        <v>740</v>
      </c>
      <c r="E51" s="18" t="n">
        <v>58.81304713</v>
      </c>
      <c r="F51" s="20" t="n">
        <v>1.80182948</v>
      </c>
      <c r="G51" s="18" t="n">
        <v>0</v>
      </c>
      <c r="H51" s="20" t="n">
        <v>0</v>
      </c>
      <c r="I51" s="18" t="n">
        <v>0.15161274</v>
      </c>
      <c r="J51" s="20" t="n">
        <v>0.13071827</v>
      </c>
      <c r="K51" s="18" t="n">
        <v>0</v>
      </c>
      <c r="L51" s="20" t="n">
        <v>0</v>
      </c>
      <c r="M51" s="18" t="n">
        <v>0.12856069</v>
      </c>
      <c r="N51" s="20" t="n">
        <v>0.12888885</v>
      </c>
      <c r="O51" s="18" t="n">
        <v>0.39295012</v>
      </c>
      <c r="P51" s="20" t="n">
        <v>0.09148572000000001</v>
      </c>
      <c r="Q51" s="18" t="n">
        <v>4.13574494</v>
      </c>
      <c r="R51" s="20" t="n">
        <v>0.85098196</v>
      </c>
      <c r="S51" s="18" t="s">
        <v>349</v>
      </c>
      <c r="T51" s="20" t="s">
        <v>349</v>
      </c>
      <c r="U51" s="18" t="n">
        <v>0.18300471</v>
      </c>
      <c r="V51" s="20" t="n">
        <v>0.18209043</v>
      </c>
      <c r="W51" s="18" t="n">
        <v>0.04421418</v>
      </c>
      <c r="X51" s="20" t="n">
        <v>0.04435627</v>
      </c>
      <c r="Y51" s="18" t="n">
        <v>0</v>
      </c>
      <c r="Z51" s="20" t="n">
        <v>0</v>
      </c>
      <c r="AA51" s="18" t="n">
        <v>36.15086548</v>
      </c>
      <c r="AB51" s="20" t="n">
        <v>1.78483364</v>
      </c>
    </row>
    <row r="52" spans="1:28">
      <c r="A52" s="15" t="s">
        <v>394</v>
      </c>
      <c r="B52" s="17" t="n">
        <v>5809</v>
      </c>
      <c r="C52" s="18">
        <f>(5093.0/B52*100)</f>
        <v/>
      </c>
      <c r="D52" s="19" t="n">
        <v>716</v>
      </c>
      <c r="E52" s="18" t="n">
        <v>33.74889149</v>
      </c>
      <c r="F52" s="20" t="n">
        <v>1.86765312</v>
      </c>
      <c r="G52" s="18" t="n">
        <v>1.41404861</v>
      </c>
      <c r="H52" s="20" t="n">
        <v>0.44001028</v>
      </c>
      <c r="I52" s="18" t="n">
        <v>4.94584091</v>
      </c>
      <c r="J52" s="20" t="n">
        <v>0.67532638</v>
      </c>
      <c r="K52" s="18" t="n">
        <v>2.10495517</v>
      </c>
      <c r="L52" s="20" t="n">
        <v>0.53638012</v>
      </c>
      <c r="M52" s="18" t="n">
        <v>0.41500426</v>
      </c>
      <c r="N52" s="20" t="n">
        <v>0.2217935</v>
      </c>
      <c r="O52" s="18" t="n">
        <v>5.59634952</v>
      </c>
      <c r="P52" s="20" t="n">
        <v>0.7795641</v>
      </c>
      <c r="Q52" s="18" t="n">
        <v>3.08503814</v>
      </c>
      <c r="R52" s="20" t="n">
        <v>0.65725795</v>
      </c>
      <c r="S52" s="18" t="s">
        <v>349</v>
      </c>
      <c r="T52" s="20" t="s">
        <v>349</v>
      </c>
      <c r="U52" s="18" t="n">
        <v>0</v>
      </c>
      <c r="V52" s="20" t="n">
        <v>0</v>
      </c>
      <c r="W52" s="18" t="n">
        <v>0.13278924</v>
      </c>
      <c r="X52" s="20" t="n">
        <v>0.18802229</v>
      </c>
      <c r="Y52" s="18" t="n">
        <v>0</v>
      </c>
      <c r="Z52" s="20" t="n">
        <v>0</v>
      </c>
      <c r="AA52" s="18" t="n">
        <v>48.55708266</v>
      </c>
      <c r="AB52" s="20" t="n">
        <v>1.75246341</v>
      </c>
    </row>
    <row r="53" spans="1:28">
      <c r="A53" s="15" t="s">
        <v>395</v>
      </c>
      <c r="B53" s="17" t="n">
        <v>5571</v>
      </c>
      <c r="C53" s="18">
        <f>(4865.0/B53*100)</f>
        <v/>
      </c>
      <c r="D53" s="19" t="n">
        <v>706</v>
      </c>
      <c r="E53" s="18" t="n">
        <v>49.15214678</v>
      </c>
      <c r="F53" s="20" t="n">
        <v>1.83772532</v>
      </c>
      <c r="G53" s="18" t="n">
        <v>1.72010465</v>
      </c>
      <c r="H53" s="20" t="n">
        <v>0.52463925</v>
      </c>
      <c r="I53" s="18" t="n">
        <v>5.92828105</v>
      </c>
      <c r="J53" s="20" t="n">
        <v>1.12888348</v>
      </c>
      <c r="K53" s="18" t="n">
        <v>1.40384516</v>
      </c>
      <c r="L53" s="20" t="n">
        <v>0.44941915</v>
      </c>
      <c r="M53" s="18" t="n">
        <v>0.65151163</v>
      </c>
      <c r="N53" s="20" t="n">
        <v>0.30838515</v>
      </c>
      <c r="O53" s="18" t="n">
        <v>2.79418901</v>
      </c>
      <c r="P53" s="20" t="n">
        <v>0.61584762</v>
      </c>
      <c r="Q53" s="18" t="n">
        <v>3.67746148</v>
      </c>
      <c r="R53" s="20" t="n">
        <v>0.75286971</v>
      </c>
      <c r="S53" s="18" t="s">
        <v>349</v>
      </c>
      <c r="T53" s="20" t="s">
        <v>349</v>
      </c>
      <c r="U53" s="18" t="n">
        <v>0.72944289</v>
      </c>
      <c r="V53" s="20" t="n">
        <v>0.33980516</v>
      </c>
      <c r="W53" s="18" t="n">
        <v>0.21601805</v>
      </c>
      <c r="X53" s="20" t="n">
        <v>0.21630743</v>
      </c>
      <c r="Y53" s="18" t="n">
        <v>0</v>
      </c>
      <c r="Z53" s="20" t="n">
        <v>0</v>
      </c>
      <c r="AA53" s="18" t="n">
        <v>33.72699931</v>
      </c>
      <c r="AB53" s="20" t="n">
        <v>1.59335661</v>
      </c>
    </row>
    <row r="54" spans="1:28">
      <c r="A54" s="15" t="s">
        <v>396</v>
      </c>
      <c r="B54" s="17" t="n">
        <v>4740</v>
      </c>
      <c r="C54" s="18">
        <f>(3948.0/B54*100)</f>
        <v/>
      </c>
      <c r="D54" s="19" t="n">
        <v>792</v>
      </c>
      <c r="E54" s="18" t="n">
        <v>46.73080257</v>
      </c>
      <c r="F54" s="20" t="n">
        <v>2.11291449</v>
      </c>
      <c r="G54" s="18" t="n">
        <v>0.36239043</v>
      </c>
      <c r="H54" s="20" t="n">
        <v>0.20982117</v>
      </c>
      <c r="I54" s="18" t="n">
        <v>0</v>
      </c>
      <c r="J54" s="20" t="n">
        <v>0</v>
      </c>
      <c r="K54" s="18" t="n">
        <v>0</v>
      </c>
      <c r="L54" s="20" t="n">
        <v>0</v>
      </c>
      <c r="M54" s="18" t="n">
        <v>0</v>
      </c>
      <c r="N54" s="20" t="n">
        <v>0</v>
      </c>
      <c r="O54" s="18" t="n">
        <v>0</v>
      </c>
      <c r="P54" s="20" t="n">
        <v>0</v>
      </c>
      <c r="Q54" s="18" t="n">
        <v>2.83027535</v>
      </c>
      <c r="R54" s="20" t="n">
        <v>0.78896226</v>
      </c>
      <c r="S54" s="18" t="s">
        <v>349</v>
      </c>
      <c r="T54" s="20" t="s">
        <v>349</v>
      </c>
      <c r="U54" s="18" t="n">
        <v>5.70193599</v>
      </c>
      <c r="V54" s="20" t="n">
        <v>1.0145027</v>
      </c>
      <c r="W54" s="18" t="n">
        <v>0.65987875</v>
      </c>
      <c r="X54" s="20" t="n">
        <v>0.59025269</v>
      </c>
      <c r="Y54" s="18" t="n">
        <v>0</v>
      </c>
      <c r="Z54" s="20" t="n">
        <v>0</v>
      </c>
      <c r="AA54" s="18" t="n">
        <v>43.7147169</v>
      </c>
      <c r="AB54" s="20" t="n">
        <v>1.9660638</v>
      </c>
    </row>
    <row r="55" spans="1:2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c r="Y55" s="18" t="s">
        <v>349</v>
      </c>
      <c r="Z55" s="20" t="s">
        <v>349</v>
      </c>
      <c r="AA55" s="18" t="s">
        <v>349</v>
      </c>
      <c r="AB55" s="20" t="s">
        <v>349</v>
      </c>
    </row>
    <row r="56" spans="1:28">
      <c r="A56" s="15" t="s">
        <v>398</v>
      </c>
      <c r="B56" s="17" t="n">
        <v>5359</v>
      </c>
      <c r="C56" s="18">
        <f>(4679.0/B56*100)</f>
        <v/>
      </c>
      <c r="D56" s="19" t="n">
        <v>680</v>
      </c>
      <c r="E56" s="18" t="n">
        <v>40.75027951</v>
      </c>
      <c r="F56" s="20" t="n">
        <v>2.10647678</v>
      </c>
      <c r="G56" s="18" t="n">
        <v>7.12971036</v>
      </c>
      <c r="H56" s="20" t="n">
        <v>0.9725058600000001</v>
      </c>
      <c r="I56" s="18" t="n">
        <v>11.83887881</v>
      </c>
      <c r="J56" s="20" t="n">
        <v>1.20380116</v>
      </c>
      <c r="K56" s="18" t="n">
        <v>2.93462661</v>
      </c>
      <c r="L56" s="20" t="n">
        <v>0.69326672</v>
      </c>
      <c r="M56" s="18" t="n">
        <v>7.07378744</v>
      </c>
      <c r="N56" s="20" t="n">
        <v>0.91116313</v>
      </c>
      <c r="O56" s="18" t="n">
        <v>11.79667945</v>
      </c>
      <c r="P56" s="20" t="n">
        <v>1.39498879</v>
      </c>
      <c r="Q56" s="18" t="n">
        <v>2.04362029</v>
      </c>
      <c r="R56" s="20" t="n">
        <v>0.5404795</v>
      </c>
      <c r="S56" s="18" t="s">
        <v>349</v>
      </c>
      <c r="T56" s="20" t="s">
        <v>349</v>
      </c>
      <c r="U56" s="18" t="n">
        <v>0</v>
      </c>
      <c r="V56" s="20" t="n">
        <v>0</v>
      </c>
      <c r="W56" s="18" t="n">
        <v>0</v>
      </c>
      <c r="X56" s="20" t="n">
        <v>0</v>
      </c>
      <c r="Y56" s="18" t="n">
        <v>0</v>
      </c>
      <c r="Z56" s="20" t="n">
        <v>0</v>
      </c>
      <c r="AA56" s="18" t="n">
        <v>16.43241752</v>
      </c>
      <c r="AB56" s="20" t="n">
        <v>1.48250127</v>
      </c>
    </row>
    <row r="57" spans="1:2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c r="Y57" s="18" t="s">
        <v>349</v>
      </c>
      <c r="Z57" s="20" t="s">
        <v>349</v>
      </c>
      <c r="AA57" s="18" t="s">
        <v>349</v>
      </c>
      <c r="AB57" s="20" t="s">
        <v>349</v>
      </c>
    </row>
    <row r="58" spans="1:2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c r="Y58" s="18" t="s">
        <v>349</v>
      </c>
      <c r="Z58" s="20" t="s">
        <v>349</v>
      </c>
      <c r="AA58" s="18" t="s">
        <v>349</v>
      </c>
      <c r="AB58" s="20" t="s">
        <v>349</v>
      </c>
    </row>
    <row r="59" spans="1:2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c r="Y59" s="18" t="s">
        <v>349</v>
      </c>
      <c r="Z59" s="20" t="s">
        <v>349</v>
      </c>
      <c r="AA59" s="18" t="s">
        <v>349</v>
      </c>
      <c r="AB59" s="20" t="s">
        <v>349</v>
      </c>
    </row>
    <row r="60" spans="1:2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c r="Y60" s="18" t="s">
        <v>349</v>
      </c>
      <c r="Z60" s="20" t="s">
        <v>349</v>
      </c>
      <c r="AA60" s="18" t="s">
        <v>349</v>
      </c>
      <c r="AB60" s="20" t="s">
        <v>349</v>
      </c>
    </row>
    <row r="61" spans="1:28">
      <c r="A61" s="15" t="s">
        <v>403</v>
      </c>
      <c r="B61" s="17" t="n">
        <v>6525</v>
      </c>
      <c r="C61" s="18">
        <f>(5714.0/B61*100)</f>
        <v/>
      </c>
      <c r="D61" s="19" t="n">
        <v>811</v>
      </c>
      <c r="E61" s="18" t="n">
        <v>49.04190257</v>
      </c>
      <c r="F61" s="20" t="n">
        <v>1.96370661</v>
      </c>
      <c r="G61" s="18" t="n">
        <v>0.41948121</v>
      </c>
      <c r="H61" s="20" t="n">
        <v>0.20010694</v>
      </c>
      <c r="I61" s="18" t="n">
        <v>10.64325254</v>
      </c>
      <c r="J61" s="20" t="n">
        <v>1.25753139</v>
      </c>
      <c r="K61" s="18" t="n">
        <v>1.11193471</v>
      </c>
      <c r="L61" s="20" t="n">
        <v>0.39424587</v>
      </c>
      <c r="M61" s="18" t="n">
        <v>0</v>
      </c>
      <c r="N61" s="20" t="n">
        <v>0</v>
      </c>
      <c r="O61" s="18" t="n">
        <v>4.82440858</v>
      </c>
      <c r="P61" s="20" t="n">
        <v>0.80877504</v>
      </c>
      <c r="Q61" s="18" t="n">
        <v>5.75206289</v>
      </c>
      <c r="R61" s="20" t="n">
        <v>0.9192542500000001</v>
      </c>
      <c r="S61" s="18" t="s">
        <v>349</v>
      </c>
      <c r="T61" s="20" t="s">
        <v>349</v>
      </c>
      <c r="U61" s="18" t="n">
        <v>0.28134445</v>
      </c>
      <c r="V61" s="20" t="n">
        <v>0.2009679</v>
      </c>
      <c r="W61" s="18" t="n">
        <v>0</v>
      </c>
      <c r="X61" s="20" t="n">
        <v>0</v>
      </c>
      <c r="Y61" s="18" t="n">
        <v>0</v>
      </c>
      <c r="Z61" s="20" t="n">
        <v>0</v>
      </c>
      <c r="AA61" s="18" t="n">
        <v>27.92561305</v>
      </c>
      <c r="AB61" s="20" t="n">
        <v>1.61434442</v>
      </c>
    </row>
    <row r="62" spans="1:28">
      <c r="A62" s="15" t="s">
        <v>404</v>
      </c>
      <c r="B62" s="17" t="n">
        <v>4476</v>
      </c>
      <c r="C62" s="18">
        <f>(3923.0/B62*100)</f>
        <v/>
      </c>
      <c r="D62" s="19" t="n">
        <v>553</v>
      </c>
      <c r="E62" s="18" t="n">
        <v>56.42453671</v>
      </c>
      <c r="F62" s="20" t="n">
        <v>2.13814254</v>
      </c>
      <c r="G62" s="18" t="n">
        <v>2.1671603</v>
      </c>
      <c r="H62" s="20" t="n">
        <v>0.56395434</v>
      </c>
      <c r="I62" s="18" t="n">
        <v>8.657004450000001</v>
      </c>
      <c r="J62" s="20" t="n">
        <v>1.30357373</v>
      </c>
      <c r="K62" s="18" t="n">
        <v>2.70125479</v>
      </c>
      <c r="L62" s="20" t="n">
        <v>0.62575888</v>
      </c>
      <c r="M62" s="18" t="n">
        <v>4.32004444</v>
      </c>
      <c r="N62" s="20" t="n">
        <v>0.83208232</v>
      </c>
      <c r="O62" s="18" t="n">
        <v>11.92547743</v>
      </c>
      <c r="P62" s="20" t="n">
        <v>1.56014513</v>
      </c>
      <c r="Q62" s="18" t="n">
        <v>3.07683026</v>
      </c>
      <c r="R62" s="20" t="n">
        <v>0.6536009</v>
      </c>
      <c r="S62" s="18" t="s">
        <v>349</v>
      </c>
      <c r="T62" s="20" t="s">
        <v>349</v>
      </c>
      <c r="U62" s="18" t="n">
        <v>0</v>
      </c>
      <c r="V62" s="20" t="n">
        <v>0</v>
      </c>
      <c r="W62" s="18" t="n">
        <v>0.18354134</v>
      </c>
      <c r="X62" s="20" t="n">
        <v>0.18305248</v>
      </c>
      <c r="Y62" s="18" t="n">
        <v>0</v>
      </c>
      <c r="Z62" s="20" t="n">
        <v>0</v>
      </c>
      <c r="AA62" s="18" t="n">
        <v>10.54415028</v>
      </c>
      <c r="AB62" s="20" t="n">
        <v>1.21235192</v>
      </c>
    </row>
    <row r="63" spans="1:2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c r="Y63" s="18" t="s">
        <v>349</v>
      </c>
      <c r="Z63" s="20" t="s">
        <v>349</v>
      </c>
      <c r="AA63" s="18" t="s">
        <v>349</v>
      </c>
      <c r="AB63" s="20" t="s">
        <v>349</v>
      </c>
    </row>
    <row r="64" spans="1:2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c r="Y64" s="18" t="s">
        <v>349</v>
      </c>
      <c r="Z64" s="20" t="s">
        <v>349</v>
      </c>
      <c r="AA64" s="18" t="s">
        <v>349</v>
      </c>
      <c r="AB64" s="20" t="s">
        <v>349</v>
      </c>
    </row>
    <row r="65" spans="1:2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c r="Y65" s="18" t="s">
        <v>349</v>
      </c>
      <c r="Z65" s="20" t="s">
        <v>349</v>
      </c>
      <c r="AA65" s="18" t="s">
        <v>349</v>
      </c>
      <c r="AB65" s="20" t="s">
        <v>349</v>
      </c>
    </row>
    <row r="66" spans="1:28">
      <c r="A66" s="15" t="s">
        <v>408</v>
      </c>
      <c r="B66" s="17" t="n">
        <v>5665</v>
      </c>
      <c r="C66" s="18">
        <f>(4964.0/B66*100)</f>
        <v/>
      </c>
      <c r="D66" s="19" t="n">
        <v>701</v>
      </c>
      <c r="E66" s="18" t="n">
        <v>32.51291015</v>
      </c>
      <c r="F66" s="20" t="n">
        <v>1.84313035</v>
      </c>
      <c r="G66" s="18" t="n">
        <v>0.42795964</v>
      </c>
      <c r="H66" s="20" t="n">
        <v>0.24801463</v>
      </c>
      <c r="I66" s="18" t="n">
        <v>5.52481236</v>
      </c>
      <c r="J66" s="20" t="n">
        <v>0.87933505</v>
      </c>
      <c r="K66" s="18" t="n">
        <v>1.3490949</v>
      </c>
      <c r="L66" s="20" t="n">
        <v>0.4221457</v>
      </c>
      <c r="M66" s="18" t="n">
        <v>0</v>
      </c>
      <c r="N66" s="20" t="n">
        <v>0</v>
      </c>
      <c r="O66" s="18" t="n">
        <v>1.64201524</v>
      </c>
      <c r="P66" s="20" t="n">
        <v>0.5280172400000001</v>
      </c>
      <c r="Q66" s="18" t="n">
        <v>2.14545959</v>
      </c>
      <c r="R66" s="20" t="n">
        <v>0.5015127700000001</v>
      </c>
      <c r="S66" s="18" t="s">
        <v>349</v>
      </c>
      <c r="T66" s="20" t="s">
        <v>349</v>
      </c>
      <c r="U66" s="18" t="n">
        <v>1.05984991</v>
      </c>
      <c r="V66" s="20" t="n">
        <v>0.39258702</v>
      </c>
      <c r="W66" s="18" t="n">
        <v>0.37385587</v>
      </c>
      <c r="X66" s="20" t="n">
        <v>0.21455215</v>
      </c>
      <c r="Y66" s="18" t="n">
        <v>0</v>
      </c>
      <c r="Z66" s="20" t="n">
        <v>0</v>
      </c>
      <c r="AA66" s="18" t="n">
        <v>54.96404232</v>
      </c>
      <c r="AB66" s="20" t="n">
        <v>1.90866101</v>
      </c>
    </row>
    <row r="67" spans="1:28">
      <c r="A67" s="15" t="s">
        <v>409</v>
      </c>
      <c r="B67" s="17" t="n">
        <v>6971</v>
      </c>
      <c r="C67" s="18">
        <f>(6158.0/B67*100)</f>
        <v/>
      </c>
      <c r="D67" s="19" t="n">
        <v>813</v>
      </c>
      <c r="E67" s="18" t="n">
        <v>56.15154893</v>
      </c>
      <c r="F67" s="20" t="n">
        <v>1.96591825</v>
      </c>
      <c r="G67" s="18" t="n">
        <v>0.23419451</v>
      </c>
      <c r="H67" s="20" t="n">
        <v>0.16602108</v>
      </c>
      <c r="I67" s="18" t="n">
        <v>1.47391167</v>
      </c>
      <c r="J67" s="20" t="n">
        <v>0.43561797</v>
      </c>
      <c r="K67" s="18" t="n">
        <v>0.35783023</v>
      </c>
      <c r="L67" s="20" t="n">
        <v>0.20549029</v>
      </c>
      <c r="M67" s="18" t="n">
        <v>0</v>
      </c>
      <c r="N67" s="20" t="n">
        <v>0</v>
      </c>
      <c r="O67" s="18" t="n">
        <v>0.80987562</v>
      </c>
      <c r="P67" s="20" t="n">
        <v>0.30284504</v>
      </c>
      <c r="Q67" s="18" t="n">
        <v>4.26872933</v>
      </c>
      <c r="R67" s="20" t="n">
        <v>0.68618722</v>
      </c>
      <c r="S67" s="18" t="s">
        <v>349</v>
      </c>
      <c r="T67" s="20" t="s">
        <v>349</v>
      </c>
      <c r="U67" s="18" t="n">
        <v>0</v>
      </c>
      <c r="V67" s="20" t="n">
        <v>0</v>
      </c>
      <c r="W67" s="18" t="n">
        <v>0.8515827500000001</v>
      </c>
      <c r="X67" s="20" t="n">
        <v>0.36564998</v>
      </c>
      <c r="Y67" s="18" t="n">
        <v>0</v>
      </c>
      <c r="Z67" s="20" t="n">
        <v>0</v>
      </c>
      <c r="AA67" s="18" t="n">
        <v>35.85232696</v>
      </c>
      <c r="AB67" s="20" t="n">
        <v>1.96043866</v>
      </c>
    </row>
    <row r="68" spans="1:28">
      <c r="A68" s="15" t="s">
        <v>410</v>
      </c>
      <c r="B68" s="17" t="n">
        <v>12083</v>
      </c>
      <c r="C68" s="18">
        <f>(10062.0/B68*100)</f>
        <v/>
      </c>
      <c r="D68" s="19" t="n">
        <v>2021</v>
      </c>
      <c r="E68" s="18" t="n">
        <v>62.81199459</v>
      </c>
      <c r="F68" s="20" t="n">
        <v>1.05006335</v>
      </c>
      <c r="G68" s="18" t="n">
        <v>0.34235757</v>
      </c>
      <c r="H68" s="20" t="n">
        <v>0.11170855</v>
      </c>
      <c r="I68" s="18" t="n">
        <v>1.99675189</v>
      </c>
      <c r="J68" s="20" t="n">
        <v>0.32202549</v>
      </c>
      <c r="K68" s="18" t="n">
        <v>1.39628966</v>
      </c>
      <c r="L68" s="20" t="n">
        <v>0.25668704</v>
      </c>
      <c r="M68" s="18" t="n">
        <v>0.28241809</v>
      </c>
      <c r="N68" s="20" t="n">
        <v>0.11501885</v>
      </c>
      <c r="O68" s="18" t="n">
        <v>2.22741842</v>
      </c>
      <c r="P68" s="20" t="n">
        <v>0.31092948</v>
      </c>
      <c r="Q68" s="18" t="n">
        <v>2.38967026</v>
      </c>
      <c r="R68" s="20" t="n">
        <v>0.29459584</v>
      </c>
      <c r="S68" s="18" t="s">
        <v>349</v>
      </c>
      <c r="T68" s="20" t="s">
        <v>349</v>
      </c>
      <c r="U68" s="18" t="n">
        <v>2.16790435</v>
      </c>
      <c r="V68" s="20" t="n">
        <v>0.28433712</v>
      </c>
      <c r="W68" s="18" t="n">
        <v>0.04757191</v>
      </c>
      <c r="X68" s="20" t="n">
        <v>0.04757614</v>
      </c>
      <c r="Y68" s="18" t="n">
        <v>0</v>
      </c>
      <c r="Z68" s="20" t="n">
        <v>0</v>
      </c>
      <c r="AA68" s="18" t="n">
        <v>26.33762326</v>
      </c>
      <c r="AB68" s="20" t="n">
        <v>1.03427391</v>
      </c>
    </row>
    <row r="69" spans="1:2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c r="Y69" s="18" t="s">
        <v>349</v>
      </c>
      <c r="Z69" s="20" t="s">
        <v>349</v>
      </c>
      <c r="AA69" s="18" t="s">
        <v>349</v>
      </c>
      <c r="AB69" s="20" t="s">
        <v>349</v>
      </c>
    </row>
    <row r="70" spans="1:28">
      <c r="A70" s="15" t="s">
        <v>412</v>
      </c>
      <c r="B70" s="17" t="n">
        <v>6036</v>
      </c>
      <c r="C70" s="18">
        <f>(5294.0/B70*100)</f>
        <v/>
      </c>
      <c r="D70" s="19" t="n">
        <v>742</v>
      </c>
      <c r="E70" s="18" t="n">
        <v>56.66114983</v>
      </c>
      <c r="F70" s="20" t="n">
        <v>2.36082629</v>
      </c>
      <c r="G70" s="18" t="n">
        <v>0.63850401</v>
      </c>
      <c r="H70" s="20" t="n">
        <v>0.29139153</v>
      </c>
      <c r="I70" s="18" t="n">
        <v>2.75169224</v>
      </c>
      <c r="J70" s="20" t="n">
        <v>0.67639352</v>
      </c>
      <c r="K70" s="18" t="n">
        <v>1.09285257</v>
      </c>
      <c r="L70" s="20" t="n">
        <v>0.50407547</v>
      </c>
      <c r="M70" s="18" t="n">
        <v>0.51989794</v>
      </c>
      <c r="N70" s="20" t="n">
        <v>0.51344596</v>
      </c>
      <c r="O70" s="18" t="n">
        <v>5.08868503</v>
      </c>
      <c r="P70" s="20" t="n">
        <v>0.9746039399999999</v>
      </c>
      <c r="Q70" s="18" t="n">
        <v>4.19027379</v>
      </c>
      <c r="R70" s="20" t="n">
        <v>0.86516693</v>
      </c>
      <c r="S70" s="18" t="s">
        <v>349</v>
      </c>
      <c r="T70" s="20" t="s">
        <v>349</v>
      </c>
      <c r="U70" s="18" t="n">
        <v>0</v>
      </c>
      <c r="V70" s="20" t="n">
        <v>0</v>
      </c>
      <c r="W70" s="18" t="n">
        <v>0.91959244</v>
      </c>
      <c r="X70" s="20" t="n">
        <v>0.29388272</v>
      </c>
      <c r="Y70" s="18" t="n">
        <v>0</v>
      </c>
      <c r="Z70" s="20" t="n">
        <v>0</v>
      </c>
      <c r="AA70" s="18" t="n">
        <v>28.13735215</v>
      </c>
      <c r="AB70" s="20" t="n">
        <v>1.74815258</v>
      </c>
    </row>
    <row r="71" spans="1:28">
      <c r="A71" s="15" t="s">
        <v>413</v>
      </c>
      <c r="B71" s="17" t="n">
        <v>6115</v>
      </c>
      <c r="C71" s="18">
        <f>(5366.0/B71*100)</f>
        <v/>
      </c>
      <c r="D71" s="19" t="n">
        <v>749</v>
      </c>
      <c r="E71" s="18" t="n">
        <v>37.44445052</v>
      </c>
      <c r="F71" s="20" t="n">
        <v>1.63449903</v>
      </c>
      <c r="G71" s="18" t="n">
        <v>4.80200965</v>
      </c>
      <c r="H71" s="20" t="n">
        <v>0.83576932</v>
      </c>
      <c r="I71" s="18" t="n">
        <v>14.07143731</v>
      </c>
      <c r="J71" s="20" t="n">
        <v>1.06756611</v>
      </c>
      <c r="K71" s="18" t="n">
        <v>2.51060212</v>
      </c>
      <c r="L71" s="20" t="n">
        <v>0.52578829</v>
      </c>
      <c r="M71" s="18" t="n">
        <v>0</v>
      </c>
      <c r="N71" s="20" t="n">
        <v>0</v>
      </c>
      <c r="O71" s="18" t="n">
        <v>30.30593642</v>
      </c>
      <c r="P71" s="20" t="n">
        <v>1.75909627</v>
      </c>
      <c r="Q71" s="18" t="n">
        <v>1.82428162</v>
      </c>
      <c r="R71" s="20" t="n">
        <v>0.54643535</v>
      </c>
      <c r="S71" s="18" t="s">
        <v>349</v>
      </c>
      <c r="T71" s="20" t="s">
        <v>349</v>
      </c>
      <c r="U71" s="18" t="n">
        <v>0.31475906</v>
      </c>
      <c r="V71" s="20" t="n">
        <v>0.18973836</v>
      </c>
      <c r="W71" s="18" t="n">
        <v>0</v>
      </c>
      <c r="X71" s="20" t="n">
        <v>0</v>
      </c>
      <c r="Y71" s="18" t="n">
        <v>0</v>
      </c>
      <c r="Z71" s="20" t="n">
        <v>0</v>
      </c>
      <c r="AA71" s="18" t="n">
        <v>8.726523289999999</v>
      </c>
      <c r="AB71" s="20" t="n">
        <v>0.91751259</v>
      </c>
    </row>
    <row r="72" spans="1:28">
      <c r="A72" s="15" t="s">
        <v>414</v>
      </c>
      <c r="B72" s="17" t="n">
        <v>7708</v>
      </c>
      <c r="C72" s="18">
        <f>(6766.0/B72*100)</f>
        <v/>
      </c>
      <c r="D72" s="19" t="n">
        <v>942</v>
      </c>
      <c r="E72" s="18" t="n">
        <v>64.93189133</v>
      </c>
      <c r="F72" s="20" t="n">
        <v>1.54781902</v>
      </c>
      <c r="G72" s="18" t="n">
        <v>1.424585</v>
      </c>
      <c r="H72" s="20" t="n">
        <v>0.39388445</v>
      </c>
      <c r="I72" s="18" t="n">
        <v>3.16159083</v>
      </c>
      <c r="J72" s="20" t="n">
        <v>0.56132855</v>
      </c>
      <c r="K72" s="18" t="n">
        <v>0.78118515</v>
      </c>
      <c r="L72" s="20" t="n">
        <v>0.29322891</v>
      </c>
      <c r="M72" s="18" t="n">
        <v>0.30232419</v>
      </c>
      <c r="N72" s="20" t="n">
        <v>0.14454242</v>
      </c>
      <c r="O72" s="18" t="n">
        <v>12.82269756</v>
      </c>
      <c r="P72" s="20" t="n">
        <v>1.14737722</v>
      </c>
      <c r="Q72" s="18" t="n">
        <v>3.44300318</v>
      </c>
      <c r="R72" s="20" t="n">
        <v>0.63561791</v>
      </c>
      <c r="S72" s="18" t="s">
        <v>349</v>
      </c>
      <c r="T72" s="20" t="s">
        <v>349</v>
      </c>
      <c r="U72" s="18" t="n">
        <v>0</v>
      </c>
      <c r="V72" s="20" t="n">
        <v>0</v>
      </c>
      <c r="W72" s="18" t="n">
        <v>0</v>
      </c>
      <c r="X72" s="20" t="n">
        <v>0</v>
      </c>
      <c r="Y72" s="18" t="n">
        <v>0</v>
      </c>
      <c r="Z72" s="20" t="n">
        <v>0</v>
      </c>
      <c r="AA72" s="18" t="n">
        <v>13.13272276</v>
      </c>
      <c r="AB72" s="20" t="n">
        <v>1.1293123</v>
      </c>
    </row>
    <row r="73" spans="1:28">
      <c r="A73" s="15" t="s">
        <v>415</v>
      </c>
      <c r="B73" s="17" t="n">
        <v>8249</v>
      </c>
      <c r="C73" s="18">
        <f>(7277.0/B73*100)</f>
        <v/>
      </c>
      <c r="D73" s="19" t="n">
        <v>972</v>
      </c>
      <c r="E73" s="18" t="n">
        <v>80.68973084</v>
      </c>
      <c r="F73" s="20" t="n">
        <v>1.67939857</v>
      </c>
      <c r="G73" s="18" t="n">
        <v>0.52919237</v>
      </c>
      <c r="H73" s="20" t="n">
        <v>0.2525351</v>
      </c>
      <c r="I73" s="18" t="n">
        <v>3.45459833</v>
      </c>
      <c r="J73" s="20" t="n">
        <v>0.78089617</v>
      </c>
      <c r="K73" s="18" t="n">
        <v>0.56563282</v>
      </c>
      <c r="L73" s="20" t="n">
        <v>0.21287888</v>
      </c>
      <c r="M73" s="18" t="n">
        <v>0.30959032</v>
      </c>
      <c r="N73" s="20" t="n">
        <v>0.21492513</v>
      </c>
      <c r="O73" s="18" t="n">
        <v>1.91770497</v>
      </c>
      <c r="P73" s="20" t="n">
        <v>0.55297359</v>
      </c>
      <c r="Q73" s="18" t="n">
        <v>2.1963842</v>
      </c>
      <c r="R73" s="20" t="n">
        <v>0.53650648</v>
      </c>
      <c r="S73" s="18" t="s">
        <v>349</v>
      </c>
      <c r="T73" s="20" t="s">
        <v>349</v>
      </c>
      <c r="U73" s="18" t="n">
        <v>0</v>
      </c>
      <c r="V73" s="20" t="n">
        <v>0</v>
      </c>
      <c r="W73" s="18" t="n">
        <v>0.00434605</v>
      </c>
      <c r="X73" s="20" t="n">
        <v>0.00433771</v>
      </c>
      <c r="Y73" s="18" t="n">
        <v>0</v>
      </c>
      <c r="Z73" s="20" t="n">
        <v>0</v>
      </c>
      <c r="AA73" s="18" t="n">
        <v>10.33282009</v>
      </c>
      <c r="AB73" s="20" t="n">
        <v>1.28007026</v>
      </c>
    </row>
    <row r="74" spans="1:2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c r="Y74" s="18" t="s">
        <v>349</v>
      </c>
      <c r="Z74" s="20" t="s">
        <v>349</v>
      </c>
      <c r="AA74" s="18" t="s">
        <v>349</v>
      </c>
      <c r="AB74" s="20" t="s">
        <v>349</v>
      </c>
    </row>
    <row r="75" spans="1:28">
      <c r="A75" s="15" t="s">
        <v>417</v>
      </c>
      <c r="B75" s="17" t="n">
        <v>5375</v>
      </c>
      <c r="C75" s="18">
        <f>(4763.0/B75*100)</f>
        <v/>
      </c>
      <c r="D75" s="19" t="n">
        <v>612</v>
      </c>
      <c r="E75" s="18" t="n">
        <v>56.96938108</v>
      </c>
      <c r="F75" s="20" t="n">
        <v>2.31924649</v>
      </c>
      <c r="G75" s="18" t="n">
        <v>0.19507995</v>
      </c>
      <c r="H75" s="20" t="n">
        <v>0.13651189</v>
      </c>
      <c r="I75" s="18" t="n">
        <v>0</v>
      </c>
      <c r="J75" s="20" t="n">
        <v>0</v>
      </c>
      <c r="K75" s="18" t="n">
        <v>0</v>
      </c>
      <c r="L75" s="20" t="n">
        <v>0</v>
      </c>
      <c r="M75" s="18" t="n">
        <v>0.18445105</v>
      </c>
      <c r="N75" s="20" t="n">
        <v>0.16385372</v>
      </c>
      <c r="O75" s="18" t="n">
        <v>0.46682654</v>
      </c>
      <c r="P75" s="20" t="n">
        <v>0.29191004</v>
      </c>
      <c r="Q75" s="18" t="n">
        <v>2.85970403</v>
      </c>
      <c r="R75" s="20" t="n">
        <v>0.6328077</v>
      </c>
      <c r="S75" s="18" t="s">
        <v>349</v>
      </c>
      <c r="T75" s="20" t="s">
        <v>349</v>
      </c>
      <c r="U75" s="18" t="n">
        <v>1.91598637</v>
      </c>
      <c r="V75" s="20" t="n">
        <v>0.58056561</v>
      </c>
      <c r="W75" s="18" t="n">
        <v>0.82484496</v>
      </c>
      <c r="X75" s="20" t="n">
        <v>0.38470355</v>
      </c>
      <c r="Y75" s="18" t="n">
        <v>0</v>
      </c>
      <c r="Z75" s="20" t="n">
        <v>0</v>
      </c>
      <c r="AA75" s="18" t="n">
        <v>36.58372602</v>
      </c>
      <c r="AB75" s="20" t="n">
        <v>2.14663267</v>
      </c>
    </row>
    <row r="76" spans="1:28">
      <c r="A76" s="15" t="s">
        <v>418</v>
      </c>
      <c r="B76" s="17" t="n">
        <v>14167</v>
      </c>
      <c r="C76" s="18">
        <f>(12417.0/B76*100)</f>
        <v/>
      </c>
      <c r="D76" s="19" t="n">
        <v>1750</v>
      </c>
      <c r="E76" s="18" t="n">
        <v>70.25361336</v>
      </c>
      <c r="F76" s="20" t="n">
        <v>1.3574682</v>
      </c>
      <c r="G76" s="18" t="n">
        <v>0.87041185</v>
      </c>
      <c r="H76" s="20" t="n">
        <v>0.22581584</v>
      </c>
      <c r="I76" s="18" t="n">
        <v>1.81024861</v>
      </c>
      <c r="J76" s="20" t="n">
        <v>0.55545568</v>
      </c>
      <c r="K76" s="18" t="n">
        <v>0.21555355</v>
      </c>
      <c r="L76" s="20" t="n">
        <v>0.15135278</v>
      </c>
      <c r="M76" s="18" t="n">
        <v>0.69805366</v>
      </c>
      <c r="N76" s="20" t="n">
        <v>0.2450468</v>
      </c>
      <c r="O76" s="18" t="n">
        <v>4.7332513</v>
      </c>
      <c r="P76" s="20" t="n">
        <v>0.65151503</v>
      </c>
      <c r="Q76" s="18" t="n">
        <v>3.81071342</v>
      </c>
      <c r="R76" s="20" t="n">
        <v>0.50478416</v>
      </c>
      <c r="S76" s="18" t="s">
        <v>349</v>
      </c>
      <c r="T76" s="20" t="s">
        <v>349</v>
      </c>
      <c r="U76" s="18" t="n">
        <v>0.48526792</v>
      </c>
      <c r="V76" s="20" t="n">
        <v>0.19040835</v>
      </c>
      <c r="W76" s="18" t="n">
        <v>0.14436353</v>
      </c>
      <c r="X76" s="20" t="n">
        <v>0.06962979</v>
      </c>
      <c r="Y76" s="18" t="n">
        <v>0</v>
      </c>
      <c r="Z76" s="20" t="n">
        <v>0</v>
      </c>
      <c r="AA76" s="18" t="n">
        <v>16.97852281</v>
      </c>
      <c r="AB76" s="20" t="n">
        <v>1.18466806</v>
      </c>
    </row>
    <row r="77" spans="1:28">
      <c r="A77" s="15" t="s">
        <v>419</v>
      </c>
      <c r="B77" s="17" t="n">
        <v>6062</v>
      </c>
      <c r="C77" s="18">
        <f>(5355.0/B77*100)</f>
        <v/>
      </c>
      <c r="D77" s="19" t="n">
        <v>707</v>
      </c>
      <c r="E77" s="18" t="n">
        <v>32.64779429</v>
      </c>
      <c r="F77" s="20" t="n">
        <v>1.94050789</v>
      </c>
      <c r="G77" s="18" t="n">
        <v>0.42286302</v>
      </c>
      <c r="H77" s="20" t="n">
        <v>0.25541711</v>
      </c>
      <c r="I77" s="18" t="n">
        <v>5.23018258</v>
      </c>
      <c r="J77" s="20" t="n">
        <v>0.97026681</v>
      </c>
      <c r="K77" s="18" t="n">
        <v>0.14831242</v>
      </c>
      <c r="L77" s="20" t="n">
        <v>0.14557009</v>
      </c>
      <c r="M77" s="18" t="n">
        <v>0.2832191</v>
      </c>
      <c r="N77" s="20" t="n">
        <v>0.20718501</v>
      </c>
      <c r="O77" s="18" t="n">
        <v>2.1972245</v>
      </c>
      <c r="P77" s="20" t="n">
        <v>0.50320255</v>
      </c>
      <c r="Q77" s="18" t="n">
        <v>1.17250598</v>
      </c>
      <c r="R77" s="20" t="n">
        <v>0.3445354</v>
      </c>
      <c r="S77" s="18" t="s">
        <v>349</v>
      </c>
      <c r="T77" s="20" t="s">
        <v>349</v>
      </c>
      <c r="U77" s="18" t="n">
        <v>0.65272312</v>
      </c>
      <c r="V77" s="20" t="n">
        <v>0.36727625</v>
      </c>
      <c r="W77" s="18" t="n">
        <v>5.98947186</v>
      </c>
      <c r="X77" s="20" t="n">
        <v>1.05834334</v>
      </c>
      <c r="Y77" s="18" t="n">
        <v>0</v>
      </c>
      <c r="Z77" s="20" t="n">
        <v>0</v>
      </c>
      <c r="AA77" s="18" t="n">
        <v>51.25570313</v>
      </c>
      <c r="AB77" s="20" t="n">
        <v>2.16525239</v>
      </c>
    </row>
    <row r="78" spans="1:2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c r="Y78" s="18" t="s">
        <v>349</v>
      </c>
      <c r="Z78" s="20" t="s">
        <v>349</v>
      </c>
      <c r="AA78" s="18" t="s">
        <v>349</v>
      </c>
      <c r="AB78" s="20" t="s">
        <v>349</v>
      </c>
    </row>
    <row customHeight="1" ht="25" r="79" spans="1:2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c r="Y79" s="18" t="s">
        <v>349</v>
      </c>
      <c r="Z79" s="20" t="s">
        <v>349</v>
      </c>
      <c r="AA79" s="18" t="s">
        <v>349</v>
      </c>
      <c r="AB79" s="20" t="s">
        <v>349</v>
      </c>
    </row>
    <row r="80" spans="1:2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row>
    <row r="81" spans="1:28">
      <c r="A81" s="21" t="s">
        <v>423</v>
      </c>
      <c r="B81" s="17" t="n">
        <v>8861</v>
      </c>
      <c r="C81" s="18">
        <f>(7791.0/B81*100)</f>
        <v/>
      </c>
      <c r="D81" s="19" t="n">
        <v>1070</v>
      </c>
      <c r="E81" s="18" t="n">
        <v>72.87703858</v>
      </c>
      <c r="F81" s="20" t="n">
        <v>1.96366248</v>
      </c>
      <c r="G81" s="18" t="n">
        <v>0.85771287</v>
      </c>
      <c r="H81" s="20" t="n">
        <v>0.36964599</v>
      </c>
      <c r="I81" s="18" t="n">
        <v>3.49605858</v>
      </c>
      <c r="J81" s="20" t="n">
        <v>0.63574784</v>
      </c>
      <c r="K81" s="18" t="n">
        <v>0.6278051</v>
      </c>
      <c r="L81" s="20" t="n">
        <v>0.28834516</v>
      </c>
      <c r="M81" s="18" t="n">
        <v>0.40658846</v>
      </c>
      <c r="N81" s="20" t="n">
        <v>0.22965347</v>
      </c>
      <c r="O81" s="18" t="n">
        <v>6.31754712</v>
      </c>
      <c r="P81" s="20" t="n">
        <v>0.92872177</v>
      </c>
      <c r="Q81" s="18" t="n">
        <v>3.9310865</v>
      </c>
      <c r="R81" s="20" t="n">
        <v>0.72099899</v>
      </c>
      <c r="S81" s="18" t="s">
        <v>349</v>
      </c>
      <c r="T81" s="20" t="s">
        <v>349</v>
      </c>
      <c r="U81" s="18" t="n">
        <v>0.14145084</v>
      </c>
      <c r="V81" s="20" t="n">
        <v>0.1325994</v>
      </c>
      <c r="W81" s="18" t="n">
        <v>0</v>
      </c>
      <c r="X81" s="20" t="n">
        <v>0</v>
      </c>
      <c r="Y81" s="18" t="n">
        <v>0</v>
      </c>
      <c r="Z81" s="20" t="n">
        <v>0</v>
      </c>
      <c r="AA81" s="18" t="n">
        <v>11.34471196</v>
      </c>
      <c r="AB81" s="20" t="n">
        <v>1.2739693</v>
      </c>
    </row>
    <row r="82" spans="1:2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row>
    <row r="83" spans="1:28">
      <c r="A83" s="3" t="s">
        <v>425</v>
      </c>
    </row>
    <row r="84" spans="1:28">
      <c r="A84" s="23" t="s">
        <v>426</v>
      </c>
    </row>
    <row r="85" spans="1:28">
      <c r="A85" s="23" t="s">
        <v>427</v>
      </c>
    </row>
    <row customHeight="1" ht="30" r="86" spans="1:28">
      <c r="A86" s="23" t="s">
        <v>428</v>
      </c>
    </row>
    <row customHeight="1" ht="30" r="87" spans="1:28">
      <c r="A87" s="23" t="s">
        <v>424</v>
      </c>
    </row>
    <row customHeight="1" ht="30" r="88" spans="1:28">
      <c r="A88" s="23" t="s">
        <v>429</v>
      </c>
    </row>
    <row customHeight="1" ht="30" r="89" spans="1:28">
      <c r="A89" s="23" t="s">
        <v>430</v>
      </c>
    </row>
    <row customHeight="1" ht="30" r="90" spans="1:28">
      <c r="A90" s="23" t="s">
        <v>431</v>
      </c>
    </row>
    <row customHeight="1" ht="30" r="91" spans="1:28">
      <c r="A91" s="23" t="s">
        <v>432</v>
      </c>
    </row>
    <row customHeight="1" ht="30" r="92" spans="1:28">
      <c r="A92" s="23" t="s">
        <v>433</v>
      </c>
    </row>
    <row customHeight="1" ht="30" r="93" spans="1:28">
      <c r="A93" s="23" t="s">
        <v>434</v>
      </c>
    </row>
    <row customHeight="1" ht="30" r="94" spans="1:28">
      <c r="A94" s="23" t="s">
        <v>435</v>
      </c>
    </row>
    <row customHeight="1" ht="30" r="95" spans="1:28">
      <c r="A95" s="23" t="s">
        <v>436</v>
      </c>
    </row>
    <row customHeight="1" ht="30" r="96" spans="1:28">
      <c r="A96" s="23" t="s">
        <v>437</v>
      </c>
    </row>
  </sheetData>
  <mergeCells count="27">
    <mergeCell ref="E4:F4"/>
    <mergeCell ref="G4:H4"/>
    <mergeCell ref="I4:J4"/>
    <mergeCell ref="K4:L4"/>
    <mergeCell ref="M4:N4"/>
    <mergeCell ref="O4:P4"/>
    <mergeCell ref="Q4:R4"/>
    <mergeCell ref="S4:T4"/>
    <mergeCell ref="U4:V4"/>
    <mergeCell ref="W4:X4"/>
    <mergeCell ref="Y4:Z4"/>
    <mergeCell ref="AA4:AB4"/>
    <mergeCell ref="A1:AB1"/>
    <mergeCell ref="A2:AB2"/>
    <mergeCell ref="A84:AB84"/>
    <mergeCell ref="A85:AB85"/>
    <mergeCell ref="A86:AB86"/>
    <mergeCell ref="A87:AB87"/>
    <mergeCell ref="A88:AB88"/>
    <mergeCell ref="A89:AB89"/>
    <mergeCell ref="A90:AB90"/>
    <mergeCell ref="A91:AB91"/>
    <mergeCell ref="A92:AB92"/>
    <mergeCell ref="A93:AB93"/>
    <mergeCell ref="A94:AB94"/>
    <mergeCell ref="A95:AB95"/>
    <mergeCell ref="A96:AB96"/>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(12700.0/B7*100)</f>
        <v/>
      </c>
      <c r="D7" s="19" t="n">
        <v>1830</v>
      </c>
      <c r="E7" s="18" t="n">
        <v>39.43523244</v>
      </c>
      <c r="F7" s="20" t="n">
        <v>1.47164732</v>
      </c>
      <c r="G7" s="18" t="n">
        <v>58.2827632</v>
      </c>
      <c r="H7" s="20" t="n">
        <v>1.42946738</v>
      </c>
      <c r="I7" s="18" t="s">
        <v>349</v>
      </c>
      <c r="J7" s="20" t="s">
        <v>349</v>
      </c>
      <c r="K7" s="18" t="n">
        <v>0.7296946600000001</v>
      </c>
      <c r="L7" s="20" t="n">
        <v>0.22407265</v>
      </c>
      <c r="M7" s="18" t="n">
        <v>0</v>
      </c>
      <c r="N7" s="20" t="n">
        <v>0</v>
      </c>
      <c r="O7" s="18" t="n">
        <v>0</v>
      </c>
      <c r="P7" s="20" t="n">
        <v>0</v>
      </c>
      <c r="Q7" s="18" t="n">
        <v>1.5523097</v>
      </c>
      <c r="R7" s="20" t="n">
        <v>0.33078572</v>
      </c>
    </row>
    <row r="8" spans="1:18">
      <c r="A8" s="15" t="s">
        <v>350</v>
      </c>
      <c r="B8" s="17" t="n">
        <v>7007</v>
      </c>
      <c r="C8" s="18">
        <f>(6165.0/B8*100)</f>
        <v/>
      </c>
      <c r="D8" s="19" t="n">
        <v>842</v>
      </c>
      <c r="E8" s="18" t="n">
        <v>46.75188987</v>
      </c>
      <c r="F8" s="20" t="n">
        <v>1.91557283</v>
      </c>
      <c r="G8" s="18" t="n">
        <v>49.8516566</v>
      </c>
      <c r="H8" s="20" t="n">
        <v>1.86191808</v>
      </c>
      <c r="I8" s="18" t="s">
        <v>349</v>
      </c>
      <c r="J8" s="20" t="s">
        <v>349</v>
      </c>
      <c r="K8" s="18" t="n">
        <v>0.06239448</v>
      </c>
      <c r="L8" s="20" t="n">
        <v>0.06344365</v>
      </c>
      <c r="M8" s="18" t="n">
        <v>0</v>
      </c>
      <c r="N8" s="20" t="n">
        <v>0</v>
      </c>
      <c r="O8" s="18" t="n">
        <v>0</v>
      </c>
      <c r="P8" s="20" t="n">
        <v>0</v>
      </c>
      <c r="Q8" s="18" t="n">
        <v>3.33405905</v>
      </c>
      <c r="R8" s="20" t="n">
        <v>0.66662788</v>
      </c>
    </row>
    <row r="9" spans="1:18">
      <c r="A9" s="15" t="s">
        <v>351</v>
      </c>
      <c r="B9" s="17" t="n">
        <v>9651</v>
      </c>
      <c r="C9" s="18">
        <f>(8503.0/B9*100)</f>
        <v/>
      </c>
      <c r="D9" s="19" t="n">
        <v>1148</v>
      </c>
      <c r="E9" s="18" t="n">
        <v>46.09369663</v>
      </c>
      <c r="F9" s="20" t="n">
        <v>1.69544077</v>
      </c>
      <c r="G9" s="18" t="n">
        <v>51.71490995</v>
      </c>
      <c r="H9" s="20" t="n">
        <v>1.74715136</v>
      </c>
      <c r="I9" s="18" t="s">
        <v>349</v>
      </c>
      <c r="J9" s="20" t="s">
        <v>349</v>
      </c>
      <c r="K9" s="18" t="n">
        <v>0.18412616</v>
      </c>
      <c r="L9" s="20" t="n">
        <v>0.13494388</v>
      </c>
      <c r="M9" s="18" t="n">
        <v>0</v>
      </c>
      <c r="N9" s="20" t="n">
        <v>0</v>
      </c>
      <c r="O9" s="18" t="n">
        <v>0</v>
      </c>
      <c r="P9" s="20" t="n">
        <v>0</v>
      </c>
      <c r="Q9" s="18" t="n">
        <v>2.00726726</v>
      </c>
      <c r="R9" s="20" t="n">
        <v>0.4520604</v>
      </c>
    </row>
    <row r="10" spans="1:18">
      <c r="A10" s="15" t="s">
        <v>352</v>
      </c>
      <c r="B10" s="17" t="n">
        <v>20058</v>
      </c>
      <c r="C10" s="18">
        <f>(17636.0/B10*100)</f>
        <v/>
      </c>
      <c r="D10" s="19" t="n">
        <v>2422</v>
      </c>
      <c r="E10" s="18" t="n">
        <v>38.88259963</v>
      </c>
      <c r="F10" s="20" t="n">
        <v>1.33022949</v>
      </c>
      <c r="G10" s="18" t="n">
        <v>60.04705765</v>
      </c>
      <c r="H10" s="20" t="n">
        <v>1.336143</v>
      </c>
      <c r="I10" s="18" t="s">
        <v>349</v>
      </c>
      <c r="J10" s="20" t="s">
        <v>349</v>
      </c>
      <c r="K10" s="18" t="n">
        <v>0.11921372</v>
      </c>
      <c r="L10" s="20" t="n">
        <v>0.0536939</v>
      </c>
      <c r="M10" s="18" t="n">
        <v>0</v>
      </c>
      <c r="N10" s="20" t="n">
        <v>0</v>
      </c>
      <c r="O10" s="18" t="n">
        <v>0</v>
      </c>
      <c r="P10" s="20" t="n">
        <v>0</v>
      </c>
      <c r="Q10" s="18" t="n">
        <v>0.9511290100000001</v>
      </c>
      <c r="R10" s="20" t="n">
        <v>0.26265026</v>
      </c>
    </row>
    <row r="11" spans="1:18">
      <c r="A11" s="15" t="s">
        <v>353</v>
      </c>
      <c r="B11" s="17" t="n">
        <v>7053</v>
      </c>
      <c r="C11" s="18">
        <f>(6200.0/B11*100)</f>
        <v/>
      </c>
      <c r="D11" s="19" t="n">
        <v>853</v>
      </c>
      <c r="E11" s="18" t="n">
        <v>52.86117197</v>
      </c>
      <c r="F11" s="20" t="n">
        <v>1.9948797</v>
      </c>
      <c r="G11" s="18" t="n">
        <v>42.35226725</v>
      </c>
      <c r="H11" s="20" t="n">
        <v>1.95098631</v>
      </c>
      <c r="I11" s="18" t="s">
        <v>349</v>
      </c>
      <c r="J11" s="20" t="s">
        <v>349</v>
      </c>
      <c r="K11" s="18" t="n">
        <v>0.50830983</v>
      </c>
      <c r="L11" s="20" t="n">
        <v>0.21395485</v>
      </c>
      <c r="M11" s="18" t="n">
        <v>0</v>
      </c>
      <c r="N11" s="20" t="n">
        <v>0</v>
      </c>
      <c r="O11" s="18" t="n">
        <v>0</v>
      </c>
      <c r="P11" s="20" t="n">
        <v>0</v>
      </c>
      <c r="Q11" s="18" t="n">
        <v>4.27825095</v>
      </c>
      <c r="R11" s="20" t="n">
        <v>0.7981097</v>
      </c>
    </row>
    <row r="12" spans="1:18">
      <c r="A12" s="15" t="s">
        <v>354</v>
      </c>
      <c r="B12" s="17" t="n">
        <v>6894</v>
      </c>
      <c r="C12" s="18">
        <f>(6074.0/B12*100)</f>
        <v/>
      </c>
      <c r="D12" s="19" t="n">
        <v>820</v>
      </c>
      <c r="E12" s="18" t="n">
        <v>45.28072114</v>
      </c>
      <c r="F12" s="20" t="n">
        <v>2.09430083</v>
      </c>
      <c r="G12" s="18" t="n">
        <v>52.83868275</v>
      </c>
      <c r="H12" s="20" t="n">
        <v>1.96989188</v>
      </c>
      <c r="I12" s="18" t="s">
        <v>349</v>
      </c>
      <c r="J12" s="20" t="s">
        <v>349</v>
      </c>
      <c r="K12" s="18" t="n">
        <v>0</v>
      </c>
      <c r="L12" s="20" t="n">
        <v>0</v>
      </c>
      <c r="M12" s="18" t="n">
        <v>0</v>
      </c>
      <c r="N12" s="20" t="n">
        <v>0</v>
      </c>
      <c r="O12" s="18" t="n">
        <v>0</v>
      </c>
      <c r="P12" s="20" t="n">
        <v>0</v>
      </c>
      <c r="Q12" s="18" t="n">
        <v>1.8805961</v>
      </c>
      <c r="R12" s="20" t="n">
        <v>0.55475529</v>
      </c>
    </row>
    <row r="13" spans="1:18">
      <c r="A13" s="15" t="s">
        <v>355</v>
      </c>
      <c r="B13" s="17" t="n">
        <v>7161</v>
      </c>
      <c r="C13" s="18">
        <f>(6338.0/B13*100)</f>
        <v/>
      </c>
      <c r="D13" s="19" t="n">
        <v>823</v>
      </c>
      <c r="E13" s="18" t="n">
        <v>37.78275545</v>
      </c>
      <c r="F13" s="20" t="n">
        <v>1.83409997</v>
      </c>
      <c r="G13" s="18" t="n">
        <v>60.07906108</v>
      </c>
      <c r="H13" s="20" t="n">
        <v>1.84756044</v>
      </c>
      <c r="I13" s="18" t="s">
        <v>349</v>
      </c>
      <c r="J13" s="20" t="s">
        <v>349</v>
      </c>
      <c r="K13" s="18" t="n">
        <v>0.5138104999999999</v>
      </c>
      <c r="L13" s="20" t="n">
        <v>0.32617573</v>
      </c>
      <c r="M13" s="18" t="n">
        <v>0</v>
      </c>
      <c r="N13" s="20" t="n">
        <v>0</v>
      </c>
      <c r="O13" s="18" t="n">
        <v>0</v>
      </c>
      <c r="P13" s="20" t="n">
        <v>0</v>
      </c>
      <c r="Q13" s="18" t="n">
        <v>1.62437296</v>
      </c>
      <c r="R13" s="20" t="n">
        <v>0.53291177</v>
      </c>
    </row>
    <row r="14" spans="1:18">
      <c r="A14" s="15" t="s">
        <v>356</v>
      </c>
      <c r="B14" s="17" t="n">
        <v>5587</v>
      </c>
      <c r="C14" s="18">
        <f>(4889.0/B14*100)</f>
        <v/>
      </c>
      <c r="D14" s="19" t="n">
        <v>698</v>
      </c>
      <c r="E14" s="18" t="n">
        <v>37.44964566</v>
      </c>
      <c r="F14" s="20" t="n">
        <v>1.72734694</v>
      </c>
      <c r="G14" s="18" t="n">
        <v>61.84050904</v>
      </c>
      <c r="H14" s="20" t="n">
        <v>1.73543303</v>
      </c>
      <c r="I14" s="18" t="s">
        <v>349</v>
      </c>
      <c r="J14" s="20" t="s">
        <v>349</v>
      </c>
      <c r="K14" s="18" t="n">
        <v>0</v>
      </c>
      <c r="L14" s="20" t="n">
        <v>0</v>
      </c>
      <c r="M14" s="18" t="n">
        <v>0</v>
      </c>
      <c r="N14" s="20" t="n">
        <v>0</v>
      </c>
      <c r="O14" s="18" t="n">
        <v>0</v>
      </c>
      <c r="P14" s="20" t="n">
        <v>0</v>
      </c>
      <c r="Q14" s="18" t="n">
        <v>0.70984531</v>
      </c>
      <c r="R14" s="20" t="n">
        <v>0.38185211</v>
      </c>
    </row>
    <row r="15" spans="1:18">
      <c r="A15" s="15" t="s">
        <v>357</v>
      </c>
      <c r="B15" s="17" t="n">
        <v>5882</v>
      </c>
      <c r="C15" s="18">
        <f>(5160.0/B15*100)</f>
        <v/>
      </c>
      <c r="D15" s="19" t="n">
        <v>722</v>
      </c>
      <c r="E15" s="18" t="n">
        <v>29.27678591</v>
      </c>
      <c r="F15" s="20" t="n">
        <v>1.69992297</v>
      </c>
      <c r="G15" s="18" t="n">
        <v>69.18027144</v>
      </c>
      <c r="H15" s="20" t="n">
        <v>1.81076755</v>
      </c>
      <c r="I15" s="18" t="s">
        <v>349</v>
      </c>
      <c r="J15" s="20" t="s">
        <v>349</v>
      </c>
      <c r="K15" s="18" t="n">
        <v>0</v>
      </c>
      <c r="L15" s="20" t="n">
        <v>0</v>
      </c>
      <c r="M15" s="18" t="n">
        <v>0</v>
      </c>
      <c r="N15" s="20" t="n">
        <v>0</v>
      </c>
      <c r="O15" s="18" t="n">
        <v>0</v>
      </c>
      <c r="P15" s="20" t="n">
        <v>0</v>
      </c>
      <c r="Q15" s="18" t="n">
        <v>1.54294266</v>
      </c>
      <c r="R15" s="20" t="n">
        <v>0.53146399</v>
      </c>
    </row>
    <row r="16" spans="1:18">
      <c r="A16" s="15" t="s">
        <v>358</v>
      </c>
      <c r="B16" s="17" t="n">
        <v>6108</v>
      </c>
      <c r="C16" s="18">
        <f>(5343.0/B16*100)</f>
        <v/>
      </c>
      <c r="D16" s="19" t="n">
        <v>765</v>
      </c>
      <c r="E16" s="18" t="n">
        <v>35.82298075</v>
      </c>
      <c r="F16" s="20" t="n">
        <v>1.89402135</v>
      </c>
      <c r="G16" s="18" t="n">
        <v>59.9829056</v>
      </c>
      <c r="H16" s="20" t="n">
        <v>2.04285953</v>
      </c>
      <c r="I16" s="18" t="s">
        <v>349</v>
      </c>
      <c r="J16" s="20" t="s">
        <v>349</v>
      </c>
      <c r="K16" s="18" t="n">
        <v>0.75651486</v>
      </c>
      <c r="L16" s="20" t="n">
        <v>0.31047907</v>
      </c>
      <c r="M16" s="18" t="n">
        <v>0</v>
      </c>
      <c r="N16" s="20" t="n">
        <v>0</v>
      </c>
      <c r="O16" s="18" t="n">
        <v>0</v>
      </c>
      <c r="P16" s="20" t="n">
        <v>0</v>
      </c>
      <c r="Q16" s="18" t="n">
        <v>3.4375988</v>
      </c>
      <c r="R16" s="20" t="n">
        <v>0.70389739</v>
      </c>
    </row>
    <row r="17" spans="1:18">
      <c r="A17" s="15" t="s">
        <v>359</v>
      </c>
      <c r="B17" s="17" t="n">
        <v>6504</v>
      </c>
      <c r="C17" s="18">
        <f>(5723.0/B17*100)</f>
        <v/>
      </c>
      <c r="D17" s="19" t="n">
        <v>781</v>
      </c>
      <c r="E17" s="18" t="n">
        <v>43.97050922</v>
      </c>
      <c r="F17" s="20" t="n">
        <v>1.87438657</v>
      </c>
      <c r="G17" s="18" t="n">
        <v>53.3126861</v>
      </c>
      <c r="H17" s="20" t="n">
        <v>1.81160454</v>
      </c>
      <c r="I17" s="18" t="s">
        <v>349</v>
      </c>
      <c r="J17" s="20" t="s">
        <v>349</v>
      </c>
      <c r="K17" s="18" t="n">
        <v>0.73056835</v>
      </c>
      <c r="L17" s="20" t="n">
        <v>0.32600753</v>
      </c>
      <c r="M17" s="18" t="n">
        <v>0</v>
      </c>
      <c r="N17" s="20" t="n">
        <v>0</v>
      </c>
      <c r="O17" s="18" t="n">
        <v>0</v>
      </c>
      <c r="P17" s="20" t="n">
        <v>0</v>
      </c>
      <c r="Q17" s="18" t="n">
        <v>1.98623633</v>
      </c>
      <c r="R17" s="20" t="n">
        <v>0.5341498099999999</v>
      </c>
    </row>
    <row r="18" spans="1:18">
      <c r="A18" s="15" t="s">
        <v>360</v>
      </c>
      <c r="B18" s="17" t="n">
        <v>5532</v>
      </c>
      <c r="C18" s="18">
        <f>(4868.0/B18*100)</f>
        <v/>
      </c>
      <c r="D18" s="19" t="n">
        <v>664</v>
      </c>
      <c r="E18" s="18" t="n">
        <v>56.54331567</v>
      </c>
      <c r="F18" s="20" t="n">
        <v>2.01837861</v>
      </c>
      <c r="G18" s="18" t="n">
        <v>40.80675073</v>
      </c>
      <c r="H18" s="20" t="n">
        <v>2.03789062</v>
      </c>
      <c r="I18" s="18" t="s">
        <v>349</v>
      </c>
      <c r="J18" s="20" t="s">
        <v>349</v>
      </c>
      <c r="K18" s="18" t="n">
        <v>0.67779617</v>
      </c>
      <c r="L18" s="20" t="n">
        <v>0.28905838</v>
      </c>
      <c r="M18" s="18" t="n">
        <v>0</v>
      </c>
      <c r="N18" s="20" t="n">
        <v>0</v>
      </c>
      <c r="O18" s="18" t="n">
        <v>0</v>
      </c>
      <c r="P18" s="20" t="n">
        <v>0</v>
      </c>
      <c r="Q18" s="18" t="n">
        <v>1.97213744</v>
      </c>
      <c r="R18" s="20" t="n">
        <v>0.76421695</v>
      </c>
    </row>
    <row r="19" spans="1:18">
      <c r="A19" s="15" t="s">
        <v>361</v>
      </c>
      <c r="B19" s="17" t="n">
        <v>5658</v>
      </c>
      <c r="C19" s="18">
        <f>(4963.0/B19*100)</f>
        <v/>
      </c>
      <c r="D19" s="19" t="n">
        <v>695</v>
      </c>
      <c r="E19" s="18" t="n">
        <v>46.36853477</v>
      </c>
      <c r="F19" s="20" t="n">
        <v>1.77883463</v>
      </c>
      <c r="G19" s="18" t="n">
        <v>52.23954518</v>
      </c>
      <c r="H19" s="20" t="n">
        <v>1.88976206</v>
      </c>
      <c r="I19" s="18" t="s">
        <v>349</v>
      </c>
      <c r="J19" s="20" t="s">
        <v>349</v>
      </c>
      <c r="K19" s="18" t="n">
        <v>0.33425435</v>
      </c>
      <c r="L19" s="20" t="n">
        <v>0.3157473</v>
      </c>
      <c r="M19" s="18" t="n">
        <v>0</v>
      </c>
      <c r="N19" s="20" t="n">
        <v>0</v>
      </c>
      <c r="O19" s="18" t="n">
        <v>0</v>
      </c>
      <c r="P19" s="20" t="n">
        <v>0</v>
      </c>
      <c r="Q19" s="18" t="n">
        <v>1.05766569</v>
      </c>
      <c r="R19" s="20" t="n">
        <v>0.41463197</v>
      </c>
    </row>
    <row r="20" spans="1:18">
      <c r="A20" s="15" t="s">
        <v>362</v>
      </c>
      <c r="B20" s="17" t="n">
        <v>3371</v>
      </c>
      <c r="C20" s="18">
        <f>(2942.0/B20*100)</f>
        <v/>
      </c>
      <c r="D20" s="19" t="n">
        <v>429</v>
      </c>
      <c r="E20" s="18" t="n">
        <v>43.66307339</v>
      </c>
      <c r="F20" s="20" t="n">
        <v>2.35890384</v>
      </c>
      <c r="G20" s="18" t="n">
        <v>52.67386308</v>
      </c>
      <c r="H20" s="20" t="n">
        <v>2.31129868</v>
      </c>
      <c r="I20" s="18" t="s">
        <v>349</v>
      </c>
      <c r="J20" s="20" t="s">
        <v>349</v>
      </c>
      <c r="K20" s="18" t="n">
        <v>0.47813124</v>
      </c>
      <c r="L20" s="20" t="n">
        <v>0.35141646</v>
      </c>
      <c r="M20" s="18" t="n">
        <v>0</v>
      </c>
      <c r="N20" s="20" t="n">
        <v>0</v>
      </c>
      <c r="O20" s="18" t="n">
        <v>0</v>
      </c>
      <c r="P20" s="20" t="n">
        <v>0</v>
      </c>
      <c r="Q20" s="18" t="n">
        <v>3.18493228</v>
      </c>
      <c r="R20" s="20" t="n">
        <v>0.8444491200000001</v>
      </c>
    </row>
    <row r="21" spans="1:18">
      <c r="A21" s="15" t="s">
        <v>363</v>
      </c>
      <c r="B21" s="17" t="n">
        <v>5741</v>
      </c>
      <c r="C21" s="18">
        <f>(4811.0/B21*100)</f>
        <v/>
      </c>
      <c r="D21" s="19" t="n">
        <v>930</v>
      </c>
      <c r="E21" s="18" t="n">
        <v>37.01186323</v>
      </c>
      <c r="F21" s="20" t="n">
        <v>1.60029509</v>
      </c>
      <c r="G21" s="18" t="n">
        <v>62.03214192</v>
      </c>
      <c r="H21" s="20" t="n">
        <v>1.59107819</v>
      </c>
      <c r="I21" s="18" t="s">
        <v>349</v>
      </c>
      <c r="J21" s="20" t="s">
        <v>349</v>
      </c>
      <c r="K21" s="18" t="n">
        <v>0.17547748</v>
      </c>
      <c r="L21" s="20" t="n">
        <v>0.12371074</v>
      </c>
      <c r="M21" s="18" t="n">
        <v>0</v>
      </c>
      <c r="N21" s="20" t="n">
        <v>0</v>
      </c>
      <c r="O21" s="18" t="n">
        <v>0</v>
      </c>
      <c r="P21" s="20" t="n">
        <v>0</v>
      </c>
      <c r="Q21" s="18" t="n">
        <v>0.78051737</v>
      </c>
      <c r="R21" s="20" t="n">
        <v>0.27411439</v>
      </c>
    </row>
    <row r="22" spans="1:18">
      <c r="A22" s="15" t="s">
        <v>364</v>
      </c>
      <c r="B22" s="17" t="n">
        <v>6598</v>
      </c>
      <c r="C22" s="18">
        <f>(5777.0/B22*100)</f>
        <v/>
      </c>
      <c r="D22" s="19" t="n">
        <v>821</v>
      </c>
      <c r="E22" s="18" t="n">
        <v>57.0760678</v>
      </c>
      <c r="F22" s="20" t="n">
        <v>1.66618936</v>
      </c>
      <c r="G22" s="18" t="n">
        <v>35.47084524</v>
      </c>
      <c r="H22" s="20" t="n">
        <v>1.56453184</v>
      </c>
      <c r="I22" s="18" t="s">
        <v>349</v>
      </c>
      <c r="J22" s="20" t="s">
        <v>349</v>
      </c>
      <c r="K22" s="18" t="n">
        <v>0.30799467</v>
      </c>
      <c r="L22" s="20" t="n">
        <v>0.23201645</v>
      </c>
      <c r="M22" s="18" t="n">
        <v>0</v>
      </c>
      <c r="N22" s="20" t="n">
        <v>0</v>
      </c>
      <c r="O22" s="18" t="n">
        <v>0</v>
      </c>
      <c r="P22" s="20" t="n">
        <v>0</v>
      </c>
      <c r="Q22" s="18" t="n">
        <v>7.14509229</v>
      </c>
      <c r="R22" s="20" t="n">
        <v>0.9430493</v>
      </c>
    </row>
    <row r="23" spans="1:18">
      <c r="A23" s="15" t="s">
        <v>365</v>
      </c>
      <c r="B23" s="17" t="n">
        <v>11583</v>
      </c>
      <c r="C23" s="18">
        <f>(10150.0/B23*100)</f>
        <v/>
      </c>
      <c r="D23" s="19" t="n">
        <v>1433</v>
      </c>
      <c r="E23" s="18" t="n">
        <v>48.23763175</v>
      </c>
      <c r="F23" s="20" t="n">
        <v>1.66912371</v>
      </c>
      <c r="G23" s="18" t="n">
        <v>49.8363777</v>
      </c>
      <c r="H23" s="20" t="n">
        <v>1.67718734</v>
      </c>
      <c r="I23" s="18" t="s">
        <v>349</v>
      </c>
      <c r="J23" s="20" t="s">
        <v>349</v>
      </c>
      <c r="K23" s="18" t="n">
        <v>0.6430992800000001</v>
      </c>
      <c r="L23" s="20" t="n">
        <v>0.35645203</v>
      </c>
      <c r="M23" s="18" t="n">
        <v>0</v>
      </c>
      <c r="N23" s="20" t="n">
        <v>0</v>
      </c>
      <c r="O23" s="18" t="n">
        <v>0</v>
      </c>
      <c r="P23" s="20" t="n">
        <v>0</v>
      </c>
      <c r="Q23" s="18" t="n">
        <v>1.28289127</v>
      </c>
      <c r="R23" s="20" t="n">
        <v>0.40077685</v>
      </c>
    </row>
    <row r="24" spans="1:18">
      <c r="A24" s="15" t="s">
        <v>366</v>
      </c>
      <c r="B24" s="17" t="n">
        <v>6647</v>
      </c>
      <c r="C24" s="18">
        <f>(5814.0/B24*100)</f>
        <v/>
      </c>
      <c r="D24" s="19" t="n">
        <v>833</v>
      </c>
      <c r="E24" s="18" t="n">
        <v>38.74033421</v>
      </c>
      <c r="F24" s="20" t="n">
        <v>1.58192944</v>
      </c>
      <c r="G24" s="18" t="n">
        <v>60.18208153</v>
      </c>
      <c r="H24" s="20" t="n">
        <v>1.52815087</v>
      </c>
      <c r="I24" s="18" t="s">
        <v>349</v>
      </c>
      <c r="J24" s="20" t="s">
        <v>349</v>
      </c>
      <c r="K24" s="18" t="n">
        <v>0.23462218</v>
      </c>
      <c r="L24" s="20" t="n">
        <v>0.1640887</v>
      </c>
      <c r="M24" s="18" t="n">
        <v>0</v>
      </c>
      <c r="N24" s="20" t="n">
        <v>0</v>
      </c>
      <c r="O24" s="18" t="n">
        <v>0</v>
      </c>
      <c r="P24" s="20" t="n">
        <v>0</v>
      </c>
      <c r="Q24" s="18" t="n">
        <v>0.8429620799999999</v>
      </c>
      <c r="R24" s="20" t="n">
        <v>0.32015336</v>
      </c>
    </row>
    <row r="25" spans="1:18">
      <c r="A25" s="15" t="s">
        <v>367</v>
      </c>
      <c r="B25" s="17" t="n">
        <v>5581</v>
      </c>
      <c r="C25" s="18">
        <f>(4887.0/B25*100)</f>
        <v/>
      </c>
      <c r="D25" s="19" t="n">
        <v>694</v>
      </c>
      <c r="E25" s="18" t="n">
        <v>39.2304088</v>
      </c>
      <c r="F25" s="20" t="n">
        <v>2.01420039</v>
      </c>
      <c r="G25" s="18" t="n">
        <v>60.09028746</v>
      </c>
      <c r="H25" s="20" t="n">
        <v>2.08372304</v>
      </c>
      <c r="I25" s="18" t="s">
        <v>349</v>
      </c>
      <c r="J25" s="20" t="s">
        <v>349</v>
      </c>
      <c r="K25" s="18" t="n">
        <v>0.28575153</v>
      </c>
      <c r="L25" s="20" t="n">
        <v>0.20189928</v>
      </c>
      <c r="M25" s="18" t="n">
        <v>0</v>
      </c>
      <c r="N25" s="20" t="n">
        <v>0</v>
      </c>
      <c r="O25" s="18" t="n">
        <v>0</v>
      </c>
      <c r="P25" s="20" t="n">
        <v>0</v>
      </c>
      <c r="Q25" s="18" t="n">
        <v>0.39355221</v>
      </c>
      <c r="R25" s="20" t="n">
        <v>0.22666465</v>
      </c>
    </row>
    <row r="26" spans="1:18">
      <c r="A26" s="15" t="s">
        <v>368</v>
      </c>
      <c r="B26" s="17" t="n">
        <v>4869</v>
      </c>
      <c r="C26" s="18">
        <f>(4283.0/B26*100)</f>
        <v/>
      </c>
      <c r="D26" s="19" t="n">
        <v>586</v>
      </c>
      <c r="E26" s="18" t="n">
        <v>44.0968301</v>
      </c>
      <c r="F26" s="20" t="n">
        <v>2.05008846</v>
      </c>
      <c r="G26" s="18" t="n">
        <v>55.58696828</v>
      </c>
      <c r="H26" s="20" t="n">
        <v>2.02233238</v>
      </c>
      <c r="I26" s="18" t="s">
        <v>349</v>
      </c>
      <c r="J26" s="20" t="s">
        <v>349</v>
      </c>
      <c r="K26" s="18" t="n">
        <v>0</v>
      </c>
      <c r="L26" s="20" t="n">
        <v>0</v>
      </c>
      <c r="M26" s="18" t="n">
        <v>0</v>
      </c>
      <c r="N26" s="20" t="n">
        <v>0</v>
      </c>
      <c r="O26" s="18" t="n">
        <v>0</v>
      </c>
      <c r="P26" s="20" t="n">
        <v>0</v>
      </c>
      <c r="Q26" s="18" t="n">
        <v>0.31620162</v>
      </c>
      <c r="R26" s="20" t="n">
        <v>0.22262241</v>
      </c>
    </row>
    <row r="27" spans="1:18">
      <c r="A27" s="15" t="s">
        <v>369</v>
      </c>
      <c r="B27" s="17" t="n">
        <v>5299</v>
      </c>
      <c r="C27" s="18">
        <f>(4665.0/B27*100)</f>
        <v/>
      </c>
      <c r="D27" s="19" t="n">
        <v>634</v>
      </c>
      <c r="E27" s="18" t="n">
        <v>48.25580025</v>
      </c>
      <c r="F27" s="20" t="n">
        <v>1.96579787</v>
      </c>
      <c r="G27" s="18" t="n">
        <v>49.17827406</v>
      </c>
      <c r="H27" s="20" t="n">
        <v>2.09341138</v>
      </c>
      <c r="I27" s="18" t="s">
        <v>349</v>
      </c>
      <c r="J27" s="20" t="s">
        <v>349</v>
      </c>
      <c r="K27" s="18" t="n">
        <v>0.32349893</v>
      </c>
      <c r="L27" s="20" t="n">
        <v>0.22933418</v>
      </c>
      <c r="M27" s="18" t="n">
        <v>0</v>
      </c>
      <c r="N27" s="20" t="n">
        <v>0</v>
      </c>
      <c r="O27" s="18" t="n">
        <v>0</v>
      </c>
      <c r="P27" s="20" t="n">
        <v>0</v>
      </c>
      <c r="Q27" s="18" t="n">
        <v>2.24242676</v>
      </c>
      <c r="R27" s="20" t="n">
        <v>0.63364738</v>
      </c>
    </row>
    <row r="28" spans="1:18">
      <c r="A28" s="15" t="s">
        <v>370</v>
      </c>
      <c r="B28" s="17" t="n">
        <v>7568</v>
      </c>
      <c r="C28" s="18">
        <f>(6681.0/B28*100)</f>
        <v/>
      </c>
      <c r="D28" s="19" t="n">
        <v>887</v>
      </c>
      <c r="E28" s="18" t="n">
        <v>65.67530515</v>
      </c>
      <c r="F28" s="20" t="n">
        <v>1.8364202</v>
      </c>
      <c r="G28" s="18" t="n">
        <v>33.43460838</v>
      </c>
      <c r="H28" s="20" t="n">
        <v>1.86676117</v>
      </c>
      <c r="I28" s="18" t="s">
        <v>349</v>
      </c>
      <c r="J28" s="20" t="s">
        <v>349</v>
      </c>
      <c r="K28" s="18" t="n">
        <v>0</v>
      </c>
      <c r="L28" s="20" t="n">
        <v>0</v>
      </c>
      <c r="M28" s="18" t="n">
        <v>0</v>
      </c>
      <c r="N28" s="20" t="n">
        <v>0</v>
      </c>
      <c r="O28" s="18" t="n">
        <v>0</v>
      </c>
      <c r="P28" s="20" t="n">
        <v>0</v>
      </c>
      <c r="Q28" s="18" t="n">
        <v>0.89008647</v>
      </c>
      <c r="R28" s="20" t="n">
        <v>0.29753607</v>
      </c>
    </row>
    <row r="29" spans="1:18">
      <c r="A29" s="15" t="s">
        <v>371</v>
      </c>
      <c r="B29" s="17" t="n">
        <v>5385</v>
      </c>
      <c r="C29" s="18">
        <f>(4743.0/B29*100)</f>
        <v/>
      </c>
      <c r="D29" s="19" t="n">
        <v>642</v>
      </c>
      <c r="E29" s="18" t="n">
        <v>52.45690793</v>
      </c>
      <c r="F29" s="20" t="n">
        <v>1.84658952</v>
      </c>
      <c r="G29" s="18" t="n">
        <v>45.92302515</v>
      </c>
      <c r="H29" s="20" t="n">
        <v>1.77492309</v>
      </c>
      <c r="I29" s="18" t="s">
        <v>349</v>
      </c>
      <c r="J29" s="20" t="s">
        <v>349</v>
      </c>
      <c r="K29" s="18" t="n">
        <v>0.38293383</v>
      </c>
      <c r="L29" s="20" t="n">
        <v>0.26466475</v>
      </c>
      <c r="M29" s="18" t="n">
        <v>0</v>
      </c>
      <c r="N29" s="20" t="n">
        <v>0</v>
      </c>
      <c r="O29" s="18" t="n">
        <v>0</v>
      </c>
      <c r="P29" s="20" t="n">
        <v>0</v>
      </c>
      <c r="Q29" s="18" t="n">
        <v>1.23713309</v>
      </c>
      <c r="R29" s="20" t="n">
        <v>0.5022730399999999</v>
      </c>
    </row>
    <row r="30" spans="1:18">
      <c r="A30" s="15" t="s">
        <v>372</v>
      </c>
      <c r="B30" s="17" t="n">
        <v>4520</v>
      </c>
      <c r="C30" s="18">
        <f>(3956.0/B30*100)</f>
        <v/>
      </c>
      <c r="D30" s="19" t="n">
        <v>564</v>
      </c>
      <c r="E30" s="18" t="n">
        <v>43.66202403</v>
      </c>
      <c r="F30" s="20" t="n">
        <v>1.86961968</v>
      </c>
      <c r="G30" s="18" t="n">
        <v>53.31659714</v>
      </c>
      <c r="H30" s="20" t="n">
        <v>1.93590842</v>
      </c>
      <c r="I30" s="18" t="s">
        <v>349</v>
      </c>
      <c r="J30" s="20" t="s">
        <v>349</v>
      </c>
      <c r="K30" s="18" t="n">
        <v>0.27723054</v>
      </c>
      <c r="L30" s="20" t="n">
        <v>0.18524312</v>
      </c>
      <c r="M30" s="18" t="n">
        <v>0</v>
      </c>
      <c r="N30" s="20" t="n">
        <v>0</v>
      </c>
      <c r="O30" s="18" t="n">
        <v>0</v>
      </c>
      <c r="P30" s="20" t="n">
        <v>0</v>
      </c>
      <c r="Q30" s="18" t="n">
        <v>2.74414829</v>
      </c>
      <c r="R30" s="20" t="n">
        <v>0.72783069</v>
      </c>
    </row>
    <row r="31" spans="1:18">
      <c r="A31" s="15" t="s">
        <v>373</v>
      </c>
      <c r="B31" s="17" t="n">
        <v>5456</v>
      </c>
      <c r="C31" s="18">
        <f>(4762.0/B31*100)</f>
        <v/>
      </c>
      <c r="D31" s="19" t="n">
        <v>694</v>
      </c>
      <c r="E31" s="18" t="n">
        <v>40.2996231</v>
      </c>
      <c r="F31" s="20" t="n">
        <v>2.08242172</v>
      </c>
      <c r="G31" s="18" t="n">
        <v>56.43238386</v>
      </c>
      <c r="H31" s="20" t="n">
        <v>2.22448692</v>
      </c>
      <c r="I31" s="18" t="s">
        <v>349</v>
      </c>
      <c r="J31" s="20" t="s">
        <v>349</v>
      </c>
      <c r="K31" s="18" t="n">
        <v>0.59270716</v>
      </c>
      <c r="L31" s="20" t="n">
        <v>0.28596691</v>
      </c>
      <c r="M31" s="18" t="n">
        <v>0</v>
      </c>
      <c r="N31" s="20" t="n">
        <v>0</v>
      </c>
      <c r="O31" s="18" t="n">
        <v>0</v>
      </c>
      <c r="P31" s="20" t="n">
        <v>0</v>
      </c>
      <c r="Q31" s="18" t="n">
        <v>2.67528588</v>
      </c>
      <c r="R31" s="20" t="n">
        <v>0.6107267</v>
      </c>
    </row>
    <row r="32" spans="1:18">
      <c r="A32" s="15" t="s">
        <v>374</v>
      </c>
      <c r="B32" s="17" t="n">
        <v>4478</v>
      </c>
      <c r="C32" s="18">
        <f>(3757.0/B32*100)</f>
        <v/>
      </c>
      <c r="D32" s="19" t="n">
        <v>721</v>
      </c>
      <c r="E32" s="18" t="n">
        <v>48.53941133</v>
      </c>
      <c r="F32" s="20" t="n">
        <v>1.92919121</v>
      </c>
      <c r="G32" s="18" t="n">
        <v>50.56976849</v>
      </c>
      <c r="H32" s="20" t="n">
        <v>1.92546906</v>
      </c>
      <c r="I32" s="18" t="s">
        <v>349</v>
      </c>
      <c r="J32" s="20" t="s">
        <v>349</v>
      </c>
      <c r="K32" s="18" t="n">
        <v>0.12478571</v>
      </c>
      <c r="L32" s="20" t="n">
        <v>0.12493627</v>
      </c>
      <c r="M32" s="18" t="n">
        <v>0</v>
      </c>
      <c r="N32" s="20" t="n">
        <v>0</v>
      </c>
      <c r="O32" s="18" t="n">
        <v>0</v>
      </c>
      <c r="P32" s="20" t="n">
        <v>0</v>
      </c>
      <c r="Q32" s="18" t="n">
        <v>0.76603447</v>
      </c>
      <c r="R32" s="20" t="n">
        <v>0.37031296</v>
      </c>
    </row>
    <row r="33" spans="1:18">
      <c r="A33" s="15" t="s">
        <v>375</v>
      </c>
      <c r="B33" s="17" t="n">
        <v>7325</v>
      </c>
      <c r="C33" s="18">
        <f>(6415.0/B33*100)</f>
        <v/>
      </c>
      <c r="D33" s="19" t="n">
        <v>910</v>
      </c>
      <c r="E33" s="18" t="n">
        <v>54.27388388</v>
      </c>
      <c r="F33" s="20" t="n">
        <v>2.14247035</v>
      </c>
      <c r="G33" s="18" t="n">
        <v>44.81050771</v>
      </c>
      <c r="H33" s="20" t="n">
        <v>2.18825644</v>
      </c>
      <c r="I33" s="18" t="s">
        <v>349</v>
      </c>
      <c r="J33" s="20" t="s">
        <v>349</v>
      </c>
      <c r="K33" s="18" t="n">
        <v>0.41610322</v>
      </c>
      <c r="L33" s="20" t="n">
        <v>0.23152119</v>
      </c>
      <c r="M33" s="18" t="n">
        <v>0</v>
      </c>
      <c r="N33" s="20" t="n">
        <v>0</v>
      </c>
      <c r="O33" s="18" t="n">
        <v>0</v>
      </c>
      <c r="P33" s="20" t="n">
        <v>0</v>
      </c>
      <c r="Q33" s="18" t="n">
        <v>0.49950519</v>
      </c>
      <c r="R33" s="20" t="n">
        <v>0.25012943</v>
      </c>
    </row>
    <row r="34" spans="1:18">
      <c r="A34" s="15" t="s">
        <v>376</v>
      </c>
      <c r="B34" s="17" t="n">
        <v>6350</v>
      </c>
      <c r="C34" s="18">
        <f>(5578.0/B34*100)</f>
        <v/>
      </c>
      <c r="D34" s="19" t="n">
        <v>772</v>
      </c>
      <c r="E34" s="18" t="n">
        <v>57.65234336</v>
      </c>
      <c r="F34" s="20" t="n">
        <v>1.90571362</v>
      </c>
      <c r="G34" s="18" t="n">
        <v>41.32414481</v>
      </c>
      <c r="H34" s="20" t="n">
        <v>1.88240808</v>
      </c>
      <c r="I34" s="18" t="s">
        <v>349</v>
      </c>
      <c r="J34" s="20" t="s">
        <v>349</v>
      </c>
      <c r="K34" s="18" t="n">
        <v>0.19112512</v>
      </c>
      <c r="L34" s="20" t="n">
        <v>0.18920323</v>
      </c>
      <c r="M34" s="18" t="n">
        <v>0</v>
      </c>
      <c r="N34" s="20" t="n">
        <v>0</v>
      </c>
      <c r="O34" s="18" t="n">
        <v>0</v>
      </c>
      <c r="P34" s="20" t="n">
        <v>0</v>
      </c>
      <c r="Q34" s="18" t="n">
        <v>0.83238671</v>
      </c>
      <c r="R34" s="20" t="n">
        <v>0.35846809</v>
      </c>
    </row>
    <row r="35" spans="1:18">
      <c r="A35" s="15" t="s">
        <v>377</v>
      </c>
      <c r="B35" s="17" t="n">
        <v>6406</v>
      </c>
      <c r="C35" s="18">
        <f>(5637.0/B35*100)</f>
        <v/>
      </c>
      <c r="D35" s="19" t="n">
        <v>769</v>
      </c>
      <c r="E35" s="18" t="n">
        <v>39.92403414</v>
      </c>
      <c r="F35" s="20" t="n">
        <v>2.25661822</v>
      </c>
      <c r="G35" s="18" t="n">
        <v>58.96540842</v>
      </c>
      <c r="H35" s="20" t="n">
        <v>2.29901673</v>
      </c>
      <c r="I35" s="18" t="s">
        <v>349</v>
      </c>
      <c r="J35" s="20" t="s">
        <v>349</v>
      </c>
      <c r="K35" s="18" t="n">
        <v>0</v>
      </c>
      <c r="L35" s="20" t="n">
        <v>0</v>
      </c>
      <c r="M35" s="18" t="n">
        <v>0</v>
      </c>
      <c r="N35" s="20" t="n">
        <v>0</v>
      </c>
      <c r="O35" s="18" t="n">
        <v>0</v>
      </c>
      <c r="P35" s="20" t="n">
        <v>0</v>
      </c>
      <c r="Q35" s="18" t="n">
        <v>1.11055744</v>
      </c>
      <c r="R35" s="20" t="n">
        <v>0.37131541</v>
      </c>
    </row>
    <row r="36" spans="1:18">
      <c r="A36" s="15" t="s">
        <v>378</v>
      </c>
      <c r="B36" s="17" t="n">
        <v>6736</v>
      </c>
      <c r="C36" s="18">
        <f>(5923.0/B36*100)</f>
        <v/>
      </c>
      <c r="D36" s="19" t="n">
        <v>813</v>
      </c>
      <c r="E36" s="18" t="n">
        <v>47.08855984</v>
      </c>
      <c r="F36" s="20" t="n">
        <v>1.73189292</v>
      </c>
      <c r="G36" s="18" t="n">
        <v>50.60917883</v>
      </c>
      <c r="H36" s="20" t="n">
        <v>1.76429468</v>
      </c>
      <c r="I36" s="18" t="s">
        <v>349</v>
      </c>
      <c r="J36" s="20" t="s">
        <v>349</v>
      </c>
      <c r="K36" s="18" t="n">
        <v>0.48412431</v>
      </c>
      <c r="L36" s="20" t="n">
        <v>0.30921126</v>
      </c>
      <c r="M36" s="18" t="n">
        <v>0</v>
      </c>
      <c r="N36" s="20" t="n">
        <v>0</v>
      </c>
      <c r="O36" s="18" t="n">
        <v>0</v>
      </c>
      <c r="P36" s="20" t="n">
        <v>0</v>
      </c>
      <c r="Q36" s="18" t="n">
        <v>1.81813702</v>
      </c>
      <c r="R36" s="20" t="n">
        <v>0.53833416</v>
      </c>
    </row>
    <row r="37" spans="1:18">
      <c r="A37" s="15" t="s">
        <v>379</v>
      </c>
      <c r="B37" s="17" t="n">
        <v>5458</v>
      </c>
      <c r="C37" s="18">
        <f>(4836.0/B37*100)</f>
        <v/>
      </c>
      <c r="D37" s="19" t="n">
        <v>622</v>
      </c>
      <c r="E37" s="18" t="n">
        <v>37.21062878</v>
      </c>
      <c r="F37" s="20" t="n">
        <v>2.04553792</v>
      </c>
      <c r="G37" s="18" t="n">
        <v>57.57757355</v>
      </c>
      <c r="H37" s="20" t="n">
        <v>2.45371615</v>
      </c>
      <c r="I37" s="18" t="s">
        <v>349</v>
      </c>
      <c r="J37" s="20" t="s">
        <v>349</v>
      </c>
      <c r="K37" s="18" t="n">
        <v>1.13527934</v>
      </c>
      <c r="L37" s="20" t="n">
        <v>0.46412995</v>
      </c>
      <c r="M37" s="18" t="n">
        <v>0</v>
      </c>
      <c r="N37" s="20" t="n">
        <v>0</v>
      </c>
      <c r="O37" s="18" t="n">
        <v>0</v>
      </c>
      <c r="P37" s="20" t="n">
        <v>0</v>
      </c>
      <c r="Q37" s="18" t="n">
        <v>4.07651833</v>
      </c>
      <c r="R37" s="20" t="n">
        <v>0.92145154</v>
      </c>
    </row>
    <row r="38" spans="1:18">
      <c r="A38" s="15" t="s">
        <v>380</v>
      </c>
      <c r="B38" s="17" t="n">
        <v>5860</v>
      </c>
      <c r="C38" s="18">
        <f>(4896.0/B38*100)</f>
        <v/>
      </c>
      <c r="D38" s="19" t="n">
        <v>964</v>
      </c>
      <c r="E38" s="18" t="n">
        <v>41.45304378</v>
      </c>
      <c r="F38" s="20" t="n">
        <v>2.01886853</v>
      </c>
      <c r="G38" s="18" t="n">
        <v>55.83017493</v>
      </c>
      <c r="H38" s="20" t="n">
        <v>2.05277609</v>
      </c>
      <c r="I38" s="18" t="s">
        <v>349</v>
      </c>
      <c r="J38" s="20" t="s">
        <v>349</v>
      </c>
      <c r="K38" s="18" t="n">
        <v>0.66841264</v>
      </c>
      <c r="L38" s="20" t="n">
        <v>0.27248875</v>
      </c>
      <c r="M38" s="18" t="n">
        <v>0</v>
      </c>
      <c r="N38" s="20" t="n">
        <v>0</v>
      </c>
      <c r="O38" s="18" t="n">
        <v>0</v>
      </c>
      <c r="P38" s="20" t="n">
        <v>0</v>
      </c>
      <c r="Q38" s="18" t="n">
        <v>2.04836865</v>
      </c>
      <c r="R38" s="20" t="n">
        <v>0.41602449</v>
      </c>
    </row>
    <row r="39" spans="1:18">
      <c r="A39" s="15" t="s">
        <v>381</v>
      </c>
      <c r="B39" s="17" t="n">
        <v>5895</v>
      </c>
      <c r="C39" s="18">
        <f>(5171.0/B39*100)</f>
        <v/>
      </c>
      <c r="D39" s="19" t="n">
        <v>724</v>
      </c>
      <c r="E39" s="18" t="n">
        <v>63.92458099</v>
      </c>
      <c r="F39" s="20" t="n">
        <v>2.13633793</v>
      </c>
      <c r="G39" s="18" t="n">
        <v>33.46205041</v>
      </c>
      <c r="H39" s="20" t="n">
        <v>2.11964135</v>
      </c>
      <c r="I39" s="18" t="s">
        <v>349</v>
      </c>
      <c r="J39" s="20" t="s">
        <v>349</v>
      </c>
      <c r="K39" s="18" t="n">
        <v>0.30063773</v>
      </c>
      <c r="L39" s="20" t="n">
        <v>0.2412172</v>
      </c>
      <c r="M39" s="18" t="n">
        <v>0</v>
      </c>
      <c r="N39" s="20" t="n">
        <v>0</v>
      </c>
      <c r="O39" s="18" t="n">
        <v>0</v>
      </c>
      <c r="P39" s="20" t="n">
        <v>0</v>
      </c>
      <c r="Q39" s="18" t="n">
        <v>2.31273086</v>
      </c>
      <c r="R39" s="20" t="n">
        <v>0.66404451</v>
      </c>
    </row>
    <row r="40" spans="1:18">
      <c r="A40" s="15" t="s">
        <v>382</v>
      </c>
      <c r="B40" s="17" t="n">
        <v>14157</v>
      </c>
      <c r="C40" s="18">
        <f>(12403.0/B40*100)</f>
        <v/>
      </c>
      <c r="D40" s="19" t="n">
        <v>1754</v>
      </c>
      <c r="E40" s="18" t="n">
        <v>42.57545458</v>
      </c>
      <c r="F40" s="20" t="n">
        <v>1.83952595</v>
      </c>
      <c r="G40" s="18" t="n">
        <v>55.44363401</v>
      </c>
      <c r="H40" s="20" t="n">
        <v>1.80247142</v>
      </c>
      <c r="I40" s="18" t="s">
        <v>349</v>
      </c>
      <c r="J40" s="20" t="s">
        <v>349</v>
      </c>
      <c r="K40" s="18" t="n">
        <v>0.31034054</v>
      </c>
      <c r="L40" s="20" t="n">
        <v>0.26830647</v>
      </c>
      <c r="M40" s="18" t="n">
        <v>0</v>
      </c>
      <c r="N40" s="20" t="n">
        <v>0</v>
      </c>
      <c r="O40" s="18" t="n">
        <v>0</v>
      </c>
      <c r="P40" s="20" t="n">
        <v>0</v>
      </c>
      <c r="Q40" s="18" t="n">
        <v>1.67057086</v>
      </c>
      <c r="R40" s="20" t="n">
        <v>0.50248886</v>
      </c>
    </row>
    <row r="41" spans="1:18">
      <c r="A41" s="15" t="s">
        <v>383</v>
      </c>
      <c r="B41" s="17" t="n">
        <v>5712</v>
      </c>
      <c r="C41" s="18">
        <f>(5042.0/B41*100)</f>
        <v/>
      </c>
      <c r="D41" s="19" t="n">
        <v>670</v>
      </c>
      <c r="E41" s="18" t="n">
        <v>50.00942808</v>
      </c>
      <c r="F41" s="20" t="n">
        <v>1.96636565</v>
      </c>
      <c r="G41" s="18" t="n">
        <v>48.89116789</v>
      </c>
      <c r="H41" s="20" t="n">
        <v>1.99909348</v>
      </c>
      <c r="I41" s="18" t="s">
        <v>349</v>
      </c>
      <c r="J41" s="20" t="s">
        <v>349</v>
      </c>
      <c r="K41" s="18" t="n">
        <v>0.3092135</v>
      </c>
      <c r="L41" s="20" t="n">
        <v>0.2187813</v>
      </c>
      <c r="M41" s="18" t="n">
        <v>0</v>
      </c>
      <c r="N41" s="20" t="n">
        <v>0</v>
      </c>
      <c r="O41" s="18" t="n">
        <v>0</v>
      </c>
      <c r="P41" s="20" t="n">
        <v>0</v>
      </c>
      <c r="Q41" s="18" t="n">
        <v>0.79019052</v>
      </c>
      <c r="R41" s="20" t="n">
        <v>0.31864336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(20589.0/B46*100)</f>
        <v/>
      </c>
      <c r="D46" s="19" t="n">
        <v>2552</v>
      </c>
      <c r="E46" s="18" t="n">
        <v>64.10264534</v>
      </c>
      <c r="F46" s="20" t="n">
        <v>1.09988089</v>
      </c>
      <c r="G46" s="18" t="n">
        <v>31.09605246</v>
      </c>
      <c r="H46" s="20" t="n">
        <v>1.05710943</v>
      </c>
      <c r="I46" s="18" t="s">
        <v>349</v>
      </c>
      <c r="J46" s="20" t="s">
        <v>349</v>
      </c>
      <c r="K46" s="18" t="n">
        <v>1.11985969</v>
      </c>
      <c r="L46" s="20" t="n">
        <v>0.24529698</v>
      </c>
      <c r="M46" s="18" t="n">
        <v>0</v>
      </c>
      <c r="N46" s="20" t="n">
        <v>0</v>
      </c>
      <c r="O46" s="18" t="n">
        <v>0</v>
      </c>
      <c r="P46" s="20" t="n">
        <v>0</v>
      </c>
      <c r="Q46" s="18" t="n">
        <v>3.6814425</v>
      </c>
      <c r="R46" s="20" t="n">
        <v>0.61614861</v>
      </c>
    </row>
    <row r="47" spans="1:18">
      <c r="A47" s="15" t="s">
        <v>389</v>
      </c>
      <c r="B47" s="17" t="n">
        <v>5928</v>
      </c>
      <c r="C47" s="18">
        <f>(5212.0/B47*100)</f>
        <v/>
      </c>
      <c r="D47" s="19" t="n">
        <v>716</v>
      </c>
      <c r="E47" s="18" t="n">
        <v>55.99329982</v>
      </c>
      <c r="F47" s="20" t="n">
        <v>1.95670357</v>
      </c>
      <c r="G47" s="18" t="n">
        <v>41.05796735</v>
      </c>
      <c r="H47" s="20" t="n">
        <v>1.99380825</v>
      </c>
      <c r="I47" s="18" t="s">
        <v>349</v>
      </c>
      <c r="J47" s="20" t="s">
        <v>349</v>
      </c>
      <c r="K47" s="18" t="n">
        <v>0.53867357</v>
      </c>
      <c r="L47" s="20" t="n">
        <v>0.26851381</v>
      </c>
      <c r="M47" s="18" t="n">
        <v>0</v>
      </c>
      <c r="N47" s="20" t="n">
        <v>0</v>
      </c>
      <c r="O47" s="18" t="n">
        <v>0</v>
      </c>
      <c r="P47" s="20" t="n">
        <v>0</v>
      </c>
      <c r="Q47" s="18" t="n">
        <v>2.41005926</v>
      </c>
      <c r="R47" s="20" t="n">
        <v>0.72287407</v>
      </c>
    </row>
    <row r="48" spans="1:18">
      <c r="A48" s="15" t="s">
        <v>390</v>
      </c>
      <c r="B48" s="17" t="n">
        <v>9841</v>
      </c>
      <c r="C48" s="18">
        <f>(8600.0/B48*100)</f>
        <v/>
      </c>
      <c r="D48" s="19" t="n">
        <v>1241</v>
      </c>
      <c r="E48" s="18" t="n">
        <v>44.18791469</v>
      </c>
      <c r="F48" s="20" t="n">
        <v>1.64136874</v>
      </c>
      <c r="G48" s="18" t="n">
        <v>55.28450507</v>
      </c>
      <c r="H48" s="20" t="n">
        <v>1.62296912</v>
      </c>
      <c r="I48" s="18" t="s">
        <v>349</v>
      </c>
      <c r="J48" s="20" t="s">
        <v>349</v>
      </c>
      <c r="K48" s="18" t="n">
        <v>0.15783279</v>
      </c>
      <c r="L48" s="20" t="n">
        <v>0.11807945</v>
      </c>
      <c r="M48" s="18" t="n">
        <v>0</v>
      </c>
      <c r="N48" s="20" t="n">
        <v>0</v>
      </c>
      <c r="O48" s="18" t="n">
        <v>0</v>
      </c>
      <c r="P48" s="20" t="n">
        <v>0</v>
      </c>
      <c r="Q48" s="18" t="n">
        <v>0.36974745</v>
      </c>
      <c r="R48" s="20" t="n">
        <v>0.20998054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(10364.0/B50*100)</f>
        <v/>
      </c>
      <c r="D50" s="19" t="n">
        <v>1431</v>
      </c>
      <c r="E50" s="18" t="n">
        <v>74.86565424</v>
      </c>
      <c r="F50" s="20" t="n">
        <v>1.38012034</v>
      </c>
      <c r="G50" s="18" t="n">
        <v>21.91459312</v>
      </c>
      <c r="H50" s="20" t="n">
        <v>1.46203525</v>
      </c>
      <c r="I50" s="18" t="s">
        <v>349</v>
      </c>
      <c r="J50" s="20" t="s">
        <v>349</v>
      </c>
      <c r="K50" s="18" t="n">
        <v>0.61822824</v>
      </c>
      <c r="L50" s="20" t="n">
        <v>0.25541587</v>
      </c>
      <c r="M50" s="18" t="n">
        <v>0</v>
      </c>
      <c r="N50" s="20" t="n">
        <v>0</v>
      </c>
      <c r="O50" s="18" t="n">
        <v>0</v>
      </c>
      <c r="P50" s="20" t="n">
        <v>0</v>
      </c>
      <c r="Q50" s="18" t="n">
        <v>2.60152441</v>
      </c>
      <c r="R50" s="20" t="n">
        <v>0.57256713</v>
      </c>
    </row>
    <row r="51" spans="1:18">
      <c r="A51" s="15" t="s">
        <v>393</v>
      </c>
      <c r="B51" s="17" t="n">
        <v>6866</v>
      </c>
      <c r="C51" s="18">
        <f>(6126.0/B51*100)</f>
        <v/>
      </c>
      <c r="D51" s="19" t="n">
        <v>740</v>
      </c>
      <c r="E51" s="18" t="n">
        <v>63.09937817</v>
      </c>
      <c r="F51" s="20" t="n">
        <v>1.77553815</v>
      </c>
      <c r="G51" s="18" t="n">
        <v>34.40143868</v>
      </c>
      <c r="H51" s="20" t="n">
        <v>1.7824428</v>
      </c>
      <c r="I51" s="18" t="s">
        <v>349</v>
      </c>
      <c r="J51" s="20" t="s">
        <v>349</v>
      </c>
      <c r="K51" s="18" t="n">
        <v>0.49937561</v>
      </c>
      <c r="L51" s="20" t="n">
        <v>0.35511216</v>
      </c>
      <c r="M51" s="18" t="n">
        <v>0</v>
      </c>
      <c r="N51" s="20" t="n">
        <v>0</v>
      </c>
      <c r="O51" s="18" t="n">
        <v>0</v>
      </c>
      <c r="P51" s="20" t="n">
        <v>0</v>
      </c>
      <c r="Q51" s="18" t="n">
        <v>1.99980755</v>
      </c>
      <c r="R51" s="20" t="n">
        <v>0.532676</v>
      </c>
    </row>
    <row r="52" spans="1:18">
      <c r="A52" s="15" t="s">
        <v>394</v>
      </c>
      <c r="B52" s="17" t="n">
        <v>5809</v>
      </c>
      <c r="C52" s="18">
        <f>(5093.0/B52*100)</f>
        <v/>
      </c>
      <c r="D52" s="19" t="n">
        <v>716</v>
      </c>
      <c r="E52" s="18" t="n">
        <v>39.83011326</v>
      </c>
      <c r="F52" s="20" t="n">
        <v>1.76911637</v>
      </c>
      <c r="G52" s="18" t="n">
        <v>58.10893346</v>
      </c>
      <c r="H52" s="20" t="n">
        <v>1.80202447</v>
      </c>
      <c r="I52" s="18" t="s">
        <v>349</v>
      </c>
      <c r="J52" s="20" t="s">
        <v>349</v>
      </c>
      <c r="K52" s="18" t="n">
        <v>0</v>
      </c>
      <c r="L52" s="20" t="n">
        <v>0</v>
      </c>
      <c r="M52" s="18" t="n">
        <v>0</v>
      </c>
      <c r="N52" s="20" t="n">
        <v>0</v>
      </c>
      <c r="O52" s="18" t="n">
        <v>0</v>
      </c>
      <c r="P52" s="20" t="n">
        <v>0</v>
      </c>
      <c r="Q52" s="18" t="n">
        <v>2.06095328</v>
      </c>
      <c r="R52" s="20" t="n">
        <v>0.62584609</v>
      </c>
    </row>
    <row r="53" spans="1:18">
      <c r="A53" s="15" t="s">
        <v>395</v>
      </c>
      <c r="B53" s="17" t="n">
        <v>5571</v>
      </c>
      <c r="C53" s="18">
        <f>(4866.0/B53*100)</f>
        <v/>
      </c>
      <c r="D53" s="19" t="n">
        <v>705</v>
      </c>
      <c r="E53" s="18" t="n">
        <v>62.63069871</v>
      </c>
      <c r="F53" s="20" t="n">
        <v>1.92224167</v>
      </c>
      <c r="G53" s="18" t="n">
        <v>35.18457329</v>
      </c>
      <c r="H53" s="20" t="n">
        <v>1.89897357</v>
      </c>
      <c r="I53" s="18" t="s">
        <v>349</v>
      </c>
      <c r="J53" s="20" t="s">
        <v>349</v>
      </c>
      <c r="K53" s="18" t="n">
        <v>0.73038763</v>
      </c>
      <c r="L53" s="20" t="n">
        <v>0.34022717</v>
      </c>
      <c r="M53" s="18" t="n">
        <v>0</v>
      </c>
      <c r="N53" s="20" t="n">
        <v>0</v>
      </c>
      <c r="O53" s="18" t="n">
        <v>0</v>
      </c>
      <c r="P53" s="20" t="n">
        <v>0</v>
      </c>
      <c r="Q53" s="18" t="n">
        <v>1.45434037</v>
      </c>
      <c r="R53" s="20" t="n">
        <v>0.41916139</v>
      </c>
    </row>
    <row r="54" spans="1:18">
      <c r="A54" s="15" t="s">
        <v>396</v>
      </c>
      <c r="B54" s="17" t="n">
        <v>4740</v>
      </c>
      <c r="C54" s="18">
        <f>(3948.0/B54*100)</f>
        <v/>
      </c>
      <c r="D54" s="19" t="n">
        <v>792</v>
      </c>
      <c r="E54" s="18" t="n">
        <v>71.46175457</v>
      </c>
      <c r="F54" s="20" t="n">
        <v>1.68928765</v>
      </c>
      <c r="G54" s="18" t="n">
        <v>15.81935685</v>
      </c>
      <c r="H54" s="20" t="n">
        <v>1.48274821</v>
      </c>
      <c r="I54" s="18" t="s">
        <v>349</v>
      </c>
      <c r="J54" s="20" t="s">
        <v>349</v>
      </c>
      <c r="K54" s="18" t="n">
        <v>6.29329778</v>
      </c>
      <c r="L54" s="20" t="n">
        <v>1.02773569</v>
      </c>
      <c r="M54" s="18" t="n">
        <v>0</v>
      </c>
      <c r="N54" s="20" t="n">
        <v>0</v>
      </c>
      <c r="O54" s="18" t="n">
        <v>0</v>
      </c>
      <c r="P54" s="20" t="n">
        <v>0</v>
      </c>
      <c r="Q54" s="18" t="n">
        <v>6.4255908</v>
      </c>
      <c r="R54" s="20" t="n">
        <v>1.08261496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(4679.0/B56*100)</f>
        <v/>
      </c>
      <c r="D56" s="19" t="n">
        <v>680</v>
      </c>
      <c r="E56" s="18" t="n">
        <v>40.53231829</v>
      </c>
      <c r="F56" s="20" t="n">
        <v>1.91837939</v>
      </c>
      <c r="G56" s="18" t="n">
        <v>58.23237927</v>
      </c>
      <c r="H56" s="20" t="n">
        <v>1.91552703</v>
      </c>
      <c r="I56" s="18" t="s">
        <v>349</v>
      </c>
      <c r="J56" s="20" t="s">
        <v>349</v>
      </c>
      <c r="K56" s="18" t="n">
        <v>0.12096013</v>
      </c>
      <c r="L56" s="20" t="n">
        <v>0.12321067</v>
      </c>
      <c r="M56" s="18" t="n">
        <v>0</v>
      </c>
      <c r="N56" s="20" t="n">
        <v>0</v>
      </c>
      <c r="O56" s="18" t="n">
        <v>0</v>
      </c>
      <c r="P56" s="20" t="n">
        <v>0</v>
      </c>
      <c r="Q56" s="18" t="n">
        <v>1.1143423</v>
      </c>
      <c r="R56" s="20" t="n">
        <v>0.40797713</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(5713.0/B61*100)</f>
        <v/>
      </c>
      <c r="D61" s="19" t="n">
        <v>812</v>
      </c>
      <c r="E61" s="18" t="n">
        <v>52.95866752</v>
      </c>
      <c r="F61" s="20" t="n">
        <v>1.9061938</v>
      </c>
      <c r="G61" s="18" t="n">
        <v>45.62932837</v>
      </c>
      <c r="H61" s="20" t="n">
        <v>1.91082385</v>
      </c>
      <c r="I61" s="18" t="s">
        <v>349</v>
      </c>
      <c r="J61" s="20" t="s">
        <v>349</v>
      </c>
      <c r="K61" s="18" t="n">
        <v>0.28088284</v>
      </c>
      <c r="L61" s="20" t="n">
        <v>0.20064418</v>
      </c>
      <c r="M61" s="18" t="n">
        <v>0</v>
      </c>
      <c r="N61" s="20" t="n">
        <v>0</v>
      </c>
      <c r="O61" s="18" t="n">
        <v>0</v>
      </c>
      <c r="P61" s="20" t="n">
        <v>0</v>
      </c>
      <c r="Q61" s="18" t="n">
        <v>1.13112126</v>
      </c>
      <c r="R61" s="20" t="n">
        <v>0.37556338</v>
      </c>
    </row>
    <row r="62" spans="1:18">
      <c r="A62" s="15" t="s">
        <v>404</v>
      </c>
      <c r="B62" s="17" t="n">
        <v>4476</v>
      </c>
      <c r="C62" s="18">
        <f>(3923.0/B62*100)</f>
        <v/>
      </c>
      <c r="D62" s="19" t="n">
        <v>553</v>
      </c>
      <c r="E62" s="18" t="n">
        <v>36.53402913</v>
      </c>
      <c r="F62" s="20" t="n">
        <v>2.15318995</v>
      </c>
      <c r="G62" s="18" t="n">
        <v>63.46597087</v>
      </c>
      <c r="H62" s="20" t="n">
        <v>2.15318995</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(4964.0/B66*100)</f>
        <v/>
      </c>
      <c r="D66" s="19" t="n">
        <v>701</v>
      </c>
      <c r="E66" s="18" t="n">
        <v>58.85032337</v>
      </c>
      <c r="F66" s="20" t="n">
        <v>1.94071198</v>
      </c>
      <c r="G66" s="18" t="n">
        <v>33.0809304</v>
      </c>
      <c r="H66" s="20" t="n">
        <v>1.87807549</v>
      </c>
      <c r="I66" s="18" t="s">
        <v>349</v>
      </c>
      <c r="J66" s="20" t="s">
        <v>349</v>
      </c>
      <c r="K66" s="18" t="n">
        <v>1.05984991</v>
      </c>
      <c r="L66" s="20" t="n">
        <v>0.39258702</v>
      </c>
      <c r="M66" s="18" t="n">
        <v>0</v>
      </c>
      <c r="N66" s="20" t="n">
        <v>0</v>
      </c>
      <c r="O66" s="18" t="n">
        <v>0</v>
      </c>
      <c r="P66" s="20" t="n">
        <v>0</v>
      </c>
      <c r="Q66" s="18" t="n">
        <v>7.00889632</v>
      </c>
      <c r="R66" s="20" t="n">
        <v>1.00358911</v>
      </c>
    </row>
    <row r="67" spans="1:18">
      <c r="A67" s="15" t="s">
        <v>409</v>
      </c>
      <c r="B67" s="17" t="n">
        <v>6971</v>
      </c>
      <c r="C67" s="18">
        <f>(6156.0/B67*100)</f>
        <v/>
      </c>
      <c r="D67" s="19" t="n">
        <v>815</v>
      </c>
      <c r="E67" s="18" t="n">
        <v>74.39700834999999</v>
      </c>
      <c r="F67" s="20" t="n">
        <v>1.42302621</v>
      </c>
      <c r="G67" s="18" t="n">
        <v>23.98364357</v>
      </c>
      <c r="H67" s="20" t="n">
        <v>1.34783999</v>
      </c>
      <c r="I67" s="18" t="s">
        <v>349</v>
      </c>
      <c r="J67" s="20" t="s">
        <v>349</v>
      </c>
      <c r="K67" s="18" t="n">
        <v>0</v>
      </c>
      <c r="L67" s="20" t="n">
        <v>0</v>
      </c>
      <c r="M67" s="18" t="n">
        <v>0</v>
      </c>
      <c r="N67" s="20" t="n">
        <v>0</v>
      </c>
      <c r="O67" s="18" t="n">
        <v>0</v>
      </c>
      <c r="P67" s="20" t="n">
        <v>0</v>
      </c>
      <c r="Q67" s="18" t="n">
        <v>1.61934808</v>
      </c>
      <c r="R67" s="20" t="n">
        <v>0.41203669</v>
      </c>
    </row>
    <row r="68" spans="1:18">
      <c r="A68" s="15" t="s">
        <v>410</v>
      </c>
      <c r="B68" s="17" t="n">
        <v>12083</v>
      </c>
      <c r="C68" s="18">
        <f>(10064.0/B68*100)</f>
        <v/>
      </c>
      <c r="D68" s="19" t="n">
        <v>2019</v>
      </c>
      <c r="E68" s="18" t="n">
        <v>63.57875535</v>
      </c>
      <c r="F68" s="20" t="n">
        <v>1.00755442</v>
      </c>
      <c r="G68" s="18" t="n">
        <v>28.950043</v>
      </c>
      <c r="H68" s="20" t="n">
        <v>0.94288087</v>
      </c>
      <c r="I68" s="18" t="s">
        <v>349</v>
      </c>
      <c r="J68" s="20" t="s">
        <v>349</v>
      </c>
      <c r="K68" s="18" t="n">
        <v>2.32345536</v>
      </c>
      <c r="L68" s="20" t="n">
        <v>0.30034025</v>
      </c>
      <c r="M68" s="18" t="n">
        <v>0</v>
      </c>
      <c r="N68" s="20" t="n">
        <v>0</v>
      </c>
      <c r="O68" s="18" t="n">
        <v>0</v>
      </c>
      <c r="P68" s="20" t="n">
        <v>0</v>
      </c>
      <c r="Q68" s="18" t="n">
        <v>5.14774629</v>
      </c>
      <c r="R68" s="20" t="n">
        <v>0.50167242</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(5294.0/B70*100)</f>
        <v/>
      </c>
      <c r="D70" s="19" t="n">
        <v>742</v>
      </c>
      <c r="E70" s="18" t="n">
        <v>42.52551801</v>
      </c>
      <c r="F70" s="20" t="n">
        <v>1.91269872</v>
      </c>
      <c r="G70" s="18" t="n">
        <v>55.1432736</v>
      </c>
      <c r="H70" s="20" t="n">
        <v>1.89032433</v>
      </c>
      <c r="I70" s="18" t="s">
        <v>349</v>
      </c>
      <c r="J70" s="20" t="s">
        <v>349</v>
      </c>
      <c r="K70" s="18" t="n">
        <v>0.08741593</v>
      </c>
      <c r="L70" s="20" t="n">
        <v>0.08815417</v>
      </c>
      <c r="M70" s="18" t="n">
        <v>0</v>
      </c>
      <c r="N70" s="20" t="n">
        <v>0</v>
      </c>
      <c r="O70" s="18" t="n">
        <v>0</v>
      </c>
      <c r="P70" s="20" t="n">
        <v>0</v>
      </c>
      <c r="Q70" s="18" t="n">
        <v>2.24379246</v>
      </c>
      <c r="R70" s="20" t="n">
        <v>0.5250484600000001</v>
      </c>
    </row>
    <row r="71" spans="1:18">
      <c r="A71" s="15" t="s">
        <v>413</v>
      </c>
      <c r="B71" s="17" t="n">
        <v>6115</v>
      </c>
      <c r="C71" s="18">
        <f>(5366.0/B71*100)</f>
        <v/>
      </c>
      <c r="D71" s="19" t="n">
        <v>749</v>
      </c>
      <c r="E71" s="18" t="n">
        <v>43.51929648</v>
      </c>
      <c r="F71" s="20" t="n">
        <v>1.95392152</v>
      </c>
      <c r="G71" s="18" t="n">
        <v>55.58019987</v>
      </c>
      <c r="H71" s="20" t="n">
        <v>1.97729999</v>
      </c>
      <c r="I71" s="18" t="s">
        <v>349</v>
      </c>
      <c r="J71" s="20" t="s">
        <v>349</v>
      </c>
      <c r="K71" s="18" t="n">
        <v>0.31475906</v>
      </c>
      <c r="L71" s="20" t="n">
        <v>0.18973836</v>
      </c>
      <c r="M71" s="18" t="n">
        <v>0</v>
      </c>
      <c r="N71" s="20" t="n">
        <v>0</v>
      </c>
      <c r="O71" s="18" t="n">
        <v>0</v>
      </c>
      <c r="P71" s="20" t="n">
        <v>0</v>
      </c>
      <c r="Q71" s="18" t="n">
        <v>0.58574459</v>
      </c>
      <c r="R71" s="20" t="n">
        <v>0.26880248</v>
      </c>
    </row>
    <row r="72" spans="1:18">
      <c r="A72" s="15" t="s">
        <v>414</v>
      </c>
      <c r="B72" s="17" t="n">
        <v>7708</v>
      </c>
      <c r="C72" s="18">
        <f>(6767.0/B72*100)</f>
        <v/>
      </c>
      <c r="D72" s="19" t="n">
        <v>941</v>
      </c>
      <c r="E72" s="18" t="n">
        <v>38.8311225</v>
      </c>
      <c r="F72" s="20" t="n">
        <v>1.49328017</v>
      </c>
      <c r="G72" s="18" t="n">
        <v>60.46837881</v>
      </c>
      <c r="H72" s="20" t="n">
        <v>1.51869547</v>
      </c>
      <c r="I72" s="18" t="s">
        <v>349</v>
      </c>
      <c r="J72" s="20" t="s">
        <v>349</v>
      </c>
      <c r="K72" s="18" t="n">
        <v>0</v>
      </c>
      <c r="L72" s="20" t="n">
        <v>0</v>
      </c>
      <c r="M72" s="18" t="n">
        <v>0</v>
      </c>
      <c r="N72" s="20" t="n">
        <v>0</v>
      </c>
      <c r="O72" s="18" t="n">
        <v>0</v>
      </c>
      <c r="P72" s="20" t="n">
        <v>0</v>
      </c>
      <c r="Q72" s="18" t="n">
        <v>0.70049869</v>
      </c>
      <c r="R72" s="20" t="n">
        <v>0.27025735</v>
      </c>
    </row>
    <row r="73" spans="1:18">
      <c r="A73" s="15" t="s">
        <v>415</v>
      </c>
      <c r="B73" s="17" t="n">
        <v>8249</v>
      </c>
      <c r="C73" s="18">
        <f>(7277.0/B73*100)</f>
        <v/>
      </c>
      <c r="D73" s="19" t="n">
        <v>972</v>
      </c>
      <c r="E73" s="18" t="n">
        <v>60.89077755</v>
      </c>
      <c r="F73" s="20" t="n">
        <v>1.9801589</v>
      </c>
      <c r="G73" s="18" t="n">
        <v>38.76762192</v>
      </c>
      <c r="H73" s="20" t="n">
        <v>1.91324892</v>
      </c>
      <c r="I73" s="18" t="s">
        <v>349</v>
      </c>
      <c r="J73" s="20" t="s">
        <v>349</v>
      </c>
      <c r="K73" s="18" t="n">
        <v>0</v>
      </c>
      <c r="L73" s="20" t="n">
        <v>0</v>
      </c>
      <c r="M73" s="18" t="n">
        <v>0</v>
      </c>
      <c r="N73" s="20" t="n">
        <v>0</v>
      </c>
      <c r="O73" s="18" t="n">
        <v>0</v>
      </c>
      <c r="P73" s="20" t="n">
        <v>0</v>
      </c>
      <c r="Q73" s="18" t="n">
        <v>0.34160053</v>
      </c>
      <c r="R73" s="20" t="n">
        <v>0.21528514</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(4763.0/B75*100)</f>
        <v/>
      </c>
      <c r="D75" s="19" t="n">
        <v>612</v>
      </c>
      <c r="E75" s="18" t="n">
        <v>71.83473291</v>
      </c>
      <c r="F75" s="20" t="n">
        <v>1.87015453</v>
      </c>
      <c r="G75" s="18" t="n">
        <v>24.38003943</v>
      </c>
      <c r="H75" s="20" t="n">
        <v>1.82386265</v>
      </c>
      <c r="I75" s="18" t="s">
        <v>349</v>
      </c>
      <c r="J75" s="20" t="s">
        <v>349</v>
      </c>
      <c r="K75" s="18" t="n">
        <v>1.91526801</v>
      </c>
      <c r="L75" s="20" t="n">
        <v>0.58035613</v>
      </c>
      <c r="M75" s="18" t="n">
        <v>0</v>
      </c>
      <c r="N75" s="20" t="n">
        <v>0</v>
      </c>
      <c r="O75" s="18" t="n">
        <v>0</v>
      </c>
      <c r="P75" s="20" t="n">
        <v>0</v>
      </c>
      <c r="Q75" s="18" t="n">
        <v>1.86995965</v>
      </c>
      <c r="R75" s="20" t="n">
        <v>0.63479297</v>
      </c>
    </row>
    <row r="76" spans="1:18">
      <c r="A76" s="15" t="s">
        <v>418</v>
      </c>
      <c r="B76" s="17" t="n">
        <v>14167</v>
      </c>
      <c r="C76" s="18">
        <f>(12419.0/B76*100)</f>
        <v/>
      </c>
      <c r="D76" s="19" t="n">
        <v>1748</v>
      </c>
      <c r="E76" s="18" t="n">
        <v>61.18730337</v>
      </c>
      <c r="F76" s="20" t="n">
        <v>1.28647003</v>
      </c>
      <c r="G76" s="18" t="n">
        <v>36.43160332</v>
      </c>
      <c r="H76" s="20" t="n">
        <v>1.34340291</v>
      </c>
      <c r="I76" s="18" t="s">
        <v>349</v>
      </c>
      <c r="J76" s="20" t="s">
        <v>349</v>
      </c>
      <c r="K76" s="18" t="n">
        <v>0.48590832</v>
      </c>
      <c r="L76" s="20" t="n">
        <v>0.19066104</v>
      </c>
      <c r="M76" s="18" t="n">
        <v>0</v>
      </c>
      <c r="N76" s="20" t="n">
        <v>0</v>
      </c>
      <c r="O76" s="18" t="n">
        <v>0</v>
      </c>
      <c r="P76" s="20" t="n">
        <v>0</v>
      </c>
      <c r="Q76" s="18" t="n">
        <v>1.89518499</v>
      </c>
      <c r="R76" s="20" t="n">
        <v>0.36823436</v>
      </c>
    </row>
    <row r="77" spans="1:18">
      <c r="A77" s="15" t="s">
        <v>419</v>
      </c>
      <c r="B77" s="17" t="n">
        <v>6062</v>
      </c>
      <c r="C77" s="18">
        <f>(5355.0/B77*100)</f>
        <v/>
      </c>
      <c r="D77" s="19" t="n">
        <v>707</v>
      </c>
      <c r="E77" s="18" t="n">
        <v>57.58231017</v>
      </c>
      <c r="F77" s="20" t="n">
        <v>2.03378781</v>
      </c>
      <c r="G77" s="18" t="n">
        <v>36.07559742</v>
      </c>
      <c r="H77" s="20" t="n">
        <v>1.83600531</v>
      </c>
      <c r="I77" s="18" t="s">
        <v>349</v>
      </c>
      <c r="J77" s="20" t="s">
        <v>349</v>
      </c>
      <c r="K77" s="18" t="n">
        <v>0.65272312</v>
      </c>
      <c r="L77" s="20" t="n">
        <v>0.36727625</v>
      </c>
      <c r="M77" s="18" t="n">
        <v>0</v>
      </c>
      <c r="N77" s="20" t="n">
        <v>0</v>
      </c>
      <c r="O77" s="18" t="n">
        <v>0</v>
      </c>
      <c r="P77" s="20" t="n">
        <v>0</v>
      </c>
      <c r="Q77" s="18" t="n">
        <v>5.68936929</v>
      </c>
      <c r="R77" s="20" t="n">
        <v>0.96094576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(7791.0/B81*100)</f>
        <v/>
      </c>
      <c r="D81" s="19" t="n">
        <v>1070</v>
      </c>
      <c r="E81" s="18" t="n">
        <v>59.15735254</v>
      </c>
      <c r="F81" s="20" t="n">
        <v>1.77241981</v>
      </c>
      <c r="G81" s="18" t="n">
        <v>40.29936332</v>
      </c>
      <c r="H81" s="20" t="n">
        <v>1.76061301</v>
      </c>
      <c r="I81" s="18" t="s">
        <v>349</v>
      </c>
      <c r="J81" s="20" t="s">
        <v>349</v>
      </c>
      <c r="K81" s="18" t="n">
        <v>0.14145084</v>
      </c>
      <c r="L81" s="20" t="n">
        <v>0.1325994</v>
      </c>
      <c r="M81" s="18" t="n">
        <v>0</v>
      </c>
      <c r="N81" s="20" t="n">
        <v>0</v>
      </c>
      <c r="O81" s="18" t="n">
        <v>0</v>
      </c>
      <c r="P81" s="20" t="n">
        <v>0</v>
      </c>
      <c r="Q81" s="18" t="n">
        <v>0.4018333</v>
      </c>
      <c r="R81" s="20" t="n">
        <v>0.21608223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(12705.0/B7*100)</f>
        <v/>
      </c>
      <c r="D7" s="19" t="n">
        <v>1825</v>
      </c>
      <c r="E7" s="18" t="n">
        <v>43.19487574</v>
      </c>
      <c r="F7" s="20" t="n">
        <v>1.31067493</v>
      </c>
      <c r="G7" s="18" t="n">
        <v>49.76980853</v>
      </c>
      <c r="H7" s="20" t="n">
        <v>1.19806976</v>
      </c>
      <c r="I7" s="18" t="s">
        <v>349</v>
      </c>
      <c r="J7" s="20" t="s">
        <v>349</v>
      </c>
      <c r="K7" s="18" t="n">
        <v>0.99934397</v>
      </c>
      <c r="L7" s="20" t="n">
        <v>0.30017074</v>
      </c>
      <c r="M7" s="18" t="n">
        <v>0</v>
      </c>
      <c r="N7" s="20" t="n">
        <v>0</v>
      </c>
      <c r="O7" s="18" t="n">
        <v>0</v>
      </c>
      <c r="P7" s="20" t="n">
        <v>0</v>
      </c>
      <c r="Q7" s="18" t="n">
        <v>6.03597176</v>
      </c>
      <c r="R7" s="20" t="n">
        <v>0.62665479</v>
      </c>
    </row>
    <row r="8" spans="1:18">
      <c r="A8" s="15" t="s">
        <v>350</v>
      </c>
      <c r="B8" s="17" t="n">
        <v>7007</v>
      </c>
      <c r="C8" s="18">
        <f>(6166.0/B8*100)</f>
        <v/>
      </c>
      <c r="D8" s="19" t="n">
        <v>841</v>
      </c>
      <c r="E8" s="18" t="n">
        <v>43.54527384</v>
      </c>
      <c r="F8" s="20" t="n">
        <v>2.41283747</v>
      </c>
      <c r="G8" s="18" t="n">
        <v>47.40449114</v>
      </c>
      <c r="H8" s="20" t="n">
        <v>2.40998444</v>
      </c>
      <c r="I8" s="18" t="s">
        <v>349</v>
      </c>
      <c r="J8" s="20" t="s">
        <v>349</v>
      </c>
      <c r="K8" s="18" t="n">
        <v>0.10569223</v>
      </c>
      <c r="L8" s="20" t="n">
        <v>0.07035191</v>
      </c>
      <c r="M8" s="18" t="n">
        <v>0</v>
      </c>
      <c r="N8" s="20" t="n">
        <v>0</v>
      </c>
      <c r="O8" s="18" t="n">
        <v>0</v>
      </c>
      <c r="P8" s="20" t="n">
        <v>0</v>
      </c>
      <c r="Q8" s="18" t="n">
        <v>8.944542800000001</v>
      </c>
      <c r="R8" s="20" t="n">
        <v>0.9790717799999999</v>
      </c>
    </row>
    <row r="9" spans="1:18">
      <c r="A9" s="15" t="s">
        <v>351</v>
      </c>
      <c r="B9" s="17" t="n">
        <v>9651</v>
      </c>
      <c r="C9" s="18">
        <f>(8508.0/B9*100)</f>
        <v/>
      </c>
      <c r="D9" s="19" t="n">
        <v>1143</v>
      </c>
      <c r="E9" s="18" t="n">
        <v>42.82238891</v>
      </c>
      <c r="F9" s="20" t="n">
        <v>1.85340114</v>
      </c>
      <c r="G9" s="18" t="n">
        <v>50.95489614</v>
      </c>
      <c r="H9" s="20" t="n">
        <v>1.85159747</v>
      </c>
      <c r="I9" s="18" t="s">
        <v>349</v>
      </c>
      <c r="J9" s="20" t="s">
        <v>349</v>
      </c>
      <c r="K9" s="18" t="n">
        <v>0.18499092</v>
      </c>
      <c r="L9" s="20" t="n">
        <v>0.13557478</v>
      </c>
      <c r="M9" s="18" t="n">
        <v>0</v>
      </c>
      <c r="N9" s="20" t="n">
        <v>0</v>
      </c>
      <c r="O9" s="18" t="n">
        <v>0</v>
      </c>
      <c r="P9" s="20" t="n">
        <v>0</v>
      </c>
      <c r="Q9" s="18" t="n">
        <v>6.03772403</v>
      </c>
      <c r="R9" s="20" t="n">
        <v>0.68890127</v>
      </c>
    </row>
    <row r="10" spans="1:18">
      <c r="A10" s="15" t="s">
        <v>352</v>
      </c>
      <c r="B10" s="17" t="n">
        <v>20058</v>
      </c>
      <c r="C10" s="18">
        <f>(17639.0/B10*100)</f>
        <v/>
      </c>
      <c r="D10" s="19" t="n">
        <v>2419</v>
      </c>
      <c r="E10" s="18" t="n">
        <v>42.03887599</v>
      </c>
      <c r="F10" s="20" t="n">
        <v>1.45968784</v>
      </c>
      <c r="G10" s="18" t="n">
        <v>55.34845494</v>
      </c>
      <c r="H10" s="20" t="n">
        <v>1.56069316</v>
      </c>
      <c r="I10" s="18" t="s">
        <v>349</v>
      </c>
      <c r="J10" s="20" t="s">
        <v>349</v>
      </c>
      <c r="K10" s="18" t="n">
        <v>0.15566328</v>
      </c>
      <c r="L10" s="20" t="n">
        <v>0.05873925</v>
      </c>
      <c r="M10" s="18" t="n">
        <v>0</v>
      </c>
      <c r="N10" s="20" t="n">
        <v>0</v>
      </c>
      <c r="O10" s="18" t="n">
        <v>0</v>
      </c>
      <c r="P10" s="20" t="n">
        <v>0</v>
      </c>
      <c r="Q10" s="18" t="n">
        <v>2.4570058</v>
      </c>
      <c r="R10" s="20" t="n">
        <v>0.36643218</v>
      </c>
    </row>
    <row r="11" spans="1:18">
      <c r="A11" s="15" t="s">
        <v>353</v>
      </c>
      <c r="B11" s="17" t="n">
        <v>7053</v>
      </c>
      <c r="C11" s="18">
        <f>(6208.0/B11*100)</f>
        <v/>
      </c>
      <c r="D11" s="19" t="n">
        <v>845</v>
      </c>
      <c r="E11" s="18" t="n">
        <v>63.35060648</v>
      </c>
      <c r="F11" s="20" t="n">
        <v>2.07498683</v>
      </c>
      <c r="G11" s="18" t="n">
        <v>23.72044529</v>
      </c>
      <c r="H11" s="20" t="n">
        <v>1.68015673</v>
      </c>
      <c r="I11" s="18" t="s">
        <v>349</v>
      </c>
      <c r="J11" s="20" t="s">
        <v>349</v>
      </c>
      <c r="K11" s="18" t="n">
        <v>0.92914892</v>
      </c>
      <c r="L11" s="20" t="n">
        <v>0.26143646</v>
      </c>
      <c r="M11" s="18" t="n">
        <v>0</v>
      </c>
      <c r="N11" s="20" t="n">
        <v>0</v>
      </c>
      <c r="O11" s="18" t="n">
        <v>0</v>
      </c>
      <c r="P11" s="20" t="n">
        <v>0</v>
      </c>
      <c r="Q11" s="18" t="n">
        <v>11.99979931</v>
      </c>
      <c r="R11" s="20" t="n">
        <v>1.43233775</v>
      </c>
    </row>
    <row r="12" spans="1:18">
      <c r="A12" s="15" t="s">
        <v>354</v>
      </c>
      <c r="B12" s="17" t="n">
        <v>6894</v>
      </c>
      <c r="C12" s="18">
        <f>(6075.0/B12*100)</f>
        <v/>
      </c>
      <c r="D12" s="19" t="n">
        <v>819</v>
      </c>
      <c r="E12" s="18" t="n">
        <v>42.8603804</v>
      </c>
      <c r="F12" s="20" t="n">
        <v>1.96244577</v>
      </c>
      <c r="G12" s="18" t="n">
        <v>47.98753521</v>
      </c>
      <c r="H12" s="20" t="n">
        <v>1.94555089</v>
      </c>
      <c r="I12" s="18" t="s">
        <v>349</v>
      </c>
      <c r="J12" s="20" t="s">
        <v>349</v>
      </c>
      <c r="K12" s="18" t="n">
        <v>0.12350898</v>
      </c>
      <c r="L12" s="20" t="n">
        <v>0.13053771</v>
      </c>
      <c r="M12" s="18" t="n">
        <v>0</v>
      </c>
      <c r="N12" s="20" t="n">
        <v>0</v>
      </c>
      <c r="O12" s="18" t="n">
        <v>0</v>
      </c>
      <c r="P12" s="20" t="n">
        <v>0</v>
      </c>
      <c r="Q12" s="18" t="n">
        <v>9.028575399999999</v>
      </c>
      <c r="R12" s="20" t="n">
        <v>1.1035681</v>
      </c>
    </row>
    <row r="13" spans="1:18">
      <c r="A13" s="15" t="s">
        <v>355</v>
      </c>
      <c r="B13" s="17" t="n">
        <v>7161</v>
      </c>
      <c r="C13" s="18">
        <f>(6339.0/B13*100)</f>
        <v/>
      </c>
      <c r="D13" s="19" t="n">
        <v>822</v>
      </c>
      <c r="E13" s="18" t="n">
        <v>38.22579596</v>
      </c>
      <c r="F13" s="20" t="n">
        <v>2.00044014</v>
      </c>
      <c r="G13" s="18" t="n">
        <v>55.87625157</v>
      </c>
      <c r="H13" s="20" t="n">
        <v>2.14000242</v>
      </c>
      <c r="I13" s="18" t="s">
        <v>349</v>
      </c>
      <c r="J13" s="20" t="s">
        <v>349</v>
      </c>
      <c r="K13" s="18" t="n">
        <v>0.65315832</v>
      </c>
      <c r="L13" s="20" t="n">
        <v>0.40719443</v>
      </c>
      <c r="M13" s="18" t="n">
        <v>0</v>
      </c>
      <c r="N13" s="20" t="n">
        <v>0</v>
      </c>
      <c r="O13" s="18" t="n">
        <v>0</v>
      </c>
      <c r="P13" s="20" t="n">
        <v>0</v>
      </c>
      <c r="Q13" s="18" t="n">
        <v>5.24479415</v>
      </c>
      <c r="R13" s="20" t="n">
        <v>0.9631009</v>
      </c>
    </row>
    <row r="14" spans="1:18">
      <c r="A14" s="15" t="s">
        <v>356</v>
      </c>
      <c r="B14" s="17" t="n">
        <v>5587</v>
      </c>
      <c r="C14" s="18">
        <f>(4888.0/B14*100)</f>
        <v/>
      </c>
      <c r="D14" s="19" t="n">
        <v>699</v>
      </c>
      <c r="E14" s="18" t="n">
        <v>42.20751479</v>
      </c>
      <c r="F14" s="20" t="n">
        <v>2.04518125</v>
      </c>
      <c r="G14" s="18" t="n">
        <v>54.69267038</v>
      </c>
      <c r="H14" s="20" t="n">
        <v>1.91320273</v>
      </c>
      <c r="I14" s="18" t="s">
        <v>349</v>
      </c>
      <c r="J14" s="20" t="s">
        <v>349</v>
      </c>
      <c r="K14" s="18" t="n">
        <v>0</v>
      </c>
      <c r="L14" s="20" t="n">
        <v>0</v>
      </c>
      <c r="M14" s="18" t="n">
        <v>0</v>
      </c>
      <c r="N14" s="20" t="n">
        <v>0</v>
      </c>
      <c r="O14" s="18" t="n">
        <v>0</v>
      </c>
      <c r="P14" s="20" t="n">
        <v>0</v>
      </c>
      <c r="Q14" s="18" t="n">
        <v>3.09981483</v>
      </c>
      <c r="R14" s="20" t="n">
        <v>0.75809225</v>
      </c>
    </row>
    <row r="15" spans="1:18">
      <c r="A15" s="15" t="s">
        <v>357</v>
      </c>
      <c r="B15" s="17" t="n">
        <v>5882</v>
      </c>
      <c r="C15" s="18">
        <f>(5163.0/B15*100)</f>
        <v/>
      </c>
      <c r="D15" s="19" t="n">
        <v>719</v>
      </c>
      <c r="E15" s="18" t="n">
        <v>36.66902857</v>
      </c>
      <c r="F15" s="20" t="n">
        <v>2.26198421</v>
      </c>
      <c r="G15" s="18" t="n">
        <v>57.3820262</v>
      </c>
      <c r="H15" s="20" t="n">
        <v>2.38449052</v>
      </c>
      <c r="I15" s="18" t="s">
        <v>349</v>
      </c>
      <c r="J15" s="20" t="s">
        <v>349</v>
      </c>
      <c r="K15" s="18" t="n">
        <v>0</v>
      </c>
      <c r="L15" s="20" t="n">
        <v>0</v>
      </c>
      <c r="M15" s="18" t="n">
        <v>0</v>
      </c>
      <c r="N15" s="20" t="n">
        <v>0</v>
      </c>
      <c r="O15" s="18" t="n">
        <v>0</v>
      </c>
      <c r="P15" s="20" t="n">
        <v>0</v>
      </c>
      <c r="Q15" s="18" t="n">
        <v>5.94894523</v>
      </c>
      <c r="R15" s="20" t="n">
        <v>0.96261962</v>
      </c>
    </row>
    <row r="16" spans="1:18">
      <c r="A16" s="15" t="s">
        <v>358</v>
      </c>
      <c r="B16" s="17" t="n">
        <v>6108</v>
      </c>
      <c r="C16" s="18">
        <f>(5344.0/B16*100)</f>
        <v/>
      </c>
      <c r="D16" s="19" t="n">
        <v>764</v>
      </c>
      <c r="E16" s="18" t="n">
        <v>41.44211265</v>
      </c>
      <c r="F16" s="20" t="n">
        <v>1.69549267</v>
      </c>
      <c r="G16" s="18" t="n">
        <v>51.65962143</v>
      </c>
      <c r="H16" s="20" t="n">
        <v>1.65172818</v>
      </c>
      <c r="I16" s="18" t="s">
        <v>349</v>
      </c>
      <c r="J16" s="20" t="s">
        <v>349</v>
      </c>
      <c r="K16" s="18" t="n">
        <v>1.12619275</v>
      </c>
      <c r="L16" s="20" t="n">
        <v>0.41101807</v>
      </c>
      <c r="M16" s="18" t="n">
        <v>0</v>
      </c>
      <c r="N16" s="20" t="n">
        <v>0</v>
      </c>
      <c r="O16" s="18" t="n">
        <v>0</v>
      </c>
      <c r="P16" s="20" t="n">
        <v>0</v>
      </c>
      <c r="Q16" s="18" t="n">
        <v>5.77207317</v>
      </c>
      <c r="R16" s="20" t="n">
        <v>0.92867196</v>
      </c>
    </row>
    <row r="17" spans="1:18">
      <c r="A17" s="15" t="s">
        <v>359</v>
      </c>
      <c r="B17" s="17" t="n">
        <v>6504</v>
      </c>
      <c r="C17" s="18">
        <f>(5724.0/B17*100)</f>
        <v/>
      </c>
      <c r="D17" s="19" t="n">
        <v>780</v>
      </c>
      <c r="E17" s="18" t="n">
        <v>42.39259475</v>
      </c>
      <c r="F17" s="20" t="n">
        <v>1.68036508</v>
      </c>
      <c r="G17" s="18" t="n">
        <v>51.49404455</v>
      </c>
      <c r="H17" s="20" t="n">
        <v>1.65807696</v>
      </c>
      <c r="I17" s="18" t="s">
        <v>349</v>
      </c>
      <c r="J17" s="20" t="s">
        <v>349</v>
      </c>
      <c r="K17" s="18" t="n">
        <v>0.73142475</v>
      </c>
      <c r="L17" s="20" t="n">
        <v>0.32640831</v>
      </c>
      <c r="M17" s="18" t="n">
        <v>0</v>
      </c>
      <c r="N17" s="20" t="n">
        <v>0</v>
      </c>
      <c r="O17" s="18" t="n">
        <v>0</v>
      </c>
      <c r="P17" s="20" t="n">
        <v>0</v>
      </c>
      <c r="Q17" s="18" t="n">
        <v>5.38193595</v>
      </c>
      <c r="R17" s="20" t="n">
        <v>0.86431127</v>
      </c>
    </row>
    <row r="18" spans="1:18">
      <c r="A18" s="15" t="s">
        <v>360</v>
      </c>
      <c r="B18" s="17" t="n">
        <v>5532</v>
      </c>
      <c r="C18" s="18">
        <f>(4871.0/B18*100)</f>
        <v/>
      </c>
      <c r="D18" s="19" t="n">
        <v>661</v>
      </c>
      <c r="E18" s="18" t="n">
        <v>60.86700897</v>
      </c>
      <c r="F18" s="20" t="n">
        <v>1.98889527</v>
      </c>
      <c r="G18" s="18" t="n">
        <v>29.06080596</v>
      </c>
      <c r="H18" s="20" t="n">
        <v>2.02817956</v>
      </c>
      <c r="I18" s="18" t="s">
        <v>349</v>
      </c>
      <c r="J18" s="20" t="s">
        <v>349</v>
      </c>
      <c r="K18" s="18" t="n">
        <v>0.68064649</v>
      </c>
      <c r="L18" s="20" t="n">
        <v>0.29031032</v>
      </c>
      <c r="M18" s="18" t="n">
        <v>0</v>
      </c>
      <c r="N18" s="20" t="n">
        <v>0</v>
      </c>
      <c r="O18" s="18" t="n">
        <v>0</v>
      </c>
      <c r="P18" s="20" t="n">
        <v>0</v>
      </c>
      <c r="Q18" s="18" t="n">
        <v>9.391538580000001</v>
      </c>
      <c r="R18" s="20" t="n">
        <v>1.32515489</v>
      </c>
    </row>
    <row r="19" spans="1:18">
      <c r="A19" s="15" t="s">
        <v>361</v>
      </c>
      <c r="B19" s="17" t="n">
        <v>5658</v>
      </c>
      <c r="C19" s="18">
        <f>(4966.0/B19*100)</f>
        <v/>
      </c>
      <c r="D19" s="19" t="n">
        <v>692</v>
      </c>
      <c r="E19" s="18" t="n">
        <v>45.46381237</v>
      </c>
      <c r="F19" s="20" t="n">
        <v>1.66623299</v>
      </c>
      <c r="G19" s="18" t="n">
        <v>46.47083645</v>
      </c>
      <c r="H19" s="20" t="n">
        <v>1.72561501</v>
      </c>
      <c r="I19" s="18" t="s">
        <v>349</v>
      </c>
      <c r="J19" s="20" t="s">
        <v>349</v>
      </c>
      <c r="K19" s="18" t="n">
        <v>0.59211753</v>
      </c>
      <c r="L19" s="20" t="n">
        <v>0.35161978</v>
      </c>
      <c r="M19" s="18" t="n">
        <v>0</v>
      </c>
      <c r="N19" s="20" t="n">
        <v>0</v>
      </c>
      <c r="O19" s="18" t="n">
        <v>0</v>
      </c>
      <c r="P19" s="20" t="n">
        <v>0</v>
      </c>
      <c r="Q19" s="18" t="n">
        <v>7.47323365</v>
      </c>
      <c r="R19" s="20" t="n">
        <v>1.16429132</v>
      </c>
    </row>
    <row r="20" spans="1:18">
      <c r="A20" s="15" t="s">
        <v>362</v>
      </c>
      <c r="B20" s="17" t="n">
        <v>3371</v>
      </c>
      <c r="C20" s="18">
        <f>(2944.0/B20*100)</f>
        <v/>
      </c>
      <c r="D20" s="19" t="n">
        <v>427</v>
      </c>
      <c r="E20" s="18" t="n">
        <v>47.09663495</v>
      </c>
      <c r="F20" s="20" t="n">
        <v>2.66664252</v>
      </c>
      <c r="G20" s="18" t="n">
        <v>46.43221985</v>
      </c>
      <c r="H20" s="20" t="n">
        <v>2.52657696</v>
      </c>
      <c r="I20" s="18" t="s">
        <v>349</v>
      </c>
      <c r="J20" s="20" t="s">
        <v>349</v>
      </c>
      <c r="K20" s="18" t="n">
        <v>0.48018663</v>
      </c>
      <c r="L20" s="20" t="n">
        <v>0.35293623</v>
      </c>
      <c r="M20" s="18" t="n">
        <v>0</v>
      </c>
      <c r="N20" s="20" t="n">
        <v>0</v>
      </c>
      <c r="O20" s="18" t="n">
        <v>0</v>
      </c>
      <c r="P20" s="20" t="n">
        <v>0</v>
      </c>
      <c r="Q20" s="18" t="n">
        <v>5.99095857</v>
      </c>
      <c r="R20" s="20" t="n">
        <v>1.12134859</v>
      </c>
    </row>
    <row r="21" spans="1:18">
      <c r="A21" s="15" t="s">
        <v>363</v>
      </c>
      <c r="B21" s="17" t="n">
        <v>5741</v>
      </c>
      <c r="C21" s="18">
        <f>(4813.0/B21*100)</f>
        <v/>
      </c>
      <c r="D21" s="19" t="n">
        <v>928</v>
      </c>
      <c r="E21" s="18" t="n">
        <v>43.18801656</v>
      </c>
      <c r="F21" s="20" t="n">
        <v>1.92074443</v>
      </c>
      <c r="G21" s="18" t="n">
        <v>53.08959392</v>
      </c>
      <c r="H21" s="20" t="n">
        <v>1.89253318</v>
      </c>
      <c r="I21" s="18" t="s">
        <v>349</v>
      </c>
      <c r="J21" s="20" t="s">
        <v>349</v>
      </c>
      <c r="K21" s="18" t="n">
        <v>0.2677894</v>
      </c>
      <c r="L21" s="20" t="n">
        <v>0.1536534</v>
      </c>
      <c r="M21" s="18" t="n">
        <v>0</v>
      </c>
      <c r="N21" s="20" t="n">
        <v>0</v>
      </c>
      <c r="O21" s="18" t="n">
        <v>0</v>
      </c>
      <c r="P21" s="20" t="n">
        <v>0</v>
      </c>
      <c r="Q21" s="18" t="n">
        <v>3.45460012</v>
      </c>
      <c r="R21" s="20" t="n">
        <v>0.6138695199999999</v>
      </c>
    </row>
    <row r="22" spans="1:18">
      <c r="A22" s="15" t="s">
        <v>364</v>
      </c>
      <c r="B22" s="17" t="n">
        <v>6598</v>
      </c>
      <c r="C22" s="18">
        <f>(5787.0/B22*100)</f>
        <v/>
      </c>
      <c r="D22" s="19" t="n">
        <v>811</v>
      </c>
      <c r="E22" s="18" t="n">
        <v>47.59441824</v>
      </c>
      <c r="F22" s="20" t="n">
        <v>1.70427122</v>
      </c>
      <c r="G22" s="18" t="n">
        <v>45.48111593</v>
      </c>
      <c r="H22" s="20" t="n">
        <v>1.66056927</v>
      </c>
      <c r="I22" s="18" t="s">
        <v>349</v>
      </c>
      <c r="J22" s="20" t="s">
        <v>349</v>
      </c>
      <c r="K22" s="18" t="n">
        <v>0.52699074</v>
      </c>
      <c r="L22" s="20" t="n">
        <v>0.2831118</v>
      </c>
      <c r="M22" s="18" t="n">
        <v>0</v>
      </c>
      <c r="N22" s="20" t="n">
        <v>0</v>
      </c>
      <c r="O22" s="18" t="n">
        <v>0</v>
      </c>
      <c r="P22" s="20" t="n">
        <v>0</v>
      </c>
      <c r="Q22" s="18" t="n">
        <v>6.39747509</v>
      </c>
      <c r="R22" s="20" t="n">
        <v>1.00500061</v>
      </c>
    </row>
    <row r="23" spans="1:18">
      <c r="A23" s="15" t="s">
        <v>365</v>
      </c>
      <c r="B23" s="17" t="n">
        <v>11583</v>
      </c>
      <c r="C23" s="18">
        <f>(10154.0/B23*100)</f>
        <v/>
      </c>
      <c r="D23" s="19" t="n">
        <v>1429</v>
      </c>
      <c r="E23" s="18" t="n">
        <v>36.07288255</v>
      </c>
      <c r="F23" s="20" t="n">
        <v>2.02760418</v>
      </c>
      <c r="G23" s="18" t="n">
        <v>58.26587571</v>
      </c>
      <c r="H23" s="20" t="n">
        <v>2.08781524</v>
      </c>
      <c r="I23" s="18" t="s">
        <v>349</v>
      </c>
      <c r="J23" s="20" t="s">
        <v>349</v>
      </c>
      <c r="K23" s="18" t="n">
        <v>0.6523321</v>
      </c>
      <c r="L23" s="20" t="n">
        <v>0.35648054</v>
      </c>
      <c r="M23" s="18" t="n">
        <v>0</v>
      </c>
      <c r="N23" s="20" t="n">
        <v>0</v>
      </c>
      <c r="O23" s="18" t="n">
        <v>0</v>
      </c>
      <c r="P23" s="20" t="n">
        <v>0</v>
      </c>
      <c r="Q23" s="18" t="n">
        <v>5.00890964</v>
      </c>
      <c r="R23" s="20" t="n">
        <v>0.95239149</v>
      </c>
    </row>
    <row r="24" spans="1:18">
      <c r="A24" s="15" t="s">
        <v>366</v>
      </c>
      <c r="B24" s="17" t="n">
        <v>6647</v>
      </c>
      <c r="C24" s="18">
        <f>(5817.0/B24*100)</f>
        <v/>
      </c>
      <c r="D24" s="19" t="n">
        <v>830</v>
      </c>
      <c r="E24" s="18" t="n">
        <v>37.40689238</v>
      </c>
      <c r="F24" s="20" t="n">
        <v>1.83743301</v>
      </c>
      <c r="G24" s="18" t="n">
        <v>58.62414585</v>
      </c>
      <c r="H24" s="20" t="n">
        <v>1.87302839</v>
      </c>
      <c r="I24" s="18" t="s">
        <v>349</v>
      </c>
      <c r="J24" s="20" t="s">
        <v>349</v>
      </c>
      <c r="K24" s="18" t="n">
        <v>0.23542641</v>
      </c>
      <c r="L24" s="20" t="n">
        <v>0.16466382</v>
      </c>
      <c r="M24" s="18" t="n">
        <v>0</v>
      </c>
      <c r="N24" s="20" t="n">
        <v>0</v>
      </c>
      <c r="O24" s="18" t="n">
        <v>0</v>
      </c>
      <c r="P24" s="20" t="n">
        <v>0</v>
      </c>
      <c r="Q24" s="18" t="n">
        <v>3.73353537</v>
      </c>
      <c r="R24" s="20" t="n">
        <v>0.63329449</v>
      </c>
    </row>
    <row r="25" spans="1:18">
      <c r="A25" s="15" t="s">
        <v>367</v>
      </c>
      <c r="B25" s="17" t="n">
        <v>5581</v>
      </c>
      <c r="C25" s="18">
        <f>(4887.0/B25*100)</f>
        <v/>
      </c>
      <c r="D25" s="19" t="n">
        <v>694</v>
      </c>
      <c r="E25" s="18" t="n">
        <v>41.67605872</v>
      </c>
      <c r="F25" s="20" t="n">
        <v>2.00308055</v>
      </c>
      <c r="G25" s="18" t="n">
        <v>55.31265562</v>
      </c>
      <c r="H25" s="20" t="n">
        <v>2.00283746</v>
      </c>
      <c r="I25" s="18" t="s">
        <v>349</v>
      </c>
      <c r="J25" s="20" t="s">
        <v>349</v>
      </c>
      <c r="K25" s="18" t="n">
        <v>0.28575153</v>
      </c>
      <c r="L25" s="20" t="n">
        <v>0.20189928</v>
      </c>
      <c r="M25" s="18" t="n">
        <v>0</v>
      </c>
      <c r="N25" s="20" t="n">
        <v>0</v>
      </c>
      <c r="O25" s="18" t="n">
        <v>0</v>
      </c>
      <c r="P25" s="20" t="n">
        <v>0</v>
      </c>
      <c r="Q25" s="18" t="n">
        <v>2.72553413</v>
      </c>
      <c r="R25" s="20" t="n">
        <v>0.57453246</v>
      </c>
    </row>
    <row r="26" spans="1:18">
      <c r="A26" s="15" t="s">
        <v>368</v>
      </c>
      <c r="B26" s="17" t="n">
        <v>4869</v>
      </c>
      <c r="C26" s="18">
        <f>(4283.0/B26*100)</f>
        <v/>
      </c>
      <c r="D26" s="19" t="n">
        <v>586</v>
      </c>
      <c r="E26" s="18" t="n">
        <v>49.98379725</v>
      </c>
      <c r="F26" s="20" t="n">
        <v>1.9298176</v>
      </c>
      <c r="G26" s="18" t="n">
        <v>45.81717553</v>
      </c>
      <c r="H26" s="20" t="n">
        <v>2.00713872</v>
      </c>
      <c r="I26" s="18" t="s">
        <v>349</v>
      </c>
      <c r="J26" s="20" t="s">
        <v>349</v>
      </c>
      <c r="K26" s="18" t="n">
        <v>0</v>
      </c>
      <c r="L26" s="20" t="n">
        <v>0</v>
      </c>
      <c r="M26" s="18" t="n">
        <v>0</v>
      </c>
      <c r="N26" s="20" t="n">
        <v>0</v>
      </c>
      <c r="O26" s="18" t="n">
        <v>0</v>
      </c>
      <c r="P26" s="20" t="n">
        <v>0</v>
      </c>
      <c r="Q26" s="18" t="n">
        <v>4.19902723</v>
      </c>
      <c r="R26" s="20" t="n">
        <v>0.80096344</v>
      </c>
    </row>
    <row r="27" spans="1:18">
      <c r="A27" s="15" t="s">
        <v>369</v>
      </c>
      <c r="B27" s="17" t="n">
        <v>5299</v>
      </c>
      <c r="C27" s="18">
        <f>(4666.0/B27*100)</f>
        <v/>
      </c>
      <c r="D27" s="19" t="n">
        <v>633</v>
      </c>
      <c r="E27" s="18" t="n">
        <v>48.77213315</v>
      </c>
      <c r="F27" s="20" t="n">
        <v>1.74549575</v>
      </c>
      <c r="G27" s="18" t="n">
        <v>45.51910974</v>
      </c>
      <c r="H27" s="20" t="n">
        <v>1.76108529</v>
      </c>
      <c r="I27" s="18" t="s">
        <v>349</v>
      </c>
      <c r="J27" s="20" t="s">
        <v>349</v>
      </c>
      <c r="K27" s="18" t="n">
        <v>0.48068777</v>
      </c>
      <c r="L27" s="20" t="n">
        <v>0.2776819</v>
      </c>
      <c r="M27" s="18" t="n">
        <v>0</v>
      </c>
      <c r="N27" s="20" t="n">
        <v>0</v>
      </c>
      <c r="O27" s="18" t="n">
        <v>0</v>
      </c>
      <c r="P27" s="20" t="n">
        <v>0</v>
      </c>
      <c r="Q27" s="18" t="n">
        <v>5.22806935</v>
      </c>
      <c r="R27" s="20" t="n">
        <v>0.88448645</v>
      </c>
    </row>
    <row r="28" spans="1:18">
      <c r="A28" s="15" t="s">
        <v>370</v>
      </c>
      <c r="B28" s="17" t="n">
        <v>7568</v>
      </c>
      <c r="C28" s="18">
        <f>(6703.0/B28*100)</f>
        <v/>
      </c>
      <c r="D28" s="19" t="n">
        <v>865</v>
      </c>
      <c r="E28" s="18" t="n">
        <v>76.55210729</v>
      </c>
      <c r="F28" s="20" t="n">
        <v>1.74397068</v>
      </c>
      <c r="G28" s="18" t="n">
        <v>21.20333436</v>
      </c>
      <c r="H28" s="20" t="n">
        <v>1.68539589</v>
      </c>
      <c r="I28" s="18" t="s">
        <v>349</v>
      </c>
      <c r="J28" s="20" t="s">
        <v>349</v>
      </c>
      <c r="K28" s="18" t="n">
        <v>0</v>
      </c>
      <c r="L28" s="20" t="n">
        <v>0</v>
      </c>
      <c r="M28" s="18" t="n">
        <v>0</v>
      </c>
      <c r="N28" s="20" t="n">
        <v>0</v>
      </c>
      <c r="O28" s="18" t="n">
        <v>0</v>
      </c>
      <c r="P28" s="20" t="n">
        <v>0</v>
      </c>
      <c r="Q28" s="18" t="n">
        <v>2.24455835</v>
      </c>
      <c r="R28" s="20" t="n">
        <v>0.58922355</v>
      </c>
    </row>
    <row r="29" spans="1:18">
      <c r="A29" s="15" t="s">
        <v>371</v>
      </c>
      <c r="B29" s="17" t="n">
        <v>5385</v>
      </c>
      <c r="C29" s="18">
        <f>(4744.0/B29*100)</f>
        <v/>
      </c>
      <c r="D29" s="19" t="n">
        <v>641</v>
      </c>
      <c r="E29" s="18" t="n">
        <v>44.35957861</v>
      </c>
      <c r="F29" s="20" t="n">
        <v>2.23366462</v>
      </c>
      <c r="G29" s="18" t="n">
        <v>53.30739762</v>
      </c>
      <c r="H29" s="20" t="n">
        <v>2.26370185</v>
      </c>
      <c r="I29" s="18" t="s">
        <v>349</v>
      </c>
      <c r="J29" s="20" t="s">
        <v>349</v>
      </c>
      <c r="K29" s="18" t="n">
        <v>0.38350911</v>
      </c>
      <c r="L29" s="20" t="n">
        <v>0.26506492</v>
      </c>
      <c r="M29" s="18" t="n">
        <v>0</v>
      </c>
      <c r="N29" s="20" t="n">
        <v>0</v>
      </c>
      <c r="O29" s="18" t="n">
        <v>0</v>
      </c>
      <c r="P29" s="20" t="n">
        <v>0</v>
      </c>
      <c r="Q29" s="18" t="n">
        <v>1.94951466</v>
      </c>
      <c r="R29" s="20" t="n">
        <v>0.59243204</v>
      </c>
    </row>
    <row r="30" spans="1:18">
      <c r="A30" s="15" t="s">
        <v>372</v>
      </c>
      <c r="B30" s="17" t="n">
        <v>4520</v>
      </c>
      <c r="C30" s="18">
        <f>(3959.0/B30*100)</f>
        <v/>
      </c>
      <c r="D30" s="19" t="n">
        <v>561</v>
      </c>
      <c r="E30" s="18" t="n">
        <v>45.71117847</v>
      </c>
      <c r="F30" s="20" t="n">
        <v>1.90509923</v>
      </c>
      <c r="G30" s="18" t="n">
        <v>48.41883816</v>
      </c>
      <c r="H30" s="20" t="n">
        <v>1.94078221</v>
      </c>
      <c r="I30" s="18" t="s">
        <v>349</v>
      </c>
      <c r="J30" s="20" t="s">
        <v>349</v>
      </c>
      <c r="K30" s="18" t="n">
        <v>0.27873039</v>
      </c>
      <c r="L30" s="20" t="n">
        <v>0.18625827</v>
      </c>
      <c r="M30" s="18" t="n">
        <v>0</v>
      </c>
      <c r="N30" s="20" t="n">
        <v>0</v>
      </c>
      <c r="O30" s="18" t="n">
        <v>0</v>
      </c>
      <c r="P30" s="20" t="n">
        <v>0</v>
      </c>
      <c r="Q30" s="18" t="n">
        <v>5.59125298</v>
      </c>
      <c r="R30" s="20" t="n">
        <v>1.04264126</v>
      </c>
    </row>
    <row r="31" spans="1:18">
      <c r="A31" s="15" t="s">
        <v>373</v>
      </c>
      <c r="B31" s="17" t="n">
        <v>5456</v>
      </c>
      <c r="C31" s="18">
        <f>(4768.0/B31*100)</f>
        <v/>
      </c>
      <c r="D31" s="19" t="n">
        <v>688</v>
      </c>
      <c r="E31" s="18" t="n">
        <v>41.80907024</v>
      </c>
      <c r="F31" s="20" t="n">
        <v>1.71504669</v>
      </c>
      <c r="G31" s="18" t="n">
        <v>50.65082826</v>
      </c>
      <c r="H31" s="20" t="n">
        <v>1.85097972</v>
      </c>
      <c r="I31" s="18" t="s">
        <v>349</v>
      </c>
      <c r="J31" s="20" t="s">
        <v>349</v>
      </c>
      <c r="K31" s="18" t="n">
        <v>0.87465943</v>
      </c>
      <c r="L31" s="20" t="n">
        <v>0.35487746</v>
      </c>
      <c r="M31" s="18" t="n">
        <v>0</v>
      </c>
      <c r="N31" s="20" t="n">
        <v>0</v>
      </c>
      <c r="O31" s="18" t="n">
        <v>0</v>
      </c>
      <c r="P31" s="20" t="n">
        <v>0</v>
      </c>
      <c r="Q31" s="18" t="n">
        <v>6.66544208</v>
      </c>
      <c r="R31" s="20" t="n">
        <v>0.94432802</v>
      </c>
    </row>
    <row r="32" spans="1:18">
      <c r="A32" s="15" t="s">
        <v>374</v>
      </c>
      <c r="B32" s="17" t="n">
        <v>4478</v>
      </c>
      <c r="C32" s="18">
        <f>(3757.0/B32*100)</f>
        <v/>
      </c>
      <c r="D32" s="19" t="n">
        <v>721</v>
      </c>
      <c r="E32" s="18" t="n">
        <v>50.13209569</v>
      </c>
      <c r="F32" s="20" t="n">
        <v>2.11619593</v>
      </c>
      <c r="G32" s="18" t="n">
        <v>45.12093763</v>
      </c>
      <c r="H32" s="20" t="n">
        <v>2.10872934</v>
      </c>
      <c r="I32" s="18" t="s">
        <v>349</v>
      </c>
      <c r="J32" s="20" t="s">
        <v>349</v>
      </c>
      <c r="K32" s="18" t="n">
        <v>0.12478571</v>
      </c>
      <c r="L32" s="20" t="n">
        <v>0.12493627</v>
      </c>
      <c r="M32" s="18" t="n">
        <v>0</v>
      </c>
      <c r="N32" s="20" t="n">
        <v>0</v>
      </c>
      <c r="O32" s="18" t="n">
        <v>0</v>
      </c>
      <c r="P32" s="20" t="n">
        <v>0</v>
      </c>
      <c r="Q32" s="18" t="n">
        <v>4.62218096</v>
      </c>
      <c r="R32" s="20" t="n">
        <v>0.78687285</v>
      </c>
    </row>
    <row r="33" spans="1:18">
      <c r="A33" s="15" t="s">
        <v>375</v>
      </c>
      <c r="B33" s="17" t="n">
        <v>7325</v>
      </c>
      <c r="C33" s="18">
        <f>(6421.0/B33*100)</f>
        <v/>
      </c>
      <c r="D33" s="19" t="n">
        <v>904</v>
      </c>
      <c r="E33" s="18" t="n">
        <v>41.67417156</v>
      </c>
      <c r="F33" s="20" t="n">
        <v>2.12171956</v>
      </c>
      <c r="G33" s="18" t="n">
        <v>49.70542321</v>
      </c>
      <c r="H33" s="20" t="n">
        <v>2.10412038</v>
      </c>
      <c r="I33" s="18" t="s">
        <v>349</v>
      </c>
      <c r="J33" s="20" t="s">
        <v>349</v>
      </c>
      <c r="K33" s="18" t="n">
        <v>0.6506931500000001</v>
      </c>
      <c r="L33" s="20" t="n">
        <v>0.34682114</v>
      </c>
      <c r="M33" s="18" t="n">
        <v>0</v>
      </c>
      <c r="N33" s="20" t="n">
        <v>0</v>
      </c>
      <c r="O33" s="18" t="n">
        <v>0</v>
      </c>
      <c r="P33" s="20" t="n">
        <v>0</v>
      </c>
      <c r="Q33" s="18" t="n">
        <v>7.96971208</v>
      </c>
      <c r="R33" s="20" t="n">
        <v>1.0559591</v>
      </c>
    </row>
    <row r="34" spans="1:18">
      <c r="A34" s="15" t="s">
        <v>376</v>
      </c>
      <c r="B34" s="17" t="n">
        <v>6350</v>
      </c>
      <c r="C34" s="18">
        <f>(5582.0/B34*100)</f>
        <v/>
      </c>
      <c r="D34" s="19" t="n">
        <v>768</v>
      </c>
      <c r="E34" s="18" t="n">
        <v>46.18423671</v>
      </c>
      <c r="F34" s="20" t="n">
        <v>2.04934584</v>
      </c>
      <c r="G34" s="18" t="n">
        <v>47.89744817</v>
      </c>
      <c r="H34" s="20" t="n">
        <v>1.9976636</v>
      </c>
      <c r="I34" s="18" t="s">
        <v>349</v>
      </c>
      <c r="J34" s="20" t="s">
        <v>349</v>
      </c>
      <c r="K34" s="18" t="n">
        <v>0.1920497</v>
      </c>
      <c r="L34" s="20" t="n">
        <v>0.19010427</v>
      </c>
      <c r="M34" s="18" t="n">
        <v>0</v>
      </c>
      <c r="N34" s="20" t="n">
        <v>0</v>
      </c>
      <c r="O34" s="18" t="n">
        <v>0</v>
      </c>
      <c r="P34" s="20" t="n">
        <v>0</v>
      </c>
      <c r="Q34" s="18" t="n">
        <v>5.72626542</v>
      </c>
      <c r="R34" s="20" t="n">
        <v>0.9025922199999999</v>
      </c>
    </row>
    <row r="35" spans="1:18">
      <c r="A35" s="15" t="s">
        <v>377</v>
      </c>
      <c r="B35" s="17" t="n">
        <v>6406</v>
      </c>
      <c r="C35" s="18">
        <f>(5638.0/B35*100)</f>
        <v/>
      </c>
      <c r="D35" s="19" t="n">
        <v>768</v>
      </c>
      <c r="E35" s="18" t="n">
        <v>45.57360284</v>
      </c>
      <c r="F35" s="20" t="n">
        <v>2.43933408</v>
      </c>
      <c r="G35" s="18" t="n">
        <v>51.85570736</v>
      </c>
      <c r="H35" s="20" t="n">
        <v>2.4414951</v>
      </c>
      <c r="I35" s="18" t="s">
        <v>349</v>
      </c>
      <c r="J35" s="20" t="s">
        <v>349</v>
      </c>
      <c r="K35" s="18" t="n">
        <v>0</v>
      </c>
      <c r="L35" s="20" t="n">
        <v>0</v>
      </c>
      <c r="M35" s="18" t="n">
        <v>0</v>
      </c>
      <c r="N35" s="20" t="n">
        <v>0</v>
      </c>
      <c r="O35" s="18" t="n">
        <v>0</v>
      </c>
      <c r="P35" s="20" t="n">
        <v>0</v>
      </c>
      <c r="Q35" s="18" t="n">
        <v>2.5706898</v>
      </c>
      <c r="R35" s="20" t="n">
        <v>0.64552628</v>
      </c>
    </row>
    <row r="36" spans="1:18">
      <c r="A36" s="15" t="s">
        <v>378</v>
      </c>
      <c r="B36" s="17" t="n">
        <v>6736</v>
      </c>
      <c r="C36" s="18">
        <f>(5928.0/B36*100)</f>
        <v/>
      </c>
      <c r="D36" s="19" t="n">
        <v>808</v>
      </c>
      <c r="E36" s="18" t="n">
        <v>37.7716206</v>
      </c>
      <c r="F36" s="20" t="n">
        <v>1.75526961</v>
      </c>
      <c r="G36" s="18" t="n">
        <v>54.49089187</v>
      </c>
      <c r="H36" s="20" t="n">
        <v>1.89081535</v>
      </c>
      <c r="I36" s="18" t="s">
        <v>349</v>
      </c>
      <c r="J36" s="20" t="s">
        <v>349</v>
      </c>
      <c r="K36" s="18" t="n">
        <v>0.77899235</v>
      </c>
      <c r="L36" s="20" t="n">
        <v>0.38812851</v>
      </c>
      <c r="M36" s="18" t="n">
        <v>0</v>
      </c>
      <c r="N36" s="20" t="n">
        <v>0</v>
      </c>
      <c r="O36" s="18" t="n">
        <v>0</v>
      </c>
      <c r="P36" s="20" t="n">
        <v>0</v>
      </c>
      <c r="Q36" s="18" t="n">
        <v>6.95849518</v>
      </c>
      <c r="R36" s="20" t="n">
        <v>0.96356487</v>
      </c>
    </row>
    <row r="37" spans="1:18">
      <c r="A37" s="15" t="s">
        <v>379</v>
      </c>
      <c r="B37" s="17" t="n">
        <v>5458</v>
      </c>
      <c r="C37" s="18">
        <f>(4843.0/B37*100)</f>
        <v/>
      </c>
      <c r="D37" s="19" t="n">
        <v>615</v>
      </c>
      <c r="E37" s="18" t="n">
        <v>43.40012319</v>
      </c>
      <c r="F37" s="20" t="n">
        <v>2.16207946</v>
      </c>
      <c r="G37" s="18" t="n">
        <v>44.77464318</v>
      </c>
      <c r="H37" s="20" t="n">
        <v>2.23624988</v>
      </c>
      <c r="I37" s="18" t="s">
        <v>349</v>
      </c>
      <c r="J37" s="20" t="s">
        <v>349</v>
      </c>
      <c r="K37" s="18" t="n">
        <v>1.59189937</v>
      </c>
      <c r="L37" s="20" t="n">
        <v>0.57895067</v>
      </c>
      <c r="M37" s="18" t="n">
        <v>0</v>
      </c>
      <c r="N37" s="20" t="n">
        <v>0</v>
      </c>
      <c r="O37" s="18" t="n">
        <v>0</v>
      </c>
      <c r="P37" s="20" t="n">
        <v>0</v>
      </c>
      <c r="Q37" s="18" t="n">
        <v>10.23333426</v>
      </c>
      <c r="R37" s="20" t="n">
        <v>1.36106167</v>
      </c>
    </row>
    <row r="38" spans="1:18">
      <c r="A38" s="15" t="s">
        <v>380</v>
      </c>
      <c r="B38" s="17" t="n">
        <v>5860</v>
      </c>
      <c r="C38" s="18">
        <f>(4899.0/B38*100)</f>
        <v/>
      </c>
      <c r="D38" s="19" t="n">
        <v>961</v>
      </c>
      <c r="E38" s="18" t="n">
        <v>37.94915827</v>
      </c>
      <c r="F38" s="20" t="n">
        <v>1.75619407</v>
      </c>
      <c r="G38" s="18" t="n">
        <v>56.36363312</v>
      </c>
      <c r="H38" s="20" t="n">
        <v>1.97889921</v>
      </c>
      <c r="I38" s="18" t="s">
        <v>349</v>
      </c>
      <c r="J38" s="20" t="s">
        <v>349</v>
      </c>
      <c r="K38" s="18" t="n">
        <v>0.89645217</v>
      </c>
      <c r="L38" s="20" t="n">
        <v>0.36357467</v>
      </c>
      <c r="M38" s="18" t="n">
        <v>0</v>
      </c>
      <c r="N38" s="20" t="n">
        <v>0</v>
      </c>
      <c r="O38" s="18" t="n">
        <v>0</v>
      </c>
      <c r="P38" s="20" t="n">
        <v>0</v>
      </c>
      <c r="Q38" s="18" t="n">
        <v>4.79075644</v>
      </c>
      <c r="R38" s="20" t="n">
        <v>0.84757893</v>
      </c>
    </row>
    <row r="39" spans="1:18">
      <c r="A39" s="15" t="s">
        <v>381</v>
      </c>
      <c r="B39" s="17" t="n">
        <v>5895</v>
      </c>
      <c r="C39" s="18">
        <f>(5171.0/B39*100)</f>
        <v/>
      </c>
      <c r="D39" s="19" t="n">
        <v>724</v>
      </c>
      <c r="E39" s="18" t="n">
        <v>69.09011731</v>
      </c>
      <c r="F39" s="20" t="n">
        <v>2.17795477</v>
      </c>
      <c r="G39" s="18" t="n">
        <v>22.35522159</v>
      </c>
      <c r="H39" s="20" t="n">
        <v>2.0809531</v>
      </c>
      <c r="I39" s="18" t="s">
        <v>349</v>
      </c>
      <c r="J39" s="20" t="s">
        <v>349</v>
      </c>
      <c r="K39" s="18" t="n">
        <v>0.30063773</v>
      </c>
      <c r="L39" s="20" t="n">
        <v>0.2412172</v>
      </c>
      <c r="M39" s="18" t="n">
        <v>0</v>
      </c>
      <c r="N39" s="20" t="n">
        <v>0</v>
      </c>
      <c r="O39" s="18" t="n">
        <v>0</v>
      </c>
      <c r="P39" s="20" t="n">
        <v>0</v>
      </c>
      <c r="Q39" s="18" t="n">
        <v>8.254023370000001</v>
      </c>
      <c r="R39" s="20" t="n">
        <v>1.20178486</v>
      </c>
    </row>
    <row r="40" spans="1:18">
      <c r="A40" s="15" t="s">
        <v>382</v>
      </c>
      <c r="B40" s="17" t="n">
        <v>14157</v>
      </c>
      <c r="C40" s="18">
        <f>(12406.0/B40*100)</f>
        <v/>
      </c>
      <c r="D40" s="19" t="n">
        <v>1751</v>
      </c>
      <c r="E40" s="18" t="n">
        <v>41.27842485</v>
      </c>
      <c r="F40" s="20" t="n">
        <v>1.80853642</v>
      </c>
      <c r="G40" s="18" t="n">
        <v>52.41114555</v>
      </c>
      <c r="H40" s="20" t="n">
        <v>1.55920884</v>
      </c>
      <c r="I40" s="18" t="s">
        <v>349</v>
      </c>
      <c r="J40" s="20" t="s">
        <v>349</v>
      </c>
      <c r="K40" s="18" t="n">
        <v>0.50378272</v>
      </c>
      <c r="L40" s="20" t="n">
        <v>0.34246935</v>
      </c>
      <c r="M40" s="18" t="n">
        <v>0</v>
      </c>
      <c r="N40" s="20" t="n">
        <v>0</v>
      </c>
      <c r="O40" s="18" t="n">
        <v>0</v>
      </c>
      <c r="P40" s="20" t="n">
        <v>0</v>
      </c>
      <c r="Q40" s="18" t="n">
        <v>5.80664688</v>
      </c>
      <c r="R40" s="20" t="n">
        <v>0.82680087</v>
      </c>
    </row>
    <row r="41" spans="1:18">
      <c r="A41" s="15" t="s">
        <v>383</v>
      </c>
      <c r="B41" s="17" t="n">
        <v>5712</v>
      </c>
      <c r="C41" s="18">
        <f>(5045.0/B41*100)</f>
        <v/>
      </c>
      <c r="D41" s="19" t="n">
        <v>667</v>
      </c>
      <c r="E41" s="18" t="n">
        <v>55.08330438</v>
      </c>
      <c r="F41" s="20" t="n">
        <v>2.12237573</v>
      </c>
      <c r="G41" s="18" t="n">
        <v>43.18490255</v>
      </c>
      <c r="H41" s="20" t="n">
        <v>2.13281456</v>
      </c>
      <c r="I41" s="18" t="s">
        <v>349</v>
      </c>
      <c r="J41" s="20" t="s">
        <v>349</v>
      </c>
      <c r="K41" s="18" t="n">
        <v>0.31062778</v>
      </c>
      <c r="L41" s="20" t="n">
        <v>0.21974945</v>
      </c>
      <c r="M41" s="18" t="n">
        <v>0</v>
      </c>
      <c r="N41" s="20" t="n">
        <v>0</v>
      </c>
      <c r="O41" s="18" t="n">
        <v>0</v>
      </c>
      <c r="P41" s="20" t="n">
        <v>0</v>
      </c>
      <c r="Q41" s="18" t="n">
        <v>1.42116529</v>
      </c>
      <c r="R41" s="20" t="n">
        <v>0.54050975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(20695.0/B46*100)</f>
        <v/>
      </c>
      <c r="D46" s="19" t="n">
        <v>2446</v>
      </c>
      <c r="E46" s="18" t="n">
        <v>75.98758906</v>
      </c>
      <c r="F46" s="20" t="n">
        <v>1.25677572</v>
      </c>
      <c r="G46" s="18" t="n">
        <v>12.76737693</v>
      </c>
      <c r="H46" s="20" t="n">
        <v>0.97948086</v>
      </c>
      <c r="I46" s="18" t="s">
        <v>349</v>
      </c>
      <c r="J46" s="20" t="s">
        <v>349</v>
      </c>
      <c r="K46" s="18" t="n">
        <v>1.5994974</v>
      </c>
      <c r="L46" s="20" t="n">
        <v>0.34520112</v>
      </c>
      <c r="M46" s="18" t="n">
        <v>0</v>
      </c>
      <c r="N46" s="20" t="n">
        <v>0</v>
      </c>
      <c r="O46" s="18" t="n">
        <v>0</v>
      </c>
      <c r="P46" s="20" t="n">
        <v>0</v>
      </c>
      <c r="Q46" s="18" t="n">
        <v>9.6455366</v>
      </c>
      <c r="R46" s="20" t="n">
        <v>0.82975028</v>
      </c>
    </row>
    <row r="47" spans="1:18">
      <c r="A47" s="15" t="s">
        <v>389</v>
      </c>
      <c r="B47" s="17" t="n">
        <v>5928</v>
      </c>
      <c r="C47" s="18">
        <f>(5217.0/B47*100)</f>
        <v/>
      </c>
      <c r="D47" s="19" t="n">
        <v>711</v>
      </c>
      <c r="E47" s="18" t="n">
        <v>60.62767192</v>
      </c>
      <c r="F47" s="20" t="n">
        <v>2.19889972</v>
      </c>
      <c r="G47" s="18" t="n">
        <v>32.3667291</v>
      </c>
      <c r="H47" s="20" t="n">
        <v>2.29894218</v>
      </c>
      <c r="I47" s="18" t="s">
        <v>349</v>
      </c>
      <c r="J47" s="20" t="s">
        <v>349</v>
      </c>
      <c r="K47" s="18" t="n">
        <v>0.5422209</v>
      </c>
      <c r="L47" s="20" t="n">
        <v>0.27030969</v>
      </c>
      <c r="M47" s="18" t="n">
        <v>0</v>
      </c>
      <c r="N47" s="20" t="n">
        <v>0</v>
      </c>
      <c r="O47" s="18" t="n">
        <v>0</v>
      </c>
      <c r="P47" s="20" t="n">
        <v>0</v>
      </c>
      <c r="Q47" s="18" t="n">
        <v>6.46337808</v>
      </c>
      <c r="R47" s="20" t="n">
        <v>0.87700206</v>
      </c>
    </row>
    <row r="48" spans="1:18">
      <c r="A48" s="15" t="s">
        <v>390</v>
      </c>
      <c r="B48" s="17" t="n">
        <v>9841</v>
      </c>
      <c r="C48" s="18">
        <f>(8603.0/B48*100)</f>
        <v/>
      </c>
      <c r="D48" s="19" t="n">
        <v>1238</v>
      </c>
      <c r="E48" s="18" t="n">
        <v>46.77976286</v>
      </c>
      <c r="F48" s="20" t="n">
        <v>2.03938984</v>
      </c>
      <c r="G48" s="18" t="n">
        <v>51.5567212</v>
      </c>
      <c r="H48" s="20" t="n">
        <v>2.0912845</v>
      </c>
      <c r="I48" s="18" t="s">
        <v>349</v>
      </c>
      <c r="J48" s="20" t="s">
        <v>349</v>
      </c>
      <c r="K48" s="18" t="n">
        <v>0.15845174</v>
      </c>
      <c r="L48" s="20" t="n">
        <v>0.11853733</v>
      </c>
      <c r="M48" s="18" t="n">
        <v>0</v>
      </c>
      <c r="N48" s="20" t="n">
        <v>0</v>
      </c>
      <c r="O48" s="18" t="n">
        <v>0</v>
      </c>
      <c r="P48" s="20" t="n">
        <v>0</v>
      </c>
      <c r="Q48" s="18" t="n">
        <v>1.5050642</v>
      </c>
      <c r="R48" s="20" t="n">
        <v>0.4268908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(10375.0/B50*100)</f>
        <v/>
      </c>
      <c r="D50" s="19" t="n">
        <v>1420</v>
      </c>
      <c r="E50" s="18" t="n">
        <v>80.72577274</v>
      </c>
      <c r="F50" s="20" t="n">
        <v>1.41526606</v>
      </c>
      <c r="G50" s="18" t="n">
        <v>13.44637047</v>
      </c>
      <c r="H50" s="20" t="n">
        <v>1.3213353</v>
      </c>
      <c r="I50" s="18" t="s">
        <v>349</v>
      </c>
      <c r="J50" s="20" t="s">
        <v>349</v>
      </c>
      <c r="K50" s="18" t="n">
        <v>0.93135348</v>
      </c>
      <c r="L50" s="20" t="n">
        <v>0.32559101</v>
      </c>
      <c r="M50" s="18" t="n">
        <v>0</v>
      </c>
      <c r="N50" s="20" t="n">
        <v>0</v>
      </c>
      <c r="O50" s="18" t="n">
        <v>0</v>
      </c>
      <c r="P50" s="20" t="n">
        <v>0</v>
      </c>
      <c r="Q50" s="18" t="n">
        <v>4.89650331</v>
      </c>
      <c r="R50" s="20" t="n">
        <v>0.70173774</v>
      </c>
    </row>
    <row r="51" spans="1:18">
      <c r="A51" s="15" t="s">
        <v>393</v>
      </c>
      <c r="B51" s="17" t="n">
        <v>6866</v>
      </c>
      <c r="C51" s="18">
        <f>(6137.0/B51*100)</f>
        <v/>
      </c>
      <c r="D51" s="19" t="n">
        <v>729</v>
      </c>
      <c r="E51" s="18" t="n">
        <v>83.88175162</v>
      </c>
      <c r="F51" s="20" t="n">
        <v>1.3621271</v>
      </c>
      <c r="G51" s="18" t="n">
        <v>8.09190682</v>
      </c>
      <c r="H51" s="20" t="n">
        <v>1.17955267</v>
      </c>
      <c r="I51" s="18" t="s">
        <v>349</v>
      </c>
      <c r="J51" s="20" t="s">
        <v>349</v>
      </c>
      <c r="K51" s="18" t="n">
        <v>0.63897674</v>
      </c>
      <c r="L51" s="20" t="n">
        <v>0.38396422</v>
      </c>
      <c r="M51" s="18" t="n">
        <v>0</v>
      </c>
      <c r="N51" s="20" t="n">
        <v>0</v>
      </c>
      <c r="O51" s="18" t="n">
        <v>0</v>
      </c>
      <c r="P51" s="20" t="n">
        <v>0</v>
      </c>
      <c r="Q51" s="18" t="n">
        <v>7.38736482</v>
      </c>
      <c r="R51" s="20" t="n">
        <v>0.81533685</v>
      </c>
    </row>
    <row r="52" spans="1:18">
      <c r="A52" s="15" t="s">
        <v>394</v>
      </c>
      <c r="B52" s="17" t="n">
        <v>5809</v>
      </c>
      <c r="C52" s="18">
        <f>(5094.0/B52*100)</f>
        <v/>
      </c>
      <c r="D52" s="19" t="n">
        <v>715</v>
      </c>
      <c r="E52" s="18" t="n">
        <v>50.14520018</v>
      </c>
      <c r="F52" s="20" t="n">
        <v>1.89284662</v>
      </c>
      <c r="G52" s="18" t="n">
        <v>42.02038505</v>
      </c>
      <c r="H52" s="20" t="n">
        <v>1.96399174</v>
      </c>
      <c r="I52" s="18" t="s">
        <v>349</v>
      </c>
      <c r="J52" s="20" t="s">
        <v>349</v>
      </c>
      <c r="K52" s="18" t="n">
        <v>0</v>
      </c>
      <c r="L52" s="20" t="n">
        <v>0</v>
      </c>
      <c r="M52" s="18" t="n">
        <v>0</v>
      </c>
      <c r="N52" s="20" t="n">
        <v>0</v>
      </c>
      <c r="O52" s="18" t="n">
        <v>0</v>
      </c>
      <c r="P52" s="20" t="n">
        <v>0</v>
      </c>
      <c r="Q52" s="18" t="n">
        <v>7.83441477</v>
      </c>
      <c r="R52" s="20" t="n">
        <v>0.97599345</v>
      </c>
    </row>
    <row r="53" spans="1:18">
      <c r="A53" s="15" t="s">
        <v>395</v>
      </c>
      <c r="B53" s="17" t="n">
        <v>5571</v>
      </c>
      <c r="C53" s="18">
        <f>(4866.0/B53*100)</f>
        <v/>
      </c>
      <c r="D53" s="19" t="n">
        <v>705</v>
      </c>
      <c r="E53" s="18" t="n">
        <v>62.82474333</v>
      </c>
      <c r="F53" s="20" t="n">
        <v>1.89754936</v>
      </c>
      <c r="G53" s="18" t="n">
        <v>30.05795062</v>
      </c>
      <c r="H53" s="20" t="n">
        <v>1.93566339</v>
      </c>
      <c r="I53" s="18" t="s">
        <v>349</v>
      </c>
      <c r="J53" s="20" t="s">
        <v>349</v>
      </c>
      <c r="K53" s="18" t="n">
        <v>0.73038763</v>
      </c>
      <c r="L53" s="20" t="n">
        <v>0.34022717</v>
      </c>
      <c r="M53" s="18" t="n">
        <v>0</v>
      </c>
      <c r="N53" s="20" t="n">
        <v>0</v>
      </c>
      <c r="O53" s="18" t="n">
        <v>0</v>
      </c>
      <c r="P53" s="20" t="n">
        <v>0</v>
      </c>
      <c r="Q53" s="18" t="n">
        <v>6.38691842</v>
      </c>
      <c r="R53" s="20" t="n">
        <v>1.04120186</v>
      </c>
    </row>
    <row r="54" spans="1:18">
      <c r="A54" s="15" t="s">
        <v>396</v>
      </c>
      <c r="B54" s="17" t="n">
        <v>4740</v>
      </c>
      <c r="C54" s="18">
        <f>(3950.0/B54*100)</f>
        <v/>
      </c>
      <c r="D54" s="19" t="n">
        <v>790</v>
      </c>
      <c r="E54" s="18" t="n">
        <v>75.00909674</v>
      </c>
      <c r="F54" s="20" t="n">
        <v>1.82185811</v>
      </c>
      <c r="G54" s="18" t="n">
        <v>1.42933739</v>
      </c>
      <c r="H54" s="20" t="n">
        <v>0.63726973</v>
      </c>
      <c r="I54" s="18" t="s">
        <v>349</v>
      </c>
      <c r="J54" s="20" t="s">
        <v>349</v>
      </c>
      <c r="K54" s="18" t="n">
        <v>8.392415509999999</v>
      </c>
      <c r="L54" s="20" t="n">
        <v>1.14531357</v>
      </c>
      <c r="M54" s="18" t="n">
        <v>0</v>
      </c>
      <c r="N54" s="20" t="n">
        <v>0</v>
      </c>
      <c r="O54" s="18" t="n">
        <v>0</v>
      </c>
      <c r="P54" s="20" t="n">
        <v>0</v>
      </c>
      <c r="Q54" s="18" t="n">
        <v>15.16915036</v>
      </c>
      <c r="R54" s="20" t="n">
        <v>1.3712458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(4679.0/B56*100)</f>
        <v/>
      </c>
      <c r="D56" s="19" t="n">
        <v>680</v>
      </c>
      <c r="E56" s="18" t="n">
        <v>39.29838498</v>
      </c>
      <c r="F56" s="20" t="n">
        <v>1.94609965</v>
      </c>
      <c r="G56" s="18" t="n">
        <v>58.8417316</v>
      </c>
      <c r="H56" s="20" t="n">
        <v>2.12495128</v>
      </c>
      <c r="I56" s="18" t="s">
        <v>349</v>
      </c>
      <c r="J56" s="20" t="s">
        <v>349</v>
      </c>
      <c r="K56" s="18" t="n">
        <v>0.12096013</v>
      </c>
      <c r="L56" s="20" t="n">
        <v>0.12321067</v>
      </c>
      <c r="M56" s="18" t="n">
        <v>0</v>
      </c>
      <c r="N56" s="20" t="n">
        <v>0</v>
      </c>
      <c r="O56" s="18" t="n">
        <v>0</v>
      </c>
      <c r="P56" s="20" t="n">
        <v>0</v>
      </c>
      <c r="Q56" s="18" t="n">
        <v>1.73892329</v>
      </c>
      <c r="R56" s="20" t="n">
        <v>0.5526790499999999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(5716.0/B61*100)</f>
        <v/>
      </c>
      <c r="D61" s="19" t="n">
        <v>809</v>
      </c>
      <c r="E61" s="18" t="n">
        <v>49.12904369</v>
      </c>
      <c r="F61" s="20" t="n">
        <v>1.94073478</v>
      </c>
      <c r="G61" s="18" t="n">
        <v>47.14001754</v>
      </c>
      <c r="H61" s="20" t="n">
        <v>1.92905216</v>
      </c>
      <c r="I61" s="18" t="s">
        <v>349</v>
      </c>
      <c r="J61" s="20" t="s">
        <v>349</v>
      </c>
      <c r="K61" s="18" t="n">
        <v>0.28192642</v>
      </c>
      <c r="L61" s="20" t="n">
        <v>0.2013754</v>
      </c>
      <c r="M61" s="18" t="n">
        <v>0</v>
      </c>
      <c r="N61" s="20" t="n">
        <v>0</v>
      </c>
      <c r="O61" s="18" t="n">
        <v>0</v>
      </c>
      <c r="P61" s="20" t="n">
        <v>0</v>
      </c>
      <c r="Q61" s="18" t="n">
        <v>3.44901236</v>
      </c>
      <c r="R61" s="20" t="n">
        <v>0.62616731</v>
      </c>
    </row>
    <row r="62" spans="1:18">
      <c r="A62" s="15" t="s">
        <v>404</v>
      </c>
      <c r="B62" s="17" t="n">
        <v>4476</v>
      </c>
      <c r="C62" s="18">
        <f>(3926.0/B62*100)</f>
        <v/>
      </c>
      <c r="D62" s="19" t="n">
        <v>550</v>
      </c>
      <c r="E62" s="18" t="n">
        <v>40.32503726</v>
      </c>
      <c r="F62" s="20" t="n">
        <v>2.15089142</v>
      </c>
      <c r="G62" s="18" t="n">
        <v>58.94426977</v>
      </c>
      <c r="H62" s="20" t="n">
        <v>2.17901352</v>
      </c>
      <c r="I62" s="18" t="s">
        <v>349</v>
      </c>
      <c r="J62" s="20" t="s">
        <v>349</v>
      </c>
      <c r="K62" s="18" t="n">
        <v>0</v>
      </c>
      <c r="L62" s="20" t="n">
        <v>0</v>
      </c>
      <c r="M62" s="18" t="n">
        <v>0</v>
      </c>
      <c r="N62" s="20" t="n">
        <v>0</v>
      </c>
      <c r="O62" s="18" t="n">
        <v>0</v>
      </c>
      <c r="P62" s="20" t="n">
        <v>0</v>
      </c>
      <c r="Q62" s="18" t="n">
        <v>0.73069297</v>
      </c>
      <c r="R62" s="20" t="n">
        <v>0.35804978</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60.4427825</v>
      </c>
      <c r="F66" s="20" t="n">
        <v>1.61376396</v>
      </c>
      <c r="G66" s="18" t="n">
        <v>22.25724618</v>
      </c>
      <c r="H66" s="20" t="n">
        <v>1.52877287</v>
      </c>
      <c r="I66" s="18" t="s">
        <v>349</v>
      </c>
      <c r="J66" s="20" t="s">
        <v>349</v>
      </c>
      <c r="K66" s="18" t="n">
        <v>1.21535844</v>
      </c>
      <c r="L66" s="20" t="n">
        <v>0.42452488</v>
      </c>
      <c r="M66" s="18" t="n">
        <v>0</v>
      </c>
      <c r="N66" s="20" t="n">
        <v>0</v>
      </c>
      <c r="O66" s="18" t="n">
        <v>0</v>
      </c>
      <c r="P66" s="20" t="n">
        <v>0</v>
      </c>
      <c r="Q66" s="18" t="n">
        <v>16.08461287</v>
      </c>
      <c r="R66" s="20" t="n">
        <v>1.39841456</v>
      </c>
    </row>
    <row r="67" spans="1:18">
      <c r="A67" s="15" t="s">
        <v>409</v>
      </c>
      <c r="B67" s="17" t="n">
        <v>6971</v>
      </c>
      <c r="C67" s="18">
        <f>(6175.0/B67*100)</f>
        <v/>
      </c>
      <c r="D67" s="19" t="n">
        <v>796</v>
      </c>
      <c r="E67" s="18" t="n">
        <v>81.61567789</v>
      </c>
      <c r="F67" s="20" t="n">
        <v>1.24827849</v>
      </c>
      <c r="G67" s="18" t="n">
        <v>9.90222721</v>
      </c>
      <c r="H67" s="20" t="n">
        <v>1.12384931</v>
      </c>
      <c r="I67" s="18" t="s">
        <v>349</v>
      </c>
      <c r="J67" s="20" t="s">
        <v>349</v>
      </c>
      <c r="K67" s="18" t="n">
        <v>0.21206985</v>
      </c>
      <c r="L67" s="20" t="n">
        <v>0.15124229</v>
      </c>
      <c r="M67" s="18" t="n">
        <v>0</v>
      </c>
      <c r="N67" s="20" t="n">
        <v>0</v>
      </c>
      <c r="O67" s="18" t="n">
        <v>0</v>
      </c>
      <c r="P67" s="20" t="n">
        <v>0</v>
      </c>
      <c r="Q67" s="18" t="n">
        <v>8.270025049999999</v>
      </c>
      <c r="R67" s="20" t="n">
        <v>0.93120835</v>
      </c>
    </row>
    <row r="68" spans="1:18">
      <c r="A68" s="15" t="s">
        <v>410</v>
      </c>
      <c r="B68" s="17" t="n">
        <v>12083</v>
      </c>
      <c r="C68" s="18">
        <f>(10064.0/B68*100)</f>
        <v/>
      </c>
      <c r="D68" s="19" t="n">
        <v>2019</v>
      </c>
      <c r="E68" s="18" t="n">
        <v>69.97063077999999</v>
      </c>
      <c r="F68" s="20" t="n">
        <v>1.07883129</v>
      </c>
      <c r="G68" s="18" t="n">
        <v>19.94718077</v>
      </c>
      <c r="H68" s="20" t="n">
        <v>0.89887181</v>
      </c>
      <c r="I68" s="18" t="s">
        <v>349</v>
      </c>
      <c r="J68" s="20" t="s">
        <v>349</v>
      </c>
      <c r="K68" s="18" t="n">
        <v>2.80950468</v>
      </c>
      <c r="L68" s="20" t="n">
        <v>0.34910614</v>
      </c>
      <c r="M68" s="18" t="n">
        <v>0</v>
      </c>
      <c r="N68" s="20" t="n">
        <v>0</v>
      </c>
      <c r="O68" s="18" t="n">
        <v>0</v>
      </c>
      <c r="P68" s="20" t="n">
        <v>0</v>
      </c>
      <c r="Q68" s="18" t="n">
        <v>7.27268377</v>
      </c>
      <c r="R68" s="20" t="n">
        <v>0.6004954</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(5302.0/B70*100)</f>
        <v/>
      </c>
      <c r="D70" s="19" t="n">
        <v>734</v>
      </c>
      <c r="E70" s="18" t="n">
        <v>56.49092997</v>
      </c>
      <c r="F70" s="20" t="n">
        <v>1.89934691</v>
      </c>
      <c r="G70" s="18" t="n">
        <v>40.39484754</v>
      </c>
      <c r="H70" s="20" t="n">
        <v>1.92146634</v>
      </c>
      <c r="I70" s="18" t="s">
        <v>349</v>
      </c>
      <c r="J70" s="20" t="s">
        <v>349</v>
      </c>
      <c r="K70" s="18" t="n">
        <v>0.08871297</v>
      </c>
      <c r="L70" s="20" t="n">
        <v>0.08945888</v>
      </c>
      <c r="M70" s="18" t="n">
        <v>0</v>
      </c>
      <c r="N70" s="20" t="n">
        <v>0</v>
      </c>
      <c r="O70" s="18" t="n">
        <v>0</v>
      </c>
      <c r="P70" s="20" t="n">
        <v>0</v>
      </c>
      <c r="Q70" s="18" t="n">
        <v>3.02550952</v>
      </c>
      <c r="R70" s="20" t="n">
        <v>0.66859685</v>
      </c>
    </row>
    <row r="71" spans="1:18">
      <c r="A71" s="15" t="s">
        <v>413</v>
      </c>
      <c r="B71" s="17" t="n">
        <v>6115</v>
      </c>
      <c r="C71" s="18">
        <f>(5367.0/B71*100)</f>
        <v/>
      </c>
      <c r="D71" s="19" t="n">
        <v>748</v>
      </c>
      <c r="E71" s="18" t="n">
        <v>26.99234577</v>
      </c>
      <c r="F71" s="20" t="n">
        <v>1.60251284</v>
      </c>
      <c r="G71" s="18" t="n">
        <v>71.57825026</v>
      </c>
      <c r="H71" s="20" t="n">
        <v>1.64804897</v>
      </c>
      <c r="I71" s="18" t="s">
        <v>349</v>
      </c>
      <c r="J71" s="20" t="s">
        <v>349</v>
      </c>
      <c r="K71" s="18" t="n">
        <v>0.31521087</v>
      </c>
      <c r="L71" s="20" t="n">
        <v>0.19013144</v>
      </c>
      <c r="M71" s="18" t="n">
        <v>0</v>
      </c>
      <c r="N71" s="20" t="n">
        <v>0</v>
      </c>
      <c r="O71" s="18" t="n">
        <v>0</v>
      </c>
      <c r="P71" s="20" t="n">
        <v>0</v>
      </c>
      <c r="Q71" s="18" t="n">
        <v>1.1141931</v>
      </c>
      <c r="R71" s="20" t="n">
        <v>0.29222229</v>
      </c>
    </row>
    <row r="72" spans="1:18">
      <c r="A72" s="15" t="s">
        <v>414</v>
      </c>
      <c r="B72" s="17" t="n">
        <v>7708</v>
      </c>
      <c r="C72" s="18">
        <f>(6767.0/B72*100)</f>
        <v/>
      </c>
      <c r="D72" s="19" t="n">
        <v>941</v>
      </c>
      <c r="E72" s="18" t="n">
        <v>48.55678711</v>
      </c>
      <c r="F72" s="20" t="n">
        <v>1.65177916</v>
      </c>
      <c r="G72" s="18" t="n">
        <v>49.28869615</v>
      </c>
      <c r="H72" s="20" t="n">
        <v>1.66807522</v>
      </c>
      <c r="I72" s="18" t="s">
        <v>349</v>
      </c>
      <c r="J72" s="20" t="s">
        <v>349</v>
      </c>
      <c r="K72" s="18" t="n">
        <v>0</v>
      </c>
      <c r="L72" s="20" t="n">
        <v>0</v>
      </c>
      <c r="M72" s="18" t="n">
        <v>0</v>
      </c>
      <c r="N72" s="20" t="n">
        <v>0</v>
      </c>
      <c r="O72" s="18" t="n">
        <v>0</v>
      </c>
      <c r="P72" s="20" t="n">
        <v>0</v>
      </c>
      <c r="Q72" s="18" t="n">
        <v>2.15451674</v>
      </c>
      <c r="R72" s="20" t="n">
        <v>0.46145366</v>
      </c>
    </row>
    <row r="73" spans="1:18">
      <c r="A73" s="15" t="s">
        <v>415</v>
      </c>
      <c r="B73" s="17" t="n">
        <v>8249</v>
      </c>
      <c r="C73" s="18">
        <f>(7287.0/B73*100)</f>
        <v/>
      </c>
      <c r="D73" s="19" t="n">
        <v>962</v>
      </c>
      <c r="E73" s="18" t="n">
        <v>82.92816752</v>
      </c>
      <c r="F73" s="20" t="n">
        <v>1.47197125</v>
      </c>
      <c r="G73" s="18" t="n">
        <v>15.22185209</v>
      </c>
      <c r="H73" s="20" t="n">
        <v>1.46390223</v>
      </c>
      <c r="I73" s="18" t="s">
        <v>349</v>
      </c>
      <c r="J73" s="20" t="s">
        <v>349</v>
      </c>
      <c r="K73" s="18" t="n">
        <v>0</v>
      </c>
      <c r="L73" s="20" t="n">
        <v>0</v>
      </c>
      <c r="M73" s="18" t="n">
        <v>0</v>
      </c>
      <c r="N73" s="20" t="n">
        <v>0</v>
      </c>
      <c r="O73" s="18" t="n">
        <v>0</v>
      </c>
      <c r="P73" s="20" t="n">
        <v>0</v>
      </c>
      <c r="Q73" s="18" t="n">
        <v>1.84998039</v>
      </c>
      <c r="R73" s="20" t="n">
        <v>0.57064523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(4769.0/B75*100)</f>
        <v/>
      </c>
      <c r="D75" s="19" t="n">
        <v>606</v>
      </c>
      <c r="E75" s="18" t="n">
        <v>78.80936756</v>
      </c>
      <c r="F75" s="20" t="n">
        <v>1.65614279</v>
      </c>
      <c r="G75" s="18" t="n">
        <v>6.71981796</v>
      </c>
      <c r="H75" s="20" t="n">
        <v>0.9647768799999999</v>
      </c>
      <c r="I75" s="18" t="s">
        <v>349</v>
      </c>
      <c r="J75" s="20" t="s">
        <v>349</v>
      </c>
      <c r="K75" s="18" t="n">
        <v>3.09625246</v>
      </c>
      <c r="L75" s="20" t="n">
        <v>0.77069815</v>
      </c>
      <c r="M75" s="18" t="n">
        <v>0</v>
      </c>
      <c r="N75" s="20" t="n">
        <v>0</v>
      </c>
      <c r="O75" s="18" t="n">
        <v>0</v>
      </c>
      <c r="P75" s="20" t="n">
        <v>0</v>
      </c>
      <c r="Q75" s="18" t="n">
        <v>11.37456203</v>
      </c>
      <c r="R75" s="20" t="n">
        <v>1.33920473</v>
      </c>
    </row>
    <row r="76" spans="1:18">
      <c r="A76" s="15" t="s">
        <v>418</v>
      </c>
      <c r="B76" s="17" t="n">
        <v>14167</v>
      </c>
      <c r="C76" s="18">
        <f>(12420.0/B76*100)</f>
        <v/>
      </c>
      <c r="D76" s="19" t="n">
        <v>1747</v>
      </c>
      <c r="E76" s="18" t="n">
        <v>70.50729760999999</v>
      </c>
      <c r="F76" s="20" t="n">
        <v>1.32703403</v>
      </c>
      <c r="G76" s="18" t="n">
        <v>26.01330051</v>
      </c>
      <c r="H76" s="20" t="n">
        <v>1.31228079</v>
      </c>
      <c r="I76" s="18" t="s">
        <v>349</v>
      </c>
      <c r="J76" s="20" t="s">
        <v>349</v>
      </c>
      <c r="K76" s="18" t="n">
        <v>0.68334353</v>
      </c>
      <c r="L76" s="20" t="n">
        <v>0.22339571</v>
      </c>
      <c r="M76" s="18" t="n">
        <v>0</v>
      </c>
      <c r="N76" s="20" t="n">
        <v>0</v>
      </c>
      <c r="O76" s="18" t="n">
        <v>0</v>
      </c>
      <c r="P76" s="20" t="n">
        <v>0</v>
      </c>
      <c r="Q76" s="18" t="n">
        <v>2.79605836</v>
      </c>
      <c r="R76" s="20" t="n">
        <v>0.50264083</v>
      </c>
    </row>
    <row r="77" spans="1:18">
      <c r="A77" s="15" t="s">
        <v>419</v>
      </c>
      <c r="B77" s="17" t="n">
        <v>6062</v>
      </c>
      <c r="C77" s="18">
        <f>(5365.0/B77*100)</f>
        <v/>
      </c>
      <c r="D77" s="19" t="n">
        <v>697</v>
      </c>
      <c r="E77" s="18" t="n">
        <v>59.96861727</v>
      </c>
      <c r="F77" s="20" t="n">
        <v>2.08673741</v>
      </c>
      <c r="G77" s="18" t="n">
        <v>21.07252637</v>
      </c>
      <c r="H77" s="20" t="n">
        <v>1.80161956</v>
      </c>
      <c r="I77" s="18" t="s">
        <v>349</v>
      </c>
      <c r="J77" s="20" t="s">
        <v>349</v>
      </c>
      <c r="K77" s="18" t="n">
        <v>1.46459068</v>
      </c>
      <c r="L77" s="20" t="n">
        <v>0.48475551</v>
      </c>
      <c r="M77" s="18" t="n">
        <v>0</v>
      </c>
      <c r="N77" s="20" t="n">
        <v>0</v>
      </c>
      <c r="O77" s="18" t="n">
        <v>0</v>
      </c>
      <c r="P77" s="20" t="n">
        <v>0</v>
      </c>
      <c r="Q77" s="18" t="n">
        <v>17.49426568</v>
      </c>
      <c r="R77" s="20" t="n">
        <v>1.37572153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(7791.0/B81*100)</f>
        <v/>
      </c>
      <c r="D81" s="19" t="n">
        <v>1070</v>
      </c>
      <c r="E81" s="18" t="n">
        <v>69.38710494999999</v>
      </c>
      <c r="F81" s="20" t="n">
        <v>2.07871655</v>
      </c>
      <c r="G81" s="18" t="n">
        <v>29.39302649</v>
      </c>
      <c r="H81" s="20" t="n">
        <v>2.07739179</v>
      </c>
      <c r="I81" s="18" t="s">
        <v>349</v>
      </c>
      <c r="J81" s="20" t="s">
        <v>349</v>
      </c>
      <c r="K81" s="18" t="n">
        <v>0.14145084</v>
      </c>
      <c r="L81" s="20" t="n">
        <v>0.1325994</v>
      </c>
      <c r="M81" s="18" t="n">
        <v>0</v>
      </c>
      <c r="N81" s="20" t="n">
        <v>0</v>
      </c>
      <c r="O81" s="18" t="n">
        <v>0</v>
      </c>
      <c r="P81" s="20" t="n">
        <v>0</v>
      </c>
      <c r="Q81" s="18" t="n">
        <v>1.07841772</v>
      </c>
      <c r="R81" s="20" t="n">
        <v>0.37733006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(12709.0/B7*100)</f>
        <v/>
      </c>
      <c r="D7" s="19" t="n">
        <v>1821</v>
      </c>
      <c r="E7" s="18" t="n">
        <v>49.94332665</v>
      </c>
      <c r="F7" s="20" t="n">
        <v>1.3382487</v>
      </c>
      <c r="G7" s="18" t="n">
        <v>47.27318622</v>
      </c>
      <c r="H7" s="20" t="n">
        <v>1.39885895</v>
      </c>
      <c r="I7" s="18" t="s">
        <v>349</v>
      </c>
      <c r="J7" s="20" t="s">
        <v>349</v>
      </c>
      <c r="K7" s="18" t="n">
        <v>1.02579024</v>
      </c>
      <c r="L7" s="20" t="n">
        <v>0.30139413</v>
      </c>
      <c r="M7" s="18" t="n">
        <v>0</v>
      </c>
      <c r="N7" s="20" t="n">
        <v>0</v>
      </c>
      <c r="O7" s="18" t="n">
        <v>0</v>
      </c>
      <c r="P7" s="20" t="n">
        <v>0</v>
      </c>
      <c r="Q7" s="18" t="n">
        <v>1.75769689</v>
      </c>
      <c r="R7" s="20" t="n">
        <v>0.3334629</v>
      </c>
    </row>
    <row r="8" spans="1:18">
      <c r="A8" s="15" t="s">
        <v>350</v>
      </c>
      <c r="B8" s="17" t="n">
        <v>7007</v>
      </c>
      <c r="C8" s="18">
        <f>(6167.0/B8*100)</f>
        <v/>
      </c>
      <c r="D8" s="19" t="n">
        <v>840</v>
      </c>
      <c r="E8" s="18" t="n">
        <v>47.55046708</v>
      </c>
      <c r="F8" s="20" t="n">
        <v>1.68748587</v>
      </c>
      <c r="G8" s="18" t="n">
        <v>47.90672807</v>
      </c>
      <c r="H8" s="20" t="n">
        <v>1.69360942</v>
      </c>
      <c r="I8" s="18" t="s">
        <v>349</v>
      </c>
      <c r="J8" s="20" t="s">
        <v>349</v>
      </c>
      <c r="K8" s="18" t="n">
        <v>0.26534541</v>
      </c>
      <c r="L8" s="20" t="n">
        <v>0.1383882</v>
      </c>
      <c r="M8" s="18" t="n">
        <v>0</v>
      </c>
      <c r="N8" s="20" t="n">
        <v>0</v>
      </c>
      <c r="O8" s="18" t="n">
        <v>0</v>
      </c>
      <c r="P8" s="20" t="n">
        <v>0</v>
      </c>
      <c r="Q8" s="18" t="n">
        <v>4.27745945</v>
      </c>
      <c r="R8" s="20" t="n">
        <v>0.81350093</v>
      </c>
    </row>
    <row r="9" spans="1:18">
      <c r="A9" s="15" t="s">
        <v>351</v>
      </c>
      <c r="B9" s="17" t="n">
        <v>9651</v>
      </c>
      <c r="C9" s="18">
        <f>(8509.0/B9*100)</f>
        <v/>
      </c>
      <c r="D9" s="19" t="n">
        <v>1142</v>
      </c>
      <c r="E9" s="18" t="n">
        <v>51.534497</v>
      </c>
      <c r="F9" s="20" t="n">
        <v>1.42654106</v>
      </c>
      <c r="G9" s="18" t="n">
        <v>45.19280853</v>
      </c>
      <c r="H9" s="20" t="n">
        <v>1.49793834</v>
      </c>
      <c r="I9" s="18" t="s">
        <v>349</v>
      </c>
      <c r="J9" s="20" t="s">
        <v>349</v>
      </c>
      <c r="K9" s="18" t="n">
        <v>0.38756983</v>
      </c>
      <c r="L9" s="20" t="n">
        <v>0.18052558</v>
      </c>
      <c r="M9" s="18" t="n">
        <v>0</v>
      </c>
      <c r="N9" s="20" t="n">
        <v>0</v>
      </c>
      <c r="O9" s="18" t="n">
        <v>0</v>
      </c>
      <c r="P9" s="20" t="n">
        <v>0</v>
      </c>
      <c r="Q9" s="18" t="n">
        <v>2.88512464</v>
      </c>
      <c r="R9" s="20" t="n">
        <v>0.63741097</v>
      </c>
    </row>
    <row r="10" spans="1:18">
      <c r="A10" s="15" t="s">
        <v>352</v>
      </c>
      <c r="B10" s="17" t="n">
        <v>20058</v>
      </c>
      <c r="C10" s="18">
        <f>(17640.0/B10*100)</f>
        <v/>
      </c>
      <c r="D10" s="19" t="n">
        <v>2418</v>
      </c>
      <c r="E10" s="18" t="n">
        <v>49.32805045</v>
      </c>
      <c r="F10" s="20" t="n">
        <v>1.49901719</v>
      </c>
      <c r="G10" s="18" t="n">
        <v>49.36840967</v>
      </c>
      <c r="H10" s="20" t="n">
        <v>1.57996486</v>
      </c>
      <c r="I10" s="18" t="s">
        <v>349</v>
      </c>
      <c r="J10" s="20" t="s">
        <v>349</v>
      </c>
      <c r="K10" s="18" t="n">
        <v>0.32772569</v>
      </c>
      <c r="L10" s="20" t="n">
        <v>0.16251799</v>
      </c>
      <c r="M10" s="18" t="n">
        <v>0</v>
      </c>
      <c r="N10" s="20" t="n">
        <v>0</v>
      </c>
      <c r="O10" s="18" t="n">
        <v>0</v>
      </c>
      <c r="P10" s="20" t="n">
        <v>0</v>
      </c>
      <c r="Q10" s="18" t="n">
        <v>0.97581419</v>
      </c>
      <c r="R10" s="20" t="n">
        <v>0.28908152</v>
      </c>
    </row>
    <row r="11" spans="1:18">
      <c r="A11" s="15" t="s">
        <v>353</v>
      </c>
      <c r="B11" s="17" t="n">
        <v>7053</v>
      </c>
      <c r="C11" s="18">
        <f>(6210.0/B11*100)</f>
        <v/>
      </c>
      <c r="D11" s="19" t="n">
        <v>843</v>
      </c>
      <c r="E11" s="18" t="n">
        <v>64.20432215</v>
      </c>
      <c r="F11" s="20" t="n">
        <v>1.84013152</v>
      </c>
      <c r="G11" s="18" t="n">
        <v>30.7925168</v>
      </c>
      <c r="H11" s="20" t="n">
        <v>1.68813325</v>
      </c>
      <c r="I11" s="18" t="s">
        <v>349</v>
      </c>
      <c r="J11" s="20" t="s">
        <v>349</v>
      </c>
      <c r="K11" s="18" t="n">
        <v>1.32229416</v>
      </c>
      <c r="L11" s="20" t="n">
        <v>0.37424193</v>
      </c>
      <c r="M11" s="18" t="n">
        <v>0</v>
      </c>
      <c r="N11" s="20" t="n">
        <v>0</v>
      </c>
      <c r="O11" s="18" t="n">
        <v>0</v>
      </c>
      <c r="P11" s="20" t="n">
        <v>0</v>
      </c>
      <c r="Q11" s="18" t="n">
        <v>3.68086689</v>
      </c>
      <c r="R11" s="20" t="n">
        <v>0.70380414</v>
      </c>
    </row>
    <row r="12" spans="1:18">
      <c r="A12" s="15" t="s">
        <v>354</v>
      </c>
      <c r="B12" s="17" t="n">
        <v>6894</v>
      </c>
      <c r="C12" s="18">
        <f>(6076.0/B12*100)</f>
        <v/>
      </c>
      <c r="D12" s="19" t="n">
        <v>818</v>
      </c>
      <c r="E12" s="18" t="n">
        <v>59.20784089</v>
      </c>
      <c r="F12" s="20" t="n">
        <v>1.88077543</v>
      </c>
      <c r="G12" s="18" t="n">
        <v>38.48618289</v>
      </c>
      <c r="H12" s="20" t="n">
        <v>1.87241743</v>
      </c>
      <c r="I12" s="18" t="s">
        <v>349</v>
      </c>
      <c r="J12" s="20" t="s">
        <v>349</v>
      </c>
      <c r="K12" s="18" t="n">
        <v>0.18545396</v>
      </c>
      <c r="L12" s="20" t="n">
        <v>0.14604917</v>
      </c>
      <c r="M12" s="18" t="n">
        <v>0</v>
      </c>
      <c r="N12" s="20" t="n">
        <v>0</v>
      </c>
      <c r="O12" s="18" t="n">
        <v>0</v>
      </c>
      <c r="P12" s="20" t="n">
        <v>0</v>
      </c>
      <c r="Q12" s="18" t="n">
        <v>2.12052225</v>
      </c>
      <c r="R12" s="20" t="n">
        <v>0.5053895</v>
      </c>
    </row>
    <row r="13" spans="1:18">
      <c r="A13" s="15" t="s">
        <v>355</v>
      </c>
      <c r="B13" s="17" t="n">
        <v>7161</v>
      </c>
      <c r="C13" s="18">
        <f>(6339.0/B13*100)</f>
        <v/>
      </c>
      <c r="D13" s="19" t="n">
        <v>822</v>
      </c>
      <c r="E13" s="18" t="n">
        <v>51.88868063</v>
      </c>
      <c r="F13" s="20" t="n">
        <v>2.03648401</v>
      </c>
      <c r="G13" s="18" t="n">
        <v>45.49180237</v>
      </c>
      <c r="H13" s="20" t="n">
        <v>2.15341791</v>
      </c>
      <c r="I13" s="18" t="s">
        <v>349</v>
      </c>
      <c r="J13" s="20" t="s">
        <v>349</v>
      </c>
      <c r="K13" s="18" t="n">
        <v>0.77190342</v>
      </c>
      <c r="L13" s="20" t="n">
        <v>0.42666398</v>
      </c>
      <c r="M13" s="18" t="n">
        <v>0</v>
      </c>
      <c r="N13" s="20" t="n">
        <v>0</v>
      </c>
      <c r="O13" s="18" t="n">
        <v>0</v>
      </c>
      <c r="P13" s="20" t="n">
        <v>0</v>
      </c>
      <c r="Q13" s="18" t="n">
        <v>1.84761359</v>
      </c>
      <c r="R13" s="20" t="n">
        <v>0.54798486</v>
      </c>
    </row>
    <row r="14" spans="1:18">
      <c r="A14" s="15" t="s">
        <v>356</v>
      </c>
      <c r="B14" s="17" t="n">
        <v>5587</v>
      </c>
      <c r="C14" s="18">
        <f>(4890.0/B14*100)</f>
        <v/>
      </c>
      <c r="D14" s="19" t="n">
        <v>697</v>
      </c>
      <c r="E14" s="18" t="n">
        <v>51.64600218</v>
      </c>
      <c r="F14" s="20" t="n">
        <v>2.10675873</v>
      </c>
      <c r="G14" s="18" t="n">
        <v>47.28073195</v>
      </c>
      <c r="H14" s="20" t="n">
        <v>2.07707478</v>
      </c>
      <c r="I14" s="18" t="s">
        <v>349</v>
      </c>
      <c r="J14" s="20" t="s">
        <v>349</v>
      </c>
      <c r="K14" s="18" t="n">
        <v>0</v>
      </c>
      <c r="L14" s="20" t="n">
        <v>0</v>
      </c>
      <c r="M14" s="18" t="n">
        <v>0</v>
      </c>
      <c r="N14" s="20" t="n">
        <v>0</v>
      </c>
      <c r="O14" s="18" t="n">
        <v>0</v>
      </c>
      <c r="P14" s="20" t="n">
        <v>0</v>
      </c>
      <c r="Q14" s="18" t="n">
        <v>1.07326586</v>
      </c>
      <c r="R14" s="20" t="n">
        <v>0.44327743</v>
      </c>
    </row>
    <row r="15" spans="1:18">
      <c r="A15" s="15" t="s">
        <v>357</v>
      </c>
      <c r="B15" s="17" t="n">
        <v>5882</v>
      </c>
      <c r="C15" s="18">
        <f>(5166.0/B15*100)</f>
        <v/>
      </c>
      <c r="D15" s="19" t="n">
        <v>716</v>
      </c>
      <c r="E15" s="18" t="n">
        <v>49.43529929</v>
      </c>
      <c r="F15" s="20" t="n">
        <v>2.15563107</v>
      </c>
      <c r="G15" s="18" t="n">
        <v>49.00435095</v>
      </c>
      <c r="H15" s="20" t="n">
        <v>2.16269684</v>
      </c>
      <c r="I15" s="18" t="s">
        <v>349</v>
      </c>
      <c r="J15" s="20" t="s">
        <v>349</v>
      </c>
      <c r="K15" s="18" t="n">
        <v>0.14847894</v>
      </c>
      <c r="L15" s="20" t="n">
        <v>0.13984988</v>
      </c>
      <c r="M15" s="18" t="n">
        <v>0</v>
      </c>
      <c r="N15" s="20" t="n">
        <v>0</v>
      </c>
      <c r="O15" s="18" t="n">
        <v>0</v>
      </c>
      <c r="P15" s="20" t="n">
        <v>0</v>
      </c>
      <c r="Q15" s="18" t="n">
        <v>1.41187082</v>
      </c>
      <c r="R15" s="20" t="n">
        <v>0.49376671</v>
      </c>
    </row>
    <row r="16" spans="1:18">
      <c r="A16" s="15" t="s">
        <v>358</v>
      </c>
      <c r="B16" s="17" t="n">
        <v>6108</v>
      </c>
      <c r="C16" s="18">
        <f>(5344.0/B16*100)</f>
        <v/>
      </c>
      <c r="D16" s="19" t="n">
        <v>764</v>
      </c>
      <c r="E16" s="18" t="n">
        <v>64.34654816</v>
      </c>
      <c r="F16" s="20" t="n">
        <v>1.6275327</v>
      </c>
      <c r="G16" s="18" t="n">
        <v>30.78492214</v>
      </c>
      <c r="H16" s="20" t="n">
        <v>1.66000364</v>
      </c>
      <c r="I16" s="18" t="s">
        <v>349</v>
      </c>
      <c r="J16" s="20" t="s">
        <v>349</v>
      </c>
      <c r="K16" s="18" t="n">
        <v>1.29956264</v>
      </c>
      <c r="L16" s="20" t="n">
        <v>0.51478256</v>
      </c>
      <c r="M16" s="18" t="n">
        <v>0</v>
      </c>
      <c r="N16" s="20" t="n">
        <v>0</v>
      </c>
      <c r="O16" s="18" t="n">
        <v>0</v>
      </c>
      <c r="P16" s="20" t="n">
        <v>0</v>
      </c>
      <c r="Q16" s="18" t="n">
        <v>3.56896707</v>
      </c>
      <c r="R16" s="20" t="n">
        <v>0.69950693</v>
      </c>
    </row>
    <row r="17" spans="1:18">
      <c r="A17" s="15" t="s">
        <v>359</v>
      </c>
      <c r="B17" s="17" t="n">
        <v>6504</v>
      </c>
      <c r="C17" s="18">
        <f>(5727.0/B17*100)</f>
        <v/>
      </c>
      <c r="D17" s="19" t="n">
        <v>777</v>
      </c>
      <c r="E17" s="18" t="n">
        <v>47.26378405</v>
      </c>
      <c r="F17" s="20" t="n">
        <v>2.0759329</v>
      </c>
      <c r="G17" s="18" t="n">
        <v>49.76370402</v>
      </c>
      <c r="H17" s="20" t="n">
        <v>2.1875044</v>
      </c>
      <c r="I17" s="18" t="s">
        <v>349</v>
      </c>
      <c r="J17" s="20" t="s">
        <v>349</v>
      </c>
      <c r="K17" s="18" t="n">
        <v>0.73381793</v>
      </c>
      <c r="L17" s="20" t="n">
        <v>0.32752921</v>
      </c>
      <c r="M17" s="18" t="n">
        <v>0</v>
      </c>
      <c r="N17" s="20" t="n">
        <v>0</v>
      </c>
      <c r="O17" s="18" t="n">
        <v>0</v>
      </c>
      <c r="P17" s="20" t="n">
        <v>0</v>
      </c>
      <c r="Q17" s="18" t="n">
        <v>2.23869401</v>
      </c>
      <c r="R17" s="20" t="n">
        <v>0.57630263</v>
      </c>
    </row>
    <row r="18" spans="1:18">
      <c r="A18" s="15" t="s">
        <v>360</v>
      </c>
      <c r="B18" s="17" t="n">
        <v>5532</v>
      </c>
      <c r="C18" s="18">
        <f>(4872.0/B18*100)</f>
        <v/>
      </c>
      <c r="D18" s="19" t="n">
        <v>660</v>
      </c>
      <c r="E18" s="18" t="n">
        <v>51.37814661</v>
      </c>
      <c r="F18" s="20" t="n">
        <v>2.42274109</v>
      </c>
      <c r="G18" s="18" t="n">
        <v>45.49540591</v>
      </c>
      <c r="H18" s="20" t="n">
        <v>2.44189042</v>
      </c>
      <c r="I18" s="18" t="s">
        <v>349</v>
      </c>
      <c r="J18" s="20" t="s">
        <v>349</v>
      </c>
      <c r="K18" s="18" t="n">
        <v>0.68108437</v>
      </c>
      <c r="L18" s="20" t="n">
        <v>0.29032817</v>
      </c>
      <c r="M18" s="18" t="n">
        <v>0</v>
      </c>
      <c r="N18" s="20" t="n">
        <v>0</v>
      </c>
      <c r="O18" s="18" t="n">
        <v>0</v>
      </c>
      <c r="P18" s="20" t="n">
        <v>0</v>
      </c>
      <c r="Q18" s="18" t="n">
        <v>2.44536312</v>
      </c>
      <c r="R18" s="20" t="n">
        <v>0.80682792</v>
      </c>
    </row>
    <row r="19" spans="1:18">
      <c r="A19" s="15" t="s">
        <v>361</v>
      </c>
      <c r="B19" s="17" t="n">
        <v>5658</v>
      </c>
      <c r="C19" s="18">
        <f>(4967.0/B19*100)</f>
        <v/>
      </c>
      <c r="D19" s="19" t="n">
        <v>691</v>
      </c>
      <c r="E19" s="18" t="n">
        <v>57.88934139</v>
      </c>
      <c r="F19" s="20" t="n">
        <v>1.8787547</v>
      </c>
      <c r="G19" s="18" t="n">
        <v>39.84076529</v>
      </c>
      <c r="H19" s="20" t="n">
        <v>1.76020565</v>
      </c>
      <c r="I19" s="18" t="s">
        <v>349</v>
      </c>
      <c r="J19" s="20" t="s">
        <v>349</v>
      </c>
      <c r="K19" s="18" t="n">
        <v>0.59293244</v>
      </c>
      <c r="L19" s="20" t="n">
        <v>0.35213692</v>
      </c>
      <c r="M19" s="18" t="n">
        <v>0</v>
      </c>
      <c r="N19" s="20" t="n">
        <v>0</v>
      </c>
      <c r="O19" s="18" t="n">
        <v>0</v>
      </c>
      <c r="P19" s="20" t="n">
        <v>0</v>
      </c>
      <c r="Q19" s="18" t="n">
        <v>1.67696088</v>
      </c>
      <c r="R19" s="20" t="n">
        <v>0.51790859</v>
      </c>
    </row>
    <row r="20" spans="1:18">
      <c r="A20" s="15" t="s">
        <v>362</v>
      </c>
      <c r="B20" s="17" t="n">
        <v>3371</v>
      </c>
      <c r="C20" s="18">
        <f>(2944.0/B20*100)</f>
        <v/>
      </c>
      <c r="D20" s="19" t="n">
        <v>427</v>
      </c>
      <c r="E20" s="18" t="n">
        <v>52.64771789</v>
      </c>
      <c r="F20" s="20" t="n">
        <v>2.67941429</v>
      </c>
      <c r="G20" s="18" t="n">
        <v>43.75765505</v>
      </c>
      <c r="H20" s="20" t="n">
        <v>2.40874671</v>
      </c>
      <c r="I20" s="18" t="s">
        <v>349</v>
      </c>
      <c r="J20" s="20" t="s">
        <v>349</v>
      </c>
      <c r="K20" s="18" t="n">
        <v>0.48018663</v>
      </c>
      <c r="L20" s="20" t="n">
        <v>0.35293623</v>
      </c>
      <c r="M20" s="18" t="n">
        <v>0</v>
      </c>
      <c r="N20" s="20" t="n">
        <v>0</v>
      </c>
      <c r="O20" s="18" t="n">
        <v>0</v>
      </c>
      <c r="P20" s="20" t="n">
        <v>0</v>
      </c>
      <c r="Q20" s="18" t="n">
        <v>3.11444043</v>
      </c>
      <c r="R20" s="20" t="n">
        <v>0.86360335</v>
      </c>
    </row>
    <row r="21" spans="1:18">
      <c r="A21" s="15" t="s">
        <v>363</v>
      </c>
      <c r="B21" s="17" t="n">
        <v>5741</v>
      </c>
      <c r="C21" s="18">
        <f>(4813.0/B21*100)</f>
        <v/>
      </c>
      <c r="D21" s="19" t="n">
        <v>928</v>
      </c>
      <c r="E21" s="18" t="n">
        <v>48.38985618</v>
      </c>
      <c r="F21" s="20" t="n">
        <v>1.73468774</v>
      </c>
      <c r="G21" s="18" t="n">
        <v>50.3824788</v>
      </c>
      <c r="H21" s="20" t="n">
        <v>1.74107851</v>
      </c>
      <c r="I21" s="18" t="s">
        <v>349</v>
      </c>
      <c r="J21" s="20" t="s">
        <v>349</v>
      </c>
      <c r="K21" s="18" t="n">
        <v>0.2677894</v>
      </c>
      <c r="L21" s="20" t="n">
        <v>0.1536534</v>
      </c>
      <c r="M21" s="18" t="n">
        <v>0</v>
      </c>
      <c r="N21" s="20" t="n">
        <v>0</v>
      </c>
      <c r="O21" s="18" t="n">
        <v>0</v>
      </c>
      <c r="P21" s="20" t="n">
        <v>0</v>
      </c>
      <c r="Q21" s="18" t="n">
        <v>0.95987562</v>
      </c>
      <c r="R21" s="20" t="n">
        <v>0.30471588</v>
      </c>
    </row>
    <row r="22" spans="1:18">
      <c r="A22" s="15" t="s">
        <v>364</v>
      </c>
      <c r="B22" s="17" t="n">
        <v>6598</v>
      </c>
      <c r="C22" s="18">
        <f>(5786.0/B22*100)</f>
        <v/>
      </c>
      <c r="D22" s="19" t="n">
        <v>812</v>
      </c>
      <c r="E22" s="18" t="n">
        <v>53.8954995</v>
      </c>
      <c r="F22" s="20" t="n">
        <v>1.9197788</v>
      </c>
      <c r="G22" s="18" t="n">
        <v>42.5427308</v>
      </c>
      <c r="H22" s="20" t="n">
        <v>1.89444148</v>
      </c>
      <c r="I22" s="18" t="s">
        <v>349</v>
      </c>
      <c r="J22" s="20" t="s">
        <v>349</v>
      </c>
      <c r="K22" s="18" t="n">
        <v>0.7330226</v>
      </c>
      <c r="L22" s="20" t="n">
        <v>0.31865569</v>
      </c>
      <c r="M22" s="18" t="n">
        <v>0</v>
      </c>
      <c r="N22" s="20" t="n">
        <v>0</v>
      </c>
      <c r="O22" s="18" t="n">
        <v>0</v>
      </c>
      <c r="P22" s="20" t="n">
        <v>0</v>
      </c>
      <c r="Q22" s="18" t="n">
        <v>2.82874709</v>
      </c>
      <c r="R22" s="20" t="n">
        <v>0.64939899</v>
      </c>
    </row>
    <row r="23" spans="1:18">
      <c r="A23" s="15" t="s">
        <v>365</v>
      </c>
      <c r="B23" s="17" t="n">
        <v>11583</v>
      </c>
      <c r="C23" s="18">
        <f>(10154.0/B23*100)</f>
        <v/>
      </c>
      <c r="D23" s="19" t="n">
        <v>1429</v>
      </c>
      <c r="E23" s="18" t="n">
        <v>56.13245033</v>
      </c>
      <c r="F23" s="20" t="n">
        <v>1.90783908</v>
      </c>
      <c r="G23" s="18" t="n">
        <v>41.25917955</v>
      </c>
      <c r="H23" s="20" t="n">
        <v>1.84422699</v>
      </c>
      <c r="I23" s="18" t="s">
        <v>349</v>
      </c>
      <c r="J23" s="20" t="s">
        <v>349</v>
      </c>
      <c r="K23" s="18" t="n">
        <v>0.69700255</v>
      </c>
      <c r="L23" s="20" t="n">
        <v>0.35857517</v>
      </c>
      <c r="M23" s="18" t="n">
        <v>0</v>
      </c>
      <c r="N23" s="20" t="n">
        <v>0</v>
      </c>
      <c r="O23" s="18" t="n">
        <v>0</v>
      </c>
      <c r="P23" s="20" t="n">
        <v>0</v>
      </c>
      <c r="Q23" s="18" t="n">
        <v>1.91136757</v>
      </c>
      <c r="R23" s="20" t="n">
        <v>0.45794245</v>
      </c>
    </row>
    <row r="24" spans="1:18">
      <c r="A24" s="15" t="s">
        <v>366</v>
      </c>
      <c r="B24" s="17" t="n">
        <v>6647</v>
      </c>
      <c r="C24" s="18">
        <f>(5817.0/B24*100)</f>
        <v/>
      </c>
      <c r="D24" s="19" t="n">
        <v>830</v>
      </c>
      <c r="E24" s="18" t="n">
        <v>43.75550012</v>
      </c>
      <c r="F24" s="20" t="n">
        <v>1.61984213</v>
      </c>
      <c r="G24" s="18" t="n">
        <v>55.08106297</v>
      </c>
      <c r="H24" s="20" t="n">
        <v>1.5688173</v>
      </c>
      <c r="I24" s="18" t="s">
        <v>349</v>
      </c>
      <c r="J24" s="20" t="s">
        <v>349</v>
      </c>
      <c r="K24" s="18" t="n">
        <v>0.34376761</v>
      </c>
      <c r="L24" s="20" t="n">
        <v>0.2002253</v>
      </c>
      <c r="M24" s="18" t="n">
        <v>0</v>
      </c>
      <c r="N24" s="20" t="n">
        <v>0</v>
      </c>
      <c r="O24" s="18" t="n">
        <v>0</v>
      </c>
      <c r="P24" s="20" t="n">
        <v>0</v>
      </c>
      <c r="Q24" s="18" t="n">
        <v>0.8196693</v>
      </c>
      <c r="R24" s="20" t="n">
        <v>0.29562373</v>
      </c>
    </row>
    <row r="25" spans="1:18">
      <c r="A25" s="15" t="s">
        <v>367</v>
      </c>
      <c r="B25" s="17" t="n">
        <v>5581</v>
      </c>
      <c r="C25" s="18">
        <f>(4887.0/B25*100)</f>
        <v/>
      </c>
      <c r="D25" s="19" t="n">
        <v>694</v>
      </c>
      <c r="E25" s="18" t="n">
        <v>45.88902415</v>
      </c>
      <c r="F25" s="20" t="n">
        <v>2.1835158</v>
      </c>
      <c r="G25" s="18" t="n">
        <v>53.2330231</v>
      </c>
      <c r="H25" s="20" t="n">
        <v>2.15915806</v>
      </c>
      <c r="I25" s="18" t="s">
        <v>349</v>
      </c>
      <c r="J25" s="20" t="s">
        <v>349</v>
      </c>
      <c r="K25" s="18" t="n">
        <v>0.28575153</v>
      </c>
      <c r="L25" s="20" t="n">
        <v>0.20189928</v>
      </c>
      <c r="M25" s="18" t="n">
        <v>0</v>
      </c>
      <c r="N25" s="20" t="n">
        <v>0</v>
      </c>
      <c r="O25" s="18" t="n">
        <v>0</v>
      </c>
      <c r="P25" s="20" t="n">
        <v>0</v>
      </c>
      <c r="Q25" s="18" t="n">
        <v>0.59220121</v>
      </c>
      <c r="R25" s="20" t="n">
        <v>0.30227022</v>
      </c>
    </row>
    <row r="26" spans="1:18">
      <c r="A26" s="15" t="s">
        <v>368</v>
      </c>
      <c r="B26" s="17" t="n">
        <v>4869</v>
      </c>
      <c r="C26" s="18">
        <f>(4285.0/B26*100)</f>
        <v/>
      </c>
      <c r="D26" s="19" t="n">
        <v>584</v>
      </c>
      <c r="E26" s="18" t="n">
        <v>62.9206395</v>
      </c>
      <c r="F26" s="20" t="n">
        <v>2.08478361</v>
      </c>
      <c r="G26" s="18" t="n">
        <v>36.92203091</v>
      </c>
      <c r="H26" s="20" t="n">
        <v>2.10004277</v>
      </c>
      <c r="I26" s="18" t="s">
        <v>349</v>
      </c>
      <c r="J26" s="20" t="s">
        <v>349</v>
      </c>
      <c r="K26" s="18" t="n">
        <v>0</v>
      </c>
      <c r="L26" s="20" t="n">
        <v>0</v>
      </c>
      <c r="M26" s="18" t="n">
        <v>0</v>
      </c>
      <c r="N26" s="20" t="n">
        <v>0</v>
      </c>
      <c r="O26" s="18" t="n">
        <v>0</v>
      </c>
      <c r="P26" s="20" t="n">
        <v>0</v>
      </c>
      <c r="Q26" s="18" t="n">
        <v>0.15732959</v>
      </c>
      <c r="R26" s="20" t="n">
        <v>0.17152686</v>
      </c>
    </row>
    <row r="27" spans="1:18">
      <c r="A27" s="15" t="s">
        <v>369</v>
      </c>
      <c r="B27" s="17" t="n">
        <v>5299</v>
      </c>
      <c r="C27" s="18">
        <f>(4669.0/B27*100)</f>
        <v/>
      </c>
      <c r="D27" s="19" t="n">
        <v>630</v>
      </c>
      <c r="E27" s="18" t="n">
        <v>54.18764902</v>
      </c>
      <c r="F27" s="20" t="n">
        <v>2.33201343</v>
      </c>
      <c r="G27" s="18" t="n">
        <v>42.77605027</v>
      </c>
      <c r="H27" s="20" t="n">
        <v>2.29584861</v>
      </c>
      <c r="I27" s="18" t="s">
        <v>349</v>
      </c>
      <c r="J27" s="20" t="s">
        <v>349</v>
      </c>
      <c r="K27" s="18" t="n">
        <v>0.4829089</v>
      </c>
      <c r="L27" s="20" t="n">
        <v>0.2785792</v>
      </c>
      <c r="M27" s="18" t="n">
        <v>0</v>
      </c>
      <c r="N27" s="20" t="n">
        <v>0</v>
      </c>
      <c r="O27" s="18" t="n">
        <v>0</v>
      </c>
      <c r="P27" s="20" t="n">
        <v>0</v>
      </c>
      <c r="Q27" s="18" t="n">
        <v>2.55339182</v>
      </c>
      <c r="R27" s="20" t="n">
        <v>0.59234191</v>
      </c>
    </row>
    <row r="28" spans="1:18">
      <c r="A28" s="15" t="s">
        <v>370</v>
      </c>
      <c r="B28" s="17" t="n">
        <v>7568</v>
      </c>
      <c r="C28" s="18">
        <f>(6710.0/B28*100)</f>
        <v/>
      </c>
      <c r="D28" s="19" t="n">
        <v>858</v>
      </c>
      <c r="E28" s="18" t="n">
        <v>76.05530982000001</v>
      </c>
      <c r="F28" s="20" t="n">
        <v>1.67489454</v>
      </c>
      <c r="G28" s="18" t="n">
        <v>23.07673641</v>
      </c>
      <c r="H28" s="20" t="n">
        <v>1.67489641</v>
      </c>
      <c r="I28" s="18" t="s">
        <v>349</v>
      </c>
      <c r="J28" s="20" t="s">
        <v>349</v>
      </c>
      <c r="K28" s="18" t="n">
        <v>0</v>
      </c>
      <c r="L28" s="20" t="n">
        <v>0</v>
      </c>
      <c r="M28" s="18" t="n">
        <v>0</v>
      </c>
      <c r="N28" s="20" t="n">
        <v>0</v>
      </c>
      <c r="O28" s="18" t="n">
        <v>0</v>
      </c>
      <c r="P28" s="20" t="n">
        <v>0</v>
      </c>
      <c r="Q28" s="18" t="n">
        <v>0.86795376</v>
      </c>
      <c r="R28" s="20" t="n">
        <v>0.40334</v>
      </c>
    </row>
    <row r="29" spans="1:18">
      <c r="A29" s="15" t="s">
        <v>371</v>
      </c>
      <c r="B29" s="17" t="n">
        <v>5385</v>
      </c>
      <c r="C29" s="18">
        <f>(4744.0/B29*100)</f>
        <v/>
      </c>
      <c r="D29" s="19" t="n">
        <v>641</v>
      </c>
      <c r="E29" s="18" t="n">
        <v>46.51929121</v>
      </c>
      <c r="F29" s="20" t="n">
        <v>1.5855915</v>
      </c>
      <c r="G29" s="18" t="n">
        <v>52.56102946</v>
      </c>
      <c r="H29" s="20" t="n">
        <v>1.63610725</v>
      </c>
      <c r="I29" s="18" t="s">
        <v>349</v>
      </c>
      <c r="J29" s="20" t="s">
        <v>349</v>
      </c>
      <c r="K29" s="18" t="n">
        <v>0.38350911</v>
      </c>
      <c r="L29" s="20" t="n">
        <v>0.26506492</v>
      </c>
      <c r="M29" s="18" t="n">
        <v>0</v>
      </c>
      <c r="N29" s="20" t="n">
        <v>0</v>
      </c>
      <c r="O29" s="18" t="n">
        <v>0</v>
      </c>
      <c r="P29" s="20" t="n">
        <v>0</v>
      </c>
      <c r="Q29" s="18" t="n">
        <v>0.53617021</v>
      </c>
      <c r="R29" s="20" t="n">
        <v>0.40958825</v>
      </c>
    </row>
    <row r="30" spans="1:18">
      <c r="A30" s="15" t="s">
        <v>372</v>
      </c>
      <c r="B30" s="17" t="n">
        <v>4520</v>
      </c>
      <c r="C30" s="18">
        <f>(3961.0/B30*100)</f>
        <v/>
      </c>
      <c r="D30" s="19" t="n">
        <v>559</v>
      </c>
      <c r="E30" s="18" t="n">
        <v>48.96762309</v>
      </c>
      <c r="F30" s="20" t="n">
        <v>2.25793646</v>
      </c>
      <c r="G30" s="18" t="n">
        <v>47.84774786</v>
      </c>
      <c r="H30" s="20" t="n">
        <v>2.17967855</v>
      </c>
      <c r="I30" s="18" t="s">
        <v>349</v>
      </c>
      <c r="J30" s="20" t="s">
        <v>349</v>
      </c>
      <c r="K30" s="18" t="n">
        <v>0.27968995</v>
      </c>
      <c r="L30" s="20" t="n">
        <v>0.18692172</v>
      </c>
      <c r="M30" s="18" t="n">
        <v>0</v>
      </c>
      <c r="N30" s="20" t="n">
        <v>0</v>
      </c>
      <c r="O30" s="18" t="n">
        <v>0</v>
      </c>
      <c r="P30" s="20" t="n">
        <v>0</v>
      </c>
      <c r="Q30" s="18" t="n">
        <v>2.9049391</v>
      </c>
      <c r="R30" s="20" t="n">
        <v>0.74388573</v>
      </c>
    </row>
    <row r="31" spans="1:18">
      <c r="A31" s="15" t="s">
        <v>373</v>
      </c>
      <c r="B31" s="17" t="n">
        <v>5456</v>
      </c>
      <c r="C31" s="18">
        <f>(4768.0/B31*100)</f>
        <v/>
      </c>
      <c r="D31" s="19" t="n">
        <v>688</v>
      </c>
      <c r="E31" s="18" t="n">
        <v>52.46764504</v>
      </c>
      <c r="F31" s="20" t="n">
        <v>1.88822496</v>
      </c>
      <c r="G31" s="18" t="n">
        <v>43.34711922</v>
      </c>
      <c r="H31" s="20" t="n">
        <v>1.92280041</v>
      </c>
      <c r="I31" s="18" t="s">
        <v>349</v>
      </c>
      <c r="J31" s="20" t="s">
        <v>349</v>
      </c>
      <c r="K31" s="18" t="n">
        <v>1.13780044</v>
      </c>
      <c r="L31" s="20" t="n">
        <v>0.44198992</v>
      </c>
      <c r="M31" s="18" t="n">
        <v>0</v>
      </c>
      <c r="N31" s="20" t="n">
        <v>0</v>
      </c>
      <c r="O31" s="18" t="n">
        <v>0</v>
      </c>
      <c r="P31" s="20" t="n">
        <v>0</v>
      </c>
      <c r="Q31" s="18" t="n">
        <v>3.04743529</v>
      </c>
      <c r="R31" s="20" t="n">
        <v>0.61881352</v>
      </c>
    </row>
    <row r="32" spans="1:18">
      <c r="A32" s="15" t="s">
        <v>374</v>
      </c>
      <c r="B32" s="17" t="n">
        <v>4478</v>
      </c>
      <c r="C32" s="18">
        <f>(3758.0/B32*100)</f>
        <v/>
      </c>
      <c r="D32" s="19" t="n">
        <v>720</v>
      </c>
      <c r="E32" s="18" t="n">
        <v>57.64758836</v>
      </c>
      <c r="F32" s="20" t="n">
        <v>1.7783078</v>
      </c>
      <c r="G32" s="18" t="n">
        <v>41.66365646</v>
      </c>
      <c r="H32" s="20" t="n">
        <v>1.79520523</v>
      </c>
      <c r="I32" s="18" t="s">
        <v>349</v>
      </c>
      <c r="J32" s="20" t="s">
        <v>349</v>
      </c>
      <c r="K32" s="18" t="n">
        <v>0.12493283</v>
      </c>
      <c r="L32" s="20" t="n">
        <v>0.12508495</v>
      </c>
      <c r="M32" s="18" t="n">
        <v>0</v>
      </c>
      <c r="N32" s="20" t="n">
        <v>0</v>
      </c>
      <c r="O32" s="18" t="n">
        <v>0</v>
      </c>
      <c r="P32" s="20" t="n">
        <v>0</v>
      </c>
      <c r="Q32" s="18" t="n">
        <v>0.56382234</v>
      </c>
      <c r="R32" s="20" t="n">
        <v>0.28556193</v>
      </c>
    </row>
    <row r="33" spans="1:18">
      <c r="A33" s="15" t="s">
        <v>375</v>
      </c>
      <c r="B33" s="17" t="n">
        <v>7325</v>
      </c>
      <c r="C33" s="18">
        <f>(6423.0/B33*100)</f>
        <v/>
      </c>
      <c r="D33" s="19" t="n">
        <v>902</v>
      </c>
      <c r="E33" s="18" t="n">
        <v>54.15285793</v>
      </c>
      <c r="F33" s="20" t="n">
        <v>1.92548898</v>
      </c>
      <c r="G33" s="18" t="n">
        <v>43.80997991</v>
      </c>
      <c r="H33" s="20" t="n">
        <v>1.88172568</v>
      </c>
      <c r="I33" s="18" t="s">
        <v>349</v>
      </c>
      <c r="J33" s="20" t="s">
        <v>349</v>
      </c>
      <c r="K33" s="18" t="n">
        <v>0.65333095</v>
      </c>
      <c r="L33" s="20" t="n">
        <v>0.34823706</v>
      </c>
      <c r="M33" s="18" t="n">
        <v>0</v>
      </c>
      <c r="N33" s="20" t="n">
        <v>0</v>
      </c>
      <c r="O33" s="18" t="n">
        <v>0</v>
      </c>
      <c r="P33" s="20" t="n">
        <v>0</v>
      </c>
      <c r="Q33" s="18" t="n">
        <v>1.38383122</v>
      </c>
      <c r="R33" s="20" t="n">
        <v>0.47430405</v>
      </c>
    </row>
    <row r="34" spans="1:18">
      <c r="A34" s="15" t="s">
        <v>376</v>
      </c>
      <c r="B34" s="17" t="n">
        <v>6350</v>
      </c>
      <c r="C34" s="18">
        <f>(5582.0/B34*100)</f>
        <v/>
      </c>
      <c r="D34" s="19" t="n">
        <v>768</v>
      </c>
      <c r="E34" s="18" t="n">
        <v>64.77922251</v>
      </c>
      <c r="F34" s="20" t="n">
        <v>2.25369354</v>
      </c>
      <c r="G34" s="18" t="n">
        <v>33.53461916</v>
      </c>
      <c r="H34" s="20" t="n">
        <v>2.29537192</v>
      </c>
      <c r="I34" s="18" t="s">
        <v>349</v>
      </c>
      <c r="J34" s="20" t="s">
        <v>349</v>
      </c>
      <c r="K34" s="18" t="n">
        <v>0.29056544</v>
      </c>
      <c r="L34" s="20" t="n">
        <v>0.21266366</v>
      </c>
      <c r="M34" s="18" t="n">
        <v>0</v>
      </c>
      <c r="N34" s="20" t="n">
        <v>0</v>
      </c>
      <c r="O34" s="18" t="n">
        <v>0</v>
      </c>
      <c r="P34" s="20" t="n">
        <v>0</v>
      </c>
      <c r="Q34" s="18" t="n">
        <v>1.39559289</v>
      </c>
      <c r="R34" s="20" t="n">
        <v>0.44088102</v>
      </c>
    </row>
    <row r="35" spans="1:18">
      <c r="A35" s="15" t="s">
        <v>377</v>
      </c>
      <c r="B35" s="17" t="n">
        <v>6406</v>
      </c>
      <c r="C35" s="18">
        <f>(5639.0/B35*100)</f>
        <v/>
      </c>
      <c r="D35" s="19" t="n">
        <v>767</v>
      </c>
      <c r="E35" s="18" t="n">
        <v>54.45999573</v>
      </c>
      <c r="F35" s="20" t="n">
        <v>2.18818198</v>
      </c>
      <c r="G35" s="18" t="n">
        <v>44.90718953</v>
      </c>
      <c r="H35" s="20" t="n">
        <v>2.20481782</v>
      </c>
      <c r="I35" s="18" t="s">
        <v>349</v>
      </c>
      <c r="J35" s="20" t="s">
        <v>349</v>
      </c>
      <c r="K35" s="18" t="n">
        <v>0.05936999</v>
      </c>
      <c r="L35" s="20" t="n">
        <v>0.05824653</v>
      </c>
      <c r="M35" s="18" t="n">
        <v>0</v>
      </c>
      <c r="N35" s="20" t="n">
        <v>0</v>
      </c>
      <c r="O35" s="18" t="n">
        <v>0</v>
      </c>
      <c r="P35" s="20" t="n">
        <v>0</v>
      </c>
      <c r="Q35" s="18" t="n">
        <v>0.5734447499999999</v>
      </c>
      <c r="R35" s="20" t="n">
        <v>0.30567577</v>
      </c>
    </row>
    <row r="36" spans="1:18">
      <c r="A36" s="15" t="s">
        <v>378</v>
      </c>
      <c r="B36" s="17" t="n">
        <v>6736</v>
      </c>
      <c r="C36" s="18">
        <f>(5931.0/B36*100)</f>
        <v/>
      </c>
      <c r="D36" s="19" t="n">
        <v>805</v>
      </c>
      <c r="E36" s="18" t="n">
        <v>53.63579925</v>
      </c>
      <c r="F36" s="20" t="n">
        <v>1.79974811</v>
      </c>
      <c r="G36" s="18" t="n">
        <v>42.27244541</v>
      </c>
      <c r="H36" s="20" t="n">
        <v>1.70194564</v>
      </c>
      <c r="I36" s="18" t="s">
        <v>349</v>
      </c>
      <c r="J36" s="20" t="s">
        <v>349</v>
      </c>
      <c r="K36" s="18" t="n">
        <v>0.97775759</v>
      </c>
      <c r="L36" s="20" t="n">
        <v>0.41731752</v>
      </c>
      <c r="M36" s="18" t="n">
        <v>0</v>
      </c>
      <c r="N36" s="20" t="n">
        <v>0</v>
      </c>
      <c r="O36" s="18" t="n">
        <v>0</v>
      </c>
      <c r="P36" s="20" t="n">
        <v>0</v>
      </c>
      <c r="Q36" s="18" t="n">
        <v>3.11399774</v>
      </c>
      <c r="R36" s="20" t="n">
        <v>0.57887816</v>
      </c>
    </row>
    <row r="37" spans="1:18">
      <c r="A37" s="15" t="s">
        <v>379</v>
      </c>
      <c r="B37" s="17" t="n">
        <v>5458</v>
      </c>
      <c r="C37" s="18">
        <f>(4844.0/B37*100)</f>
        <v/>
      </c>
      <c r="D37" s="19" t="n">
        <v>614</v>
      </c>
      <c r="E37" s="18" t="n">
        <v>54.12882223</v>
      </c>
      <c r="F37" s="20" t="n">
        <v>2.06028016</v>
      </c>
      <c r="G37" s="18" t="n">
        <v>38.75773114</v>
      </c>
      <c r="H37" s="20" t="n">
        <v>2.252142</v>
      </c>
      <c r="I37" s="18" t="s">
        <v>349</v>
      </c>
      <c r="J37" s="20" t="s">
        <v>349</v>
      </c>
      <c r="K37" s="18" t="n">
        <v>1.77019458</v>
      </c>
      <c r="L37" s="20" t="n">
        <v>0.60887148</v>
      </c>
      <c r="M37" s="18" t="n">
        <v>0</v>
      </c>
      <c r="N37" s="20" t="n">
        <v>0</v>
      </c>
      <c r="O37" s="18" t="n">
        <v>0</v>
      </c>
      <c r="P37" s="20" t="n">
        <v>0</v>
      </c>
      <c r="Q37" s="18" t="n">
        <v>5.34325206</v>
      </c>
      <c r="R37" s="20" t="n">
        <v>0.92693082</v>
      </c>
    </row>
    <row r="38" spans="1:18">
      <c r="A38" s="15" t="s">
        <v>380</v>
      </c>
      <c r="B38" s="17" t="n">
        <v>5860</v>
      </c>
      <c r="C38" s="18">
        <f>(4899.0/B38*100)</f>
        <v/>
      </c>
      <c r="D38" s="19" t="n">
        <v>961</v>
      </c>
      <c r="E38" s="18" t="n">
        <v>46.10770145</v>
      </c>
      <c r="F38" s="20" t="n">
        <v>1.93813187</v>
      </c>
      <c r="G38" s="18" t="n">
        <v>50.86696534</v>
      </c>
      <c r="H38" s="20" t="n">
        <v>1.79346419</v>
      </c>
      <c r="I38" s="18" t="s">
        <v>349</v>
      </c>
      <c r="J38" s="20" t="s">
        <v>349</v>
      </c>
      <c r="K38" s="18" t="n">
        <v>0.89645217</v>
      </c>
      <c r="L38" s="20" t="n">
        <v>0.36357467</v>
      </c>
      <c r="M38" s="18" t="n">
        <v>0</v>
      </c>
      <c r="N38" s="20" t="n">
        <v>0</v>
      </c>
      <c r="O38" s="18" t="n">
        <v>0</v>
      </c>
      <c r="P38" s="20" t="n">
        <v>0</v>
      </c>
      <c r="Q38" s="18" t="n">
        <v>2.12888104</v>
      </c>
      <c r="R38" s="20" t="n">
        <v>0.53636861</v>
      </c>
    </row>
    <row r="39" spans="1:18">
      <c r="A39" s="15" t="s">
        <v>381</v>
      </c>
      <c r="B39" s="17" t="n">
        <v>5895</v>
      </c>
      <c r="C39" s="18">
        <f>(5171.0/B39*100)</f>
        <v/>
      </c>
      <c r="D39" s="19" t="n">
        <v>724</v>
      </c>
      <c r="E39" s="18" t="n">
        <v>71.83413806</v>
      </c>
      <c r="F39" s="20" t="n">
        <v>2.15954168</v>
      </c>
      <c r="G39" s="18" t="n">
        <v>26.28545215</v>
      </c>
      <c r="H39" s="20" t="n">
        <v>2.02414712</v>
      </c>
      <c r="I39" s="18" t="s">
        <v>349</v>
      </c>
      <c r="J39" s="20" t="s">
        <v>349</v>
      </c>
      <c r="K39" s="18" t="n">
        <v>0.30063773</v>
      </c>
      <c r="L39" s="20" t="n">
        <v>0.2412172</v>
      </c>
      <c r="M39" s="18" t="n">
        <v>0</v>
      </c>
      <c r="N39" s="20" t="n">
        <v>0</v>
      </c>
      <c r="O39" s="18" t="n">
        <v>0</v>
      </c>
      <c r="P39" s="20" t="n">
        <v>0</v>
      </c>
      <c r="Q39" s="18" t="n">
        <v>1.57977205</v>
      </c>
      <c r="R39" s="20" t="n">
        <v>0.39620163</v>
      </c>
    </row>
    <row r="40" spans="1:18">
      <c r="A40" s="15" t="s">
        <v>382</v>
      </c>
      <c r="B40" s="17" t="n">
        <v>14157</v>
      </c>
      <c r="C40" s="18">
        <f>(12405.0/B40*100)</f>
        <v/>
      </c>
      <c r="D40" s="19" t="n">
        <v>1752</v>
      </c>
      <c r="E40" s="18" t="n">
        <v>50.79772544</v>
      </c>
      <c r="F40" s="20" t="n">
        <v>2.53507811</v>
      </c>
      <c r="G40" s="18" t="n">
        <v>46.79386268</v>
      </c>
      <c r="H40" s="20" t="n">
        <v>2.39908948</v>
      </c>
      <c r="I40" s="18" t="s">
        <v>349</v>
      </c>
      <c r="J40" s="20" t="s">
        <v>349</v>
      </c>
      <c r="K40" s="18" t="n">
        <v>0.5104851500000001</v>
      </c>
      <c r="L40" s="20" t="n">
        <v>0.34206633</v>
      </c>
      <c r="M40" s="18" t="n">
        <v>0</v>
      </c>
      <c r="N40" s="20" t="n">
        <v>0</v>
      </c>
      <c r="O40" s="18" t="n">
        <v>0</v>
      </c>
      <c r="P40" s="20" t="n">
        <v>0</v>
      </c>
      <c r="Q40" s="18" t="n">
        <v>1.89792673</v>
      </c>
      <c r="R40" s="20" t="n">
        <v>0.42393095</v>
      </c>
    </row>
    <row r="41" spans="1:18">
      <c r="A41" s="15" t="s">
        <v>383</v>
      </c>
      <c r="B41" s="17" t="n">
        <v>5712</v>
      </c>
      <c r="C41" s="18">
        <f>(5047.0/B41*100)</f>
        <v/>
      </c>
      <c r="D41" s="19" t="n">
        <v>665</v>
      </c>
      <c r="E41" s="18" t="n">
        <v>53.12676275</v>
      </c>
      <c r="F41" s="20" t="n">
        <v>1.87786599</v>
      </c>
      <c r="G41" s="18" t="n">
        <v>45.52754948</v>
      </c>
      <c r="H41" s="20" t="n">
        <v>1.96027455</v>
      </c>
      <c r="I41" s="18" t="s">
        <v>349</v>
      </c>
      <c r="J41" s="20" t="s">
        <v>349</v>
      </c>
      <c r="K41" s="18" t="n">
        <v>0.31151016</v>
      </c>
      <c r="L41" s="20" t="n">
        <v>0.2203613</v>
      </c>
      <c r="M41" s="18" t="n">
        <v>0</v>
      </c>
      <c r="N41" s="20" t="n">
        <v>0</v>
      </c>
      <c r="O41" s="18" t="n">
        <v>0</v>
      </c>
      <c r="P41" s="20" t="n">
        <v>0</v>
      </c>
      <c r="Q41" s="18" t="n">
        <v>1.03417761</v>
      </c>
      <c r="R41" s="20" t="n">
        <v>0.41458082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(20725.0/B46*100)</f>
        <v/>
      </c>
      <c r="D46" s="19" t="n">
        <v>2416</v>
      </c>
      <c r="E46" s="18" t="n">
        <v>67.62831593</v>
      </c>
      <c r="F46" s="20" t="n">
        <v>1.22886385</v>
      </c>
      <c r="G46" s="18" t="n">
        <v>27.35042154</v>
      </c>
      <c r="H46" s="20" t="n">
        <v>1.28696613</v>
      </c>
      <c r="I46" s="18" t="s">
        <v>349</v>
      </c>
      <c r="J46" s="20" t="s">
        <v>349</v>
      </c>
      <c r="K46" s="18" t="n">
        <v>1.93211357</v>
      </c>
      <c r="L46" s="20" t="n">
        <v>0.38450626</v>
      </c>
      <c r="M46" s="18" t="n">
        <v>0</v>
      </c>
      <c r="N46" s="20" t="n">
        <v>0</v>
      </c>
      <c r="O46" s="18" t="n">
        <v>0</v>
      </c>
      <c r="P46" s="20" t="n">
        <v>0</v>
      </c>
      <c r="Q46" s="18" t="n">
        <v>3.08914896</v>
      </c>
      <c r="R46" s="20" t="n">
        <v>0.44703733</v>
      </c>
    </row>
    <row r="47" spans="1:18">
      <c r="A47" s="15" t="s">
        <v>389</v>
      </c>
      <c r="B47" s="17" t="n">
        <v>5928</v>
      </c>
      <c r="C47" s="18">
        <f>(5219.0/B47*100)</f>
        <v/>
      </c>
      <c r="D47" s="19" t="n">
        <v>709</v>
      </c>
      <c r="E47" s="18" t="n">
        <v>62.68133323</v>
      </c>
      <c r="F47" s="20" t="n">
        <v>1.95402585</v>
      </c>
      <c r="G47" s="18" t="n">
        <v>34.78395834</v>
      </c>
      <c r="H47" s="20" t="n">
        <v>1.94493673</v>
      </c>
      <c r="I47" s="18" t="s">
        <v>349</v>
      </c>
      <c r="J47" s="20" t="s">
        <v>349</v>
      </c>
      <c r="K47" s="18" t="n">
        <v>0.67570021</v>
      </c>
      <c r="L47" s="20" t="n">
        <v>0.23640076</v>
      </c>
      <c r="M47" s="18" t="n">
        <v>0</v>
      </c>
      <c r="N47" s="20" t="n">
        <v>0</v>
      </c>
      <c r="O47" s="18" t="n">
        <v>0</v>
      </c>
      <c r="P47" s="20" t="n">
        <v>0</v>
      </c>
      <c r="Q47" s="18" t="n">
        <v>1.85900822</v>
      </c>
      <c r="R47" s="20" t="n">
        <v>0.31407075</v>
      </c>
    </row>
    <row r="48" spans="1:18">
      <c r="A48" s="15" t="s">
        <v>390</v>
      </c>
      <c r="B48" s="17" t="n">
        <v>9841</v>
      </c>
      <c r="C48" s="18">
        <f>(8603.0/B48*100)</f>
        <v/>
      </c>
      <c r="D48" s="19" t="n">
        <v>1238</v>
      </c>
      <c r="E48" s="18" t="n">
        <v>47.560026</v>
      </c>
      <c r="F48" s="20" t="n">
        <v>2.06696492</v>
      </c>
      <c r="G48" s="18" t="n">
        <v>51.74072021</v>
      </c>
      <c r="H48" s="20" t="n">
        <v>2.06597701</v>
      </c>
      <c r="I48" s="18" t="s">
        <v>349</v>
      </c>
      <c r="J48" s="20" t="s">
        <v>349</v>
      </c>
      <c r="K48" s="18" t="n">
        <v>0.15845174</v>
      </c>
      <c r="L48" s="20" t="n">
        <v>0.11853733</v>
      </c>
      <c r="M48" s="18" t="n">
        <v>0</v>
      </c>
      <c r="N48" s="20" t="n">
        <v>0</v>
      </c>
      <c r="O48" s="18" t="n">
        <v>0</v>
      </c>
      <c r="P48" s="20" t="n">
        <v>0</v>
      </c>
      <c r="Q48" s="18" t="n">
        <v>0.54080205</v>
      </c>
      <c r="R48" s="20" t="n">
        <v>0.29904387</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(10378.0/B50*100)</f>
        <v/>
      </c>
      <c r="D50" s="19" t="n">
        <v>1417</v>
      </c>
      <c r="E50" s="18" t="n">
        <v>67.34932625</v>
      </c>
      <c r="F50" s="20" t="n">
        <v>1.47420578</v>
      </c>
      <c r="G50" s="18" t="n">
        <v>29.95382566</v>
      </c>
      <c r="H50" s="20" t="n">
        <v>1.61176824</v>
      </c>
      <c r="I50" s="18" t="s">
        <v>349</v>
      </c>
      <c r="J50" s="20" t="s">
        <v>349</v>
      </c>
      <c r="K50" s="18" t="n">
        <v>1.10501849</v>
      </c>
      <c r="L50" s="20" t="n">
        <v>0.35225729</v>
      </c>
      <c r="M50" s="18" t="n">
        <v>0</v>
      </c>
      <c r="N50" s="20" t="n">
        <v>0</v>
      </c>
      <c r="O50" s="18" t="n">
        <v>0</v>
      </c>
      <c r="P50" s="20" t="n">
        <v>0</v>
      </c>
      <c r="Q50" s="18" t="n">
        <v>1.5918296</v>
      </c>
      <c r="R50" s="20" t="n">
        <v>0.47660295</v>
      </c>
    </row>
    <row r="51" spans="1:18">
      <c r="A51" s="15" t="s">
        <v>393</v>
      </c>
      <c r="B51" s="17" t="n">
        <v>6866</v>
      </c>
      <c r="C51" s="18">
        <f>(6137.0/B51*100)</f>
        <v/>
      </c>
      <c r="D51" s="19" t="n">
        <v>729</v>
      </c>
      <c r="E51" s="18" t="n">
        <v>65.74512627999999</v>
      </c>
      <c r="F51" s="20" t="n">
        <v>1.86317764</v>
      </c>
      <c r="G51" s="18" t="n">
        <v>31.28621856</v>
      </c>
      <c r="H51" s="20" t="n">
        <v>1.86771897</v>
      </c>
      <c r="I51" s="18" t="s">
        <v>349</v>
      </c>
      <c r="J51" s="20" t="s">
        <v>349</v>
      </c>
      <c r="K51" s="18" t="n">
        <v>0.83977513</v>
      </c>
      <c r="L51" s="20" t="n">
        <v>0.42226643</v>
      </c>
      <c r="M51" s="18" t="n">
        <v>0</v>
      </c>
      <c r="N51" s="20" t="n">
        <v>0</v>
      </c>
      <c r="O51" s="18" t="n">
        <v>0</v>
      </c>
      <c r="P51" s="20" t="n">
        <v>0</v>
      </c>
      <c r="Q51" s="18" t="n">
        <v>2.12888003</v>
      </c>
      <c r="R51" s="20" t="n">
        <v>0.50035366</v>
      </c>
    </row>
    <row r="52" spans="1:18">
      <c r="A52" s="15" t="s">
        <v>394</v>
      </c>
      <c r="B52" s="17" t="n">
        <v>5809</v>
      </c>
      <c r="C52" s="18">
        <f>(5094.0/B52*100)</f>
        <v/>
      </c>
      <c r="D52" s="19" t="n">
        <v>715</v>
      </c>
      <c r="E52" s="18" t="n">
        <v>63.82919403</v>
      </c>
      <c r="F52" s="20" t="n">
        <v>1.97980711</v>
      </c>
      <c r="G52" s="18" t="n">
        <v>33.96297505</v>
      </c>
      <c r="H52" s="20" t="n">
        <v>1.96267752</v>
      </c>
      <c r="I52" s="18" t="s">
        <v>349</v>
      </c>
      <c r="J52" s="20" t="s">
        <v>349</v>
      </c>
      <c r="K52" s="18" t="n">
        <v>0</v>
      </c>
      <c r="L52" s="20" t="n">
        <v>0</v>
      </c>
      <c r="M52" s="18" t="n">
        <v>0</v>
      </c>
      <c r="N52" s="20" t="n">
        <v>0</v>
      </c>
      <c r="O52" s="18" t="n">
        <v>0</v>
      </c>
      <c r="P52" s="20" t="n">
        <v>0</v>
      </c>
      <c r="Q52" s="18" t="n">
        <v>2.20783092</v>
      </c>
      <c r="R52" s="20" t="n">
        <v>0.5932986</v>
      </c>
    </row>
    <row r="53" spans="1:18">
      <c r="A53" s="15" t="s">
        <v>395</v>
      </c>
      <c r="B53" s="17" t="n">
        <v>5571</v>
      </c>
      <c r="C53" s="18">
        <f>(4869.0/B53*100)</f>
        <v/>
      </c>
      <c r="D53" s="19" t="n">
        <v>702</v>
      </c>
      <c r="E53" s="18" t="n">
        <v>61.4416326</v>
      </c>
      <c r="F53" s="20" t="n">
        <v>1.89386329</v>
      </c>
      <c r="G53" s="18" t="n">
        <v>36.42124286</v>
      </c>
      <c r="H53" s="20" t="n">
        <v>1.86792038</v>
      </c>
      <c r="I53" s="18" t="s">
        <v>349</v>
      </c>
      <c r="J53" s="20" t="s">
        <v>349</v>
      </c>
      <c r="K53" s="18" t="n">
        <v>0.85937138</v>
      </c>
      <c r="L53" s="20" t="n">
        <v>0.36241935</v>
      </c>
      <c r="M53" s="18" t="n">
        <v>0</v>
      </c>
      <c r="N53" s="20" t="n">
        <v>0</v>
      </c>
      <c r="O53" s="18" t="n">
        <v>0</v>
      </c>
      <c r="P53" s="20" t="n">
        <v>0</v>
      </c>
      <c r="Q53" s="18" t="n">
        <v>1.27775316</v>
      </c>
      <c r="R53" s="20" t="n">
        <v>0.45759567</v>
      </c>
    </row>
    <row r="54" spans="1:18">
      <c r="A54" s="15" t="s">
        <v>396</v>
      </c>
      <c r="B54" s="17" t="n">
        <v>4740</v>
      </c>
      <c r="C54" s="18">
        <f>(3950.0/B54*100)</f>
        <v/>
      </c>
      <c r="D54" s="19" t="n">
        <v>790</v>
      </c>
      <c r="E54" s="18" t="n">
        <v>67.52446736</v>
      </c>
      <c r="F54" s="20" t="n">
        <v>1.99986379</v>
      </c>
      <c r="G54" s="18" t="n">
        <v>18.20281365</v>
      </c>
      <c r="H54" s="20" t="n">
        <v>1.4827304</v>
      </c>
      <c r="I54" s="18" t="s">
        <v>349</v>
      </c>
      <c r="J54" s="20" t="s">
        <v>349</v>
      </c>
      <c r="K54" s="18" t="n">
        <v>9.339522540000001</v>
      </c>
      <c r="L54" s="20" t="n">
        <v>1.1977189</v>
      </c>
      <c r="M54" s="18" t="n">
        <v>0</v>
      </c>
      <c r="N54" s="20" t="n">
        <v>0</v>
      </c>
      <c r="O54" s="18" t="n">
        <v>0</v>
      </c>
      <c r="P54" s="20" t="n">
        <v>0</v>
      </c>
      <c r="Q54" s="18" t="n">
        <v>4.93319645</v>
      </c>
      <c r="R54" s="20" t="n">
        <v>0.97984858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(4679.0/B56*100)</f>
        <v/>
      </c>
      <c r="D56" s="19" t="n">
        <v>680</v>
      </c>
      <c r="E56" s="18" t="n">
        <v>38.41630626</v>
      </c>
      <c r="F56" s="20" t="n">
        <v>1.7349567</v>
      </c>
      <c r="G56" s="18" t="n">
        <v>60.53991382</v>
      </c>
      <c r="H56" s="20" t="n">
        <v>1.73924865</v>
      </c>
      <c r="I56" s="18" t="s">
        <v>349</v>
      </c>
      <c r="J56" s="20" t="s">
        <v>349</v>
      </c>
      <c r="K56" s="18" t="n">
        <v>0.12096013</v>
      </c>
      <c r="L56" s="20" t="n">
        <v>0.12321067</v>
      </c>
      <c r="M56" s="18" t="n">
        <v>0</v>
      </c>
      <c r="N56" s="20" t="n">
        <v>0</v>
      </c>
      <c r="O56" s="18" t="n">
        <v>0</v>
      </c>
      <c r="P56" s="20" t="n">
        <v>0</v>
      </c>
      <c r="Q56" s="18" t="n">
        <v>0.92281979</v>
      </c>
      <c r="R56" s="20" t="n">
        <v>0.357236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(5716.0/B61*100)</f>
        <v/>
      </c>
      <c r="D61" s="19" t="n">
        <v>809</v>
      </c>
      <c r="E61" s="18" t="n">
        <v>54.67782385</v>
      </c>
      <c r="F61" s="20" t="n">
        <v>1.98900554</v>
      </c>
      <c r="G61" s="18" t="n">
        <v>44.46417855</v>
      </c>
      <c r="H61" s="20" t="n">
        <v>2.05279013</v>
      </c>
      <c r="I61" s="18" t="s">
        <v>349</v>
      </c>
      <c r="J61" s="20" t="s">
        <v>349</v>
      </c>
      <c r="K61" s="18" t="n">
        <v>0.28192642</v>
      </c>
      <c r="L61" s="20" t="n">
        <v>0.2013754</v>
      </c>
      <c r="M61" s="18" t="n">
        <v>0</v>
      </c>
      <c r="N61" s="20" t="n">
        <v>0</v>
      </c>
      <c r="O61" s="18" t="n">
        <v>0</v>
      </c>
      <c r="P61" s="20" t="n">
        <v>0</v>
      </c>
      <c r="Q61" s="18" t="n">
        <v>0.57607118</v>
      </c>
      <c r="R61" s="20" t="n">
        <v>0.26956022</v>
      </c>
    </row>
    <row r="62" spans="1:18">
      <c r="A62" s="15" t="s">
        <v>404</v>
      </c>
      <c r="B62" s="17" t="n">
        <v>4476</v>
      </c>
      <c r="C62" s="18">
        <f>(3927.0/B62*100)</f>
        <v/>
      </c>
      <c r="D62" s="19" t="n">
        <v>549</v>
      </c>
      <c r="E62" s="18" t="n">
        <v>41.96023113</v>
      </c>
      <c r="F62" s="20" t="n">
        <v>2.08459099</v>
      </c>
      <c r="G62" s="18" t="n">
        <v>57.67804789</v>
      </c>
      <c r="H62" s="20" t="n">
        <v>2.111998</v>
      </c>
      <c r="I62" s="18" t="s">
        <v>349</v>
      </c>
      <c r="J62" s="20" t="s">
        <v>349</v>
      </c>
      <c r="K62" s="18" t="n">
        <v>0</v>
      </c>
      <c r="L62" s="20" t="n">
        <v>0</v>
      </c>
      <c r="M62" s="18" t="n">
        <v>0</v>
      </c>
      <c r="N62" s="20" t="n">
        <v>0</v>
      </c>
      <c r="O62" s="18" t="n">
        <v>0</v>
      </c>
      <c r="P62" s="20" t="n">
        <v>0</v>
      </c>
      <c r="Q62" s="18" t="n">
        <v>0.36172099</v>
      </c>
      <c r="R62" s="20" t="n">
        <v>0.25228007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58.54323769</v>
      </c>
      <c r="F66" s="20" t="n">
        <v>1.96361654</v>
      </c>
      <c r="G66" s="18" t="n">
        <v>35.06862537</v>
      </c>
      <c r="H66" s="20" t="n">
        <v>2.08840648</v>
      </c>
      <c r="I66" s="18" t="s">
        <v>349</v>
      </c>
      <c r="J66" s="20" t="s">
        <v>349</v>
      </c>
      <c r="K66" s="18" t="n">
        <v>1.21535844</v>
      </c>
      <c r="L66" s="20" t="n">
        <v>0.42452488</v>
      </c>
      <c r="M66" s="18" t="n">
        <v>0</v>
      </c>
      <c r="N66" s="20" t="n">
        <v>0</v>
      </c>
      <c r="O66" s="18" t="n">
        <v>0</v>
      </c>
      <c r="P66" s="20" t="n">
        <v>0</v>
      </c>
      <c r="Q66" s="18" t="n">
        <v>5.17277849</v>
      </c>
      <c r="R66" s="20" t="n">
        <v>0.91636742</v>
      </c>
    </row>
    <row r="67" spans="1:18">
      <c r="A67" s="15" t="s">
        <v>409</v>
      </c>
      <c r="B67" s="17" t="n">
        <v>6971</v>
      </c>
      <c r="C67" s="18">
        <f>(6180.0/B67*100)</f>
        <v/>
      </c>
      <c r="D67" s="19" t="n">
        <v>791</v>
      </c>
      <c r="E67" s="18" t="n">
        <v>72.43084662</v>
      </c>
      <c r="F67" s="20" t="n">
        <v>1.52172939</v>
      </c>
      <c r="G67" s="18" t="n">
        <v>25.61454575</v>
      </c>
      <c r="H67" s="20" t="n">
        <v>1.53287912</v>
      </c>
      <c r="I67" s="18" t="s">
        <v>349</v>
      </c>
      <c r="J67" s="20" t="s">
        <v>349</v>
      </c>
      <c r="K67" s="18" t="n">
        <v>0.3824036</v>
      </c>
      <c r="L67" s="20" t="n">
        <v>0.22714701</v>
      </c>
      <c r="M67" s="18" t="n">
        <v>0</v>
      </c>
      <c r="N67" s="20" t="n">
        <v>0</v>
      </c>
      <c r="O67" s="18" t="n">
        <v>0</v>
      </c>
      <c r="P67" s="20" t="n">
        <v>0</v>
      </c>
      <c r="Q67" s="18" t="n">
        <v>1.57220403</v>
      </c>
      <c r="R67" s="20" t="n">
        <v>0.47857937</v>
      </c>
    </row>
    <row r="68" spans="1:18">
      <c r="A68" s="15" t="s">
        <v>410</v>
      </c>
      <c r="B68" s="17" t="n">
        <v>12083</v>
      </c>
      <c r="C68" s="18">
        <f>(10062.0/B68*100)</f>
        <v/>
      </c>
      <c r="D68" s="19" t="n">
        <v>2021</v>
      </c>
      <c r="E68" s="18" t="n">
        <v>66.56266375</v>
      </c>
      <c r="F68" s="20" t="n">
        <v>1.08259767</v>
      </c>
      <c r="G68" s="18" t="n">
        <v>26.51464065</v>
      </c>
      <c r="H68" s="20" t="n">
        <v>1.12716471</v>
      </c>
      <c r="I68" s="18" t="s">
        <v>349</v>
      </c>
      <c r="J68" s="20" t="s">
        <v>349</v>
      </c>
      <c r="K68" s="18" t="n">
        <v>2.90810095</v>
      </c>
      <c r="L68" s="20" t="n">
        <v>0.3544405</v>
      </c>
      <c r="M68" s="18" t="n">
        <v>0</v>
      </c>
      <c r="N68" s="20" t="n">
        <v>0</v>
      </c>
      <c r="O68" s="18" t="n">
        <v>0</v>
      </c>
      <c r="P68" s="20" t="n">
        <v>0</v>
      </c>
      <c r="Q68" s="18" t="n">
        <v>4.01459465</v>
      </c>
      <c r="R68" s="20" t="n">
        <v>0.39589179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(5308.0/B70*100)</f>
        <v/>
      </c>
      <c r="D70" s="19" t="n">
        <v>728</v>
      </c>
      <c r="E70" s="18" t="n">
        <v>66.64618263</v>
      </c>
      <c r="F70" s="20" t="n">
        <v>2.0451857</v>
      </c>
      <c r="G70" s="18" t="n">
        <v>32.31988585</v>
      </c>
      <c r="H70" s="20" t="n">
        <v>1.94200189</v>
      </c>
      <c r="I70" s="18" t="s">
        <v>349</v>
      </c>
      <c r="J70" s="20" t="s">
        <v>349</v>
      </c>
      <c r="K70" s="18" t="n">
        <v>0.20739926</v>
      </c>
      <c r="L70" s="20" t="n">
        <v>0.12319317</v>
      </c>
      <c r="M70" s="18" t="n">
        <v>0</v>
      </c>
      <c r="N70" s="20" t="n">
        <v>0</v>
      </c>
      <c r="O70" s="18" t="n">
        <v>0</v>
      </c>
      <c r="P70" s="20" t="n">
        <v>0</v>
      </c>
      <c r="Q70" s="18" t="n">
        <v>0.82653226</v>
      </c>
      <c r="R70" s="20" t="n">
        <v>0.36185308</v>
      </c>
    </row>
    <row r="71" spans="1:18">
      <c r="A71" s="15" t="s">
        <v>413</v>
      </c>
      <c r="B71" s="17" t="n">
        <v>6115</v>
      </c>
      <c r="C71" s="18">
        <f>(5367.0/B71*100)</f>
        <v/>
      </c>
      <c r="D71" s="19" t="n">
        <v>748</v>
      </c>
      <c r="E71" s="18" t="n">
        <v>42.38478221</v>
      </c>
      <c r="F71" s="20" t="n">
        <v>1.69923223</v>
      </c>
      <c r="G71" s="18" t="n">
        <v>57.03378977</v>
      </c>
      <c r="H71" s="20" t="n">
        <v>1.70943981</v>
      </c>
      <c r="I71" s="18" t="s">
        <v>349</v>
      </c>
      <c r="J71" s="20" t="s">
        <v>349</v>
      </c>
      <c r="K71" s="18" t="n">
        <v>0.31521087</v>
      </c>
      <c r="L71" s="20" t="n">
        <v>0.19013144</v>
      </c>
      <c r="M71" s="18" t="n">
        <v>0</v>
      </c>
      <c r="N71" s="20" t="n">
        <v>0</v>
      </c>
      <c r="O71" s="18" t="n">
        <v>0</v>
      </c>
      <c r="P71" s="20" t="n">
        <v>0</v>
      </c>
      <c r="Q71" s="18" t="n">
        <v>0.26621714</v>
      </c>
      <c r="R71" s="20" t="n">
        <v>0.19022889</v>
      </c>
    </row>
    <row r="72" spans="1:18">
      <c r="A72" s="15" t="s">
        <v>414</v>
      </c>
      <c r="B72" s="17" t="n">
        <v>7708</v>
      </c>
      <c r="C72" s="18">
        <f>(6767.0/B72*100)</f>
        <v/>
      </c>
      <c r="D72" s="19" t="n">
        <v>941</v>
      </c>
      <c r="E72" s="18" t="n">
        <v>45.47354399</v>
      </c>
      <c r="F72" s="20" t="n">
        <v>1.82980539</v>
      </c>
      <c r="G72" s="18" t="n">
        <v>53.70968808</v>
      </c>
      <c r="H72" s="20" t="n">
        <v>1.83267483</v>
      </c>
      <c r="I72" s="18" t="s">
        <v>349</v>
      </c>
      <c r="J72" s="20" t="s">
        <v>349</v>
      </c>
      <c r="K72" s="18" t="n">
        <v>0</v>
      </c>
      <c r="L72" s="20" t="n">
        <v>0</v>
      </c>
      <c r="M72" s="18" t="n">
        <v>0</v>
      </c>
      <c r="N72" s="20" t="n">
        <v>0</v>
      </c>
      <c r="O72" s="18" t="n">
        <v>0</v>
      </c>
      <c r="P72" s="20" t="n">
        <v>0</v>
      </c>
      <c r="Q72" s="18" t="n">
        <v>0.81676793</v>
      </c>
      <c r="R72" s="20" t="n">
        <v>0.28764221</v>
      </c>
    </row>
    <row r="73" spans="1:18">
      <c r="A73" s="15" t="s">
        <v>415</v>
      </c>
      <c r="B73" s="17" t="n">
        <v>8249</v>
      </c>
      <c r="C73" s="18">
        <f>(7288.0/B73*100)</f>
        <v/>
      </c>
      <c r="D73" s="19" t="n">
        <v>961</v>
      </c>
      <c r="E73" s="18" t="n">
        <v>73.43374783</v>
      </c>
      <c r="F73" s="20" t="n">
        <v>1.48720859</v>
      </c>
      <c r="G73" s="18" t="n">
        <v>26.40092233</v>
      </c>
      <c r="H73" s="20" t="n">
        <v>1.46540795</v>
      </c>
      <c r="I73" s="18" t="s">
        <v>349</v>
      </c>
      <c r="J73" s="20" t="s">
        <v>349</v>
      </c>
      <c r="K73" s="18" t="n">
        <v>0</v>
      </c>
      <c r="L73" s="20" t="n">
        <v>0</v>
      </c>
      <c r="M73" s="18" t="n">
        <v>0</v>
      </c>
      <c r="N73" s="20" t="n">
        <v>0</v>
      </c>
      <c r="O73" s="18" t="n">
        <v>0</v>
      </c>
      <c r="P73" s="20" t="n">
        <v>0</v>
      </c>
      <c r="Q73" s="18" t="n">
        <v>0.16532983</v>
      </c>
      <c r="R73" s="20" t="n">
        <v>0.12074204</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(4772.0/B75*100)</f>
        <v/>
      </c>
      <c r="D75" s="19" t="n">
        <v>603</v>
      </c>
      <c r="E75" s="18" t="n">
        <v>70.43664325</v>
      </c>
      <c r="F75" s="20" t="n">
        <v>2.11270981</v>
      </c>
      <c r="G75" s="18" t="n">
        <v>22.59078692</v>
      </c>
      <c r="H75" s="20" t="n">
        <v>1.67794691</v>
      </c>
      <c r="I75" s="18" t="s">
        <v>349</v>
      </c>
      <c r="J75" s="20" t="s">
        <v>349</v>
      </c>
      <c r="K75" s="18" t="n">
        <v>3.20159381</v>
      </c>
      <c r="L75" s="20" t="n">
        <v>0.78454642</v>
      </c>
      <c r="M75" s="18" t="n">
        <v>0</v>
      </c>
      <c r="N75" s="20" t="n">
        <v>0</v>
      </c>
      <c r="O75" s="18" t="n">
        <v>0</v>
      </c>
      <c r="P75" s="20" t="n">
        <v>0</v>
      </c>
      <c r="Q75" s="18" t="n">
        <v>3.77097602</v>
      </c>
      <c r="R75" s="20" t="n">
        <v>0.92167588</v>
      </c>
    </row>
    <row r="76" spans="1:18">
      <c r="A76" s="15" t="s">
        <v>418</v>
      </c>
      <c r="B76" s="17" t="n">
        <v>14167</v>
      </c>
      <c r="C76" s="18">
        <f>(12421.0/B76*100)</f>
        <v/>
      </c>
      <c r="D76" s="19" t="n">
        <v>1746</v>
      </c>
      <c r="E76" s="18" t="n">
        <v>63.46165283</v>
      </c>
      <c r="F76" s="20" t="n">
        <v>1.53030892</v>
      </c>
      <c r="G76" s="18" t="n">
        <v>34.29628322</v>
      </c>
      <c r="H76" s="20" t="n">
        <v>1.54500854</v>
      </c>
      <c r="I76" s="18" t="s">
        <v>349</v>
      </c>
      <c r="J76" s="20" t="s">
        <v>349</v>
      </c>
      <c r="K76" s="18" t="n">
        <v>0.8308454</v>
      </c>
      <c r="L76" s="20" t="n">
        <v>0.25795937</v>
      </c>
      <c r="M76" s="18" t="n">
        <v>0</v>
      </c>
      <c r="N76" s="20" t="n">
        <v>0</v>
      </c>
      <c r="O76" s="18" t="n">
        <v>0</v>
      </c>
      <c r="P76" s="20" t="n">
        <v>0</v>
      </c>
      <c r="Q76" s="18" t="n">
        <v>1.41121854</v>
      </c>
      <c r="R76" s="20" t="n">
        <v>0.28623414</v>
      </c>
    </row>
    <row r="77" spans="1:18">
      <c r="A77" s="15" t="s">
        <v>419</v>
      </c>
      <c r="B77" s="17" t="n">
        <v>6062</v>
      </c>
      <c r="C77" s="18">
        <f>(5367.0/B77*100)</f>
        <v/>
      </c>
      <c r="D77" s="19" t="n">
        <v>695</v>
      </c>
      <c r="E77" s="18" t="n">
        <v>67.23390728</v>
      </c>
      <c r="F77" s="20" t="n">
        <v>2.07351498</v>
      </c>
      <c r="G77" s="18" t="n">
        <v>25.7615658</v>
      </c>
      <c r="H77" s="20" t="n">
        <v>1.93990213</v>
      </c>
      <c r="I77" s="18" t="s">
        <v>349</v>
      </c>
      <c r="J77" s="20" t="s">
        <v>349</v>
      </c>
      <c r="K77" s="18" t="n">
        <v>1.89848497</v>
      </c>
      <c r="L77" s="20" t="n">
        <v>0.59078612</v>
      </c>
      <c r="M77" s="18" t="n">
        <v>0</v>
      </c>
      <c r="N77" s="20" t="n">
        <v>0</v>
      </c>
      <c r="O77" s="18" t="n">
        <v>0</v>
      </c>
      <c r="P77" s="20" t="n">
        <v>0</v>
      </c>
      <c r="Q77" s="18" t="n">
        <v>5.10604196</v>
      </c>
      <c r="R77" s="20" t="n">
        <v>0.83605847</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(7793.0/B81*100)</f>
        <v/>
      </c>
      <c r="D81" s="19" t="n">
        <v>1068</v>
      </c>
      <c r="E81" s="18" t="n">
        <v>66.78464323</v>
      </c>
      <c r="F81" s="20" t="n">
        <v>1.56522946</v>
      </c>
      <c r="G81" s="18" t="n">
        <v>32.81628791</v>
      </c>
      <c r="H81" s="20" t="n">
        <v>1.5619667</v>
      </c>
      <c r="I81" s="18" t="s">
        <v>349</v>
      </c>
      <c r="J81" s="20" t="s">
        <v>349</v>
      </c>
      <c r="K81" s="18" t="n">
        <v>0.14164484</v>
      </c>
      <c r="L81" s="20" t="n">
        <v>0.1327824</v>
      </c>
      <c r="M81" s="18" t="n">
        <v>0</v>
      </c>
      <c r="N81" s="20" t="n">
        <v>0</v>
      </c>
      <c r="O81" s="18" t="n">
        <v>0</v>
      </c>
      <c r="P81" s="20" t="n">
        <v>0</v>
      </c>
      <c r="Q81" s="18" t="n">
        <v>0.25742403</v>
      </c>
      <c r="R81" s="20" t="n">
        <v>0.18013317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(12716.0/B7*100)</f>
        <v/>
      </c>
      <c r="D7" s="19" t="n">
        <v>1814</v>
      </c>
      <c r="E7" s="18" t="n">
        <v>67.99503675</v>
      </c>
      <c r="F7" s="20" t="n">
        <v>1.20473172</v>
      </c>
      <c r="G7" s="18" t="n">
        <v>28.35850383</v>
      </c>
      <c r="H7" s="20" t="n">
        <v>1.09511606</v>
      </c>
      <c r="I7" s="18" t="s">
        <v>349</v>
      </c>
      <c r="J7" s="20" t="s">
        <v>349</v>
      </c>
      <c r="K7" s="18" t="n">
        <v>1.10464394</v>
      </c>
      <c r="L7" s="20" t="n">
        <v>0.31509502</v>
      </c>
      <c r="M7" s="18" t="n">
        <v>0</v>
      </c>
      <c r="N7" s="20" t="n">
        <v>0</v>
      </c>
      <c r="O7" s="18" t="n">
        <v>0</v>
      </c>
      <c r="P7" s="20" t="n">
        <v>0</v>
      </c>
      <c r="Q7" s="18" t="n">
        <v>2.54181548</v>
      </c>
      <c r="R7" s="20" t="n">
        <v>0.38697501</v>
      </c>
    </row>
    <row r="8" spans="1:18">
      <c r="A8" s="15" t="s">
        <v>350</v>
      </c>
      <c r="B8" s="17" t="n">
        <v>7007</v>
      </c>
      <c r="C8" s="18">
        <f>(6169.0/B8*100)</f>
        <v/>
      </c>
      <c r="D8" s="19" t="n">
        <v>838</v>
      </c>
      <c r="E8" s="18" t="n">
        <v>70.05744772</v>
      </c>
      <c r="F8" s="20" t="n">
        <v>1.92427604</v>
      </c>
      <c r="G8" s="18" t="n">
        <v>26.32392979</v>
      </c>
      <c r="H8" s="20" t="n">
        <v>1.80074604</v>
      </c>
      <c r="I8" s="18" t="s">
        <v>349</v>
      </c>
      <c r="J8" s="20" t="s">
        <v>349</v>
      </c>
      <c r="K8" s="18" t="n">
        <v>0.26591975</v>
      </c>
      <c r="L8" s="20" t="n">
        <v>0.13870054</v>
      </c>
      <c r="M8" s="18" t="n">
        <v>0</v>
      </c>
      <c r="N8" s="20" t="n">
        <v>0</v>
      </c>
      <c r="O8" s="18" t="n">
        <v>0</v>
      </c>
      <c r="P8" s="20" t="n">
        <v>0</v>
      </c>
      <c r="Q8" s="18" t="n">
        <v>3.35270274</v>
      </c>
      <c r="R8" s="20" t="n">
        <v>0.64821993</v>
      </c>
    </row>
    <row r="9" spans="1:18">
      <c r="A9" s="15" t="s">
        <v>351</v>
      </c>
      <c r="B9" s="17" t="n">
        <v>9651</v>
      </c>
      <c r="C9" s="18">
        <f>(8514.0/B9*100)</f>
        <v/>
      </c>
      <c r="D9" s="19" t="n">
        <v>1137</v>
      </c>
      <c r="E9" s="18" t="n">
        <v>67.10601659</v>
      </c>
      <c r="F9" s="20" t="n">
        <v>1.29481222</v>
      </c>
      <c r="G9" s="18" t="n">
        <v>28.2136464</v>
      </c>
      <c r="H9" s="20" t="n">
        <v>1.22761749</v>
      </c>
      <c r="I9" s="18" t="s">
        <v>349</v>
      </c>
      <c r="J9" s="20" t="s">
        <v>349</v>
      </c>
      <c r="K9" s="18" t="n">
        <v>0.47234562</v>
      </c>
      <c r="L9" s="20" t="n">
        <v>0.192538</v>
      </c>
      <c r="M9" s="18" t="n">
        <v>0</v>
      </c>
      <c r="N9" s="20" t="n">
        <v>0</v>
      </c>
      <c r="O9" s="18" t="n">
        <v>0</v>
      </c>
      <c r="P9" s="20" t="n">
        <v>0</v>
      </c>
      <c r="Q9" s="18" t="n">
        <v>4.20799138</v>
      </c>
      <c r="R9" s="20" t="n">
        <v>0.64837989</v>
      </c>
    </row>
    <row r="10" spans="1:18">
      <c r="A10" s="15" t="s">
        <v>352</v>
      </c>
      <c r="B10" s="17" t="n">
        <v>20058</v>
      </c>
      <c r="C10" s="18">
        <f>(17647.0/B10*100)</f>
        <v/>
      </c>
      <c r="D10" s="19" t="n">
        <v>2411</v>
      </c>
      <c r="E10" s="18" t="n">
        <v>65.52099349</v>
      </c>
      <c r="F10" s="20" t="n">
        <v>1.46302047</v>
      </c>
      <c r="G10" s="18" t="n">
        <v>31.50873623</v>
      </c>
      <c r="H10" s="20" t="n">
        <v>1.43132394</v>
      </c>
      <c r="I10" s="18" t="s">
        <v>349</v>
      </c>
      <c r="J10" s="20" t="s">
        <v>349</v>
      </c>
      <c r="K10" s="18" t="n">
        <v>0.44638571</v>
      </c>
      <c r="L10" s="20" t="n">
        <v>0.18028514</v>
      </c>
      <c r="M10" s="18" t="n">
        <v>0</v>
      </c>
      <c r="N10" s="20" t="n">
        <v>0</v>
      </c>
      <c r="O10" s="18" t="n">
        <v>0</v>
      </c>
      <c r="P10" s="20" t="n">
        <v>0</v>
      </c>
      <c r="Q10" s="18" t="n">
        <v>2.52388457</v>
      </c>
      <c r="R10" s="20" t="n">
        <v>0.47633176</v>
      </c>
    </row>
    <row r="11" spans="1:18">
      <c r="A11" s="15" t="s">
        <v>353</v>
      </c>
      <c r="B11" s="17" t="n">
        <v>7053</v>
      </c>
      <c r="C11" s="18">
        <f>(6214.0/B11*100)</f>
        <v/>
      </c>
      <c r="D11" s="19" t="n">
        <v>839</v>
      </c>
      <c r="E11" s="18" t="n">
        <v>80.87385652</v>
      </c>
      <c r="F11" s="20" t="n">
        <v>1.59458908</v>
      </c>
      <c r="G11" s="18" t="n">
        <v>8.20646015</v>
      </c>
      <c r="H11" s="20" t="n">
        <v>0.84179161</v>
      </c>
      <c r="I11" s="18" t="s">
        <v>349</v>
      </c>
      <c r="J11" s="20" t="s">
        <v>349</v>
      </c>
      <c r="K11" s="18" t="n">
        <v>2.20358517</v>
      </c>
      <c r="L11" s="20" t="n">
        <v>0.52798893</v>
      </c>
      <c r="M11" s="18" t="n">
        <v>0</v>
      </c>
      <c r="N11" s="20" t="n">
        <v>0</v>
      </c>
      <c r="O11" s="18" t="n">
        <v>0</v>
      </c>
      <c r="P11" s="20" t="n">
        <v>0</v>
      </c>
      <c r="Q11" s="18" t="n">
        <v>8.71609816</v>
      </c>
      <c r="R11" s="20" t="n">
        <v>1.2375625</v>
      </c>
    </row>
    <row r="12" spans="1:18">
      <c r="A12" s="15" t="s">
        <v>354</v>
      </c>
      <c r="B12" s="17" t="n">
        <v>6894</v>
      </c>
      <c r="C12" s="18">
        <f>(6080.0/B12*100)</f>
        <v/>
      </c>
      <c r="D12" s="19" t="n">
        <v>814</v>
      </c>
      <c r="E12" s="18" t="n">
        <v>72.95508094</v>
      </c>
      <c r="F12" s="20" t="n">
        <v>1.45356793</v>
      </c>
      <c r="G12" s="18" t="n">
        <v>22.18115985</v>
      </c>
      <c r="H12" s="20" t="n">
        <v>1.44663824</v>
      </c>
      <c r="I12" s="18" t="s">
        <v>349</v>
      </c>
      <c r="J12" s="20" t="s">
        <v>349</v>
      </c>
      <c r="K12" s="18" t="n">
        <v>0.1862595</v>
      </c>
      <c r="L12" s="20" t="n">
        <v>0.14669377</v>
      </c>
      <c r="M12" s="18" t="n">
        <v>0</v>
      </c>
      <c r="N12" s="20" t="n">
        <v>0</v>
      </c>
      <c r="O12" s="18" t="n">
        <v>0</v>
      </c>
      <c r="P12" s="20" t="n">
        <v>0</v>
      </c>
      <c r="Q12" s="18" t="n">
        <v>4.67749971</v>
      </c>
      <c r="R12" s="20" t="n">
        <v>1.02971684</v>
      </c>
    </row>
    <row r="13" spans="1:18">
      <c r="A13" s="15" t="s">
        <v>355</v>
      </c>
      <c r="B13" s="17" t="n">
        <v>7161</v>
      </c>
      <c r="C13" s="18">
        <f>(6340.0/B13*100)</f>
        <v/>
      </c>
      <c r="D13" s="19" t="n">
        <v>821</v>
      </c>
      <c r="E13" s="18" t="n">
        <v>68.67476473000001</v>
      </c>
      <c r="F13" s="20" t="n">
        <v>1.96936072</v>
      </c>
      <c r="G13" s="18" t="n">
        <v>27.17745343</v>
      </c>
      <c r="H13" s="20" t="n">
        <v>1.96292885</v>
      </c>
      <c r="I13" s="18" t="s">
        <v>349</v>
      </c>
      <c r="J13" s="20" t="s">
        <v>349</v>
      </c>
      <c r="K13" s="18" t="n">
        <v>0.9297152</v>
      </c>
      <c r="L13" s="20" t="n">
        <v>0.4645535</v>
      </c>
      <c r="M13" s="18" t="n">
        <v>0</v>
      </c>
      <c r="N13" s="20" t="n">
        <v>0</v>
      </c>
      <c r="O13" s="18" t="n">
        <v>0</v>
      </c>
      <c r="P13" s="20" t="n">
        <v>0</v>
      </c>
      <c r="Q13" s="18" t="n">
        <v>3.21806664</v>
      </c>
      <c r="R13" s="20" t="n">
        <v>0.87986783</v>
      </c>
    </row>
    <row r="14" spans="1:18">
      <c r="A14" s="15" t="s">
        <v>356</v>
      </c>
      <c r="B14" s="17" t="n">
        <v>5587</v>
      </c>
      <c r="C14" s="18">
        <f>(4889.0/B14*100)</f>
        <v/>
      </c>
      <c r="D14" s="19" t="n">
        <v>698</v>
      </c>
      <c r="E14" s="18" t="n">
        <v>70.44372294</v>
      </c>
      <c r="F14" s="20" t="n">
        <v>2.14873512</v>
      </c>
      <c r="G14" s="18" t="n">
        <v>27.73263885</v>
      </c>
      <c r="H14" s="20" t="n">
        <v>2.10295495</v>
      </c>
      <c r="I14" s="18" t="s">
        <v>349</v>
      </c>
      <c r="J14" s="20" t="s">
        <v>349</v>
      </c>
      <c r="K14" s="18" t="n">
        <v>0</v>
      </c>
      <c r="L14" s="20" t="n">
        <v>0</v>
      </c>
      <c r="M14" s="18" t="n">
        <v>0</v>
      </c>
      <c r="N14" s="20" t="n">
        <v>0</v>
      </c>
      <c r="O14" s="18" t="n">
        <v>0</v>
      </c>
      <c r="P14" s="20" t="n">
        <v>0</v>
      </c>
      <c r="Q14" s="18" t="n">
        <v>1.8236382</v>
      </c>
      <c r="R14" s="20" t="n">
        <v>0.41046791</v>
      </c>
    </row>
    <row r="15" spans="1:18">
      <c r="A15" s="15" t="s">
        <v>357</v>
      </c>
      <c r="B15" s="17" t="n">
        <v>5882</v>
      </c>
      <c r="C15" s="18">
        <f>(5167.0/B15*100)</f>
        <v/>
      </c>
      <c r="D15" s="19" t="n">
        <v>715</v>
      </c>
      <c r="E15" s="18" t="n">
        <v>64.14435881</v>
      </c>
      <c r="F15" s="20" t="n">
        <v>1.86997187</v>
      </c>
      <c r="G15" s="18" t="n">
        <v>33.41487902</v>
      </c>
      <c r="H15" s="20" t="n">
        <v>1.89574465</v>
      </c>
      <c r="I15" s="18" t="s">
        <v>349</v>
      </c>
      <c r="J15" s="20" t="s">
        <v>349</v>
      </c>
      <c r="K15" s="18" t="n">
        <v>0.3100059</v>
      </c>
      <c r="L15" s="20" t="n">
        <v>0.22736977</v>
      </c>
      <c r="M15" s="18" t="n">
        <v>0</v>
      </c>
      <c r="N15" s="20" t="n">
        <v>0</v>
      </c>
      <c r="O15" s="18" t="n">
        <v>0</v>
      </c>
      <c r="P15" s="20" t="n">
        <v>0</v>
      </c>
      <c r="Q15" s="18" t="n">
        <v>2.13075626</v>
      </c>
      <c r="R15" s="20" t="n">
        <v>0.60059383</v>
      </c>
    </row>
    <row r="16" spans="1:18">
      <c r="A16" s="15" t="s">
        <v>358</v>
      </c>
      <c r="B16" s="17" t="n">
        <v>6108</v>
      </c>
      <c r="C16" s="18">
        <f>(5350.0/B16*100)</f>
        <v/>
      </c>
      <c r="D16" s="19" t="n">
        <v>758</v>
      </c>
      <c r="E16" s="18" t="n">
        <v>68.78572349</v>
      </c>
      <c r="F16" s="20" t="n">
        <v>1.63017524</v>
      </c>
      <c r="G16" s="18" t="n">
        <v>21.73074633</v>
      </c>
      <c r="H16" s="20" t="n">
        <v>1.36642573</v>
      </c>
      <c r="I16" s="18" t="s">
        <v>349</v>
      </c>
      <c r="J16" s="20" t="s">
        <v>349</v>
      </c>
      <c r="K16" s="18" t="n">
        <v>2.34250377</v>
      </c>
      <c r="L16" s="20" t="n">
        <v>0.7011396600000001</v>
      </c>
      <c r="M16" s="18" t="n">
        <v>0</v>
      </c>
      <c r="N16" s="20" t="n">
        <v>0</v>
      </c>
      <c r="O16" s="18" t="n">
        <v>0</v>
      </c>
      <c r="P16" s="20" t="n">
        <v>0</v>
      </c>
      <c r="Q16" s="18" t="n">
        <v>7.14102641</v>
      </c>
      <c r="R16" s="20" t="n">
        <v>0.99683263</v>
      </c>
    </row>
    <row r="17" spans="1:18">
      <c r="A17" s="15" t="s">
        <v>359</v>
      </c>
      <c r="B17" s="17" t="n">
        <v>6504</v>
      </c>
      <c r="C17" s="18">
        <f>(5729.0/B17*100)</f>
        <v/>
      </c>
      <c r="D17" s="19" t="n">
        <v>775</v>
      </c>
      <c r="E17" s="18" t="n">
        <v>63.49156604</v>
      </c>
      <c r="F17" s="20" t="n">
        <v>1.58356047</v>
      </c>
      <c r="G17" s="18" t="n">
        <v>30.12548001</v>
      </c>
      <c r="H17" s="20" t="n">
        <v>1.70829904</v>
      </c>
      <c r="I17" s="18" t="s">
        <v>349</v>
      </c>
      <c r="J17" s="20" t="s">
        <v>349</v>
      </c>
      <c r="K17" s="18" t="n">
        <v>0.73599318</v>
      </c>
      <c r="L17" s="20" t="n">
        <v>0.32854784</v>
      </c>
      <c r="M17" s="18" t="n">
        <v>0</v>
      </c>
      <c r="N17" s="20" t="n">
        <v>0</v>
      </c>
      <c r="O17" s="18" t="n">
        <v>0</v>
      </c>
      <c r="P17" s="20" t="n">
        <v>0</v>
      </c>
      <c r="Q17" s="18" t="n">
        <v>5.64696077</v>
      </c>
      <c r="R17" s="20" t="n">
        <v>1.00556744</v>
      </c>
    </row>
    <row r="18" spans="1:18">
      <c r="A18" s="15" t="s">
        <v>360</v>
      </c>
      <c r="B18" s="17" t="n">
        <v>5532</v>
      </c>
      <c r="C18" s="18">
        <f>(4873.0/B18*100)</f>
        <v/>
      </c>
      <c r="D18" s="19" t="n">
        <v>659</v>
      </c>
      <c r="E18" s="18" t="n">
        <v>82.37551243999999</v>
      </c>
      <c r="F18" s="20" t="n">
        <v>1.50349147</v>
      </c>
      <c r="G18" s="18" t="n">
        <v>12.15844442</v>
      </c>
      <c r="H18" s="20" t="n">
        <v>1.31228847</v>
      </c>
      <c r="I18" s="18" t="s">
        <v>349</v>
      </c>
      <c r="J18" s="20" t="s">
        <v>349</v>
      </c>
      <c r="K18" s="18" t="n">
        <v>0.9459724</v>
      </c>
      <c r="L18" s="20" t="n">
        <v>0.34498415</v>
      </c>
      <c r="M18" s="18" t="n">
        <v>0</v>
      </c>
      <c r="N18" s="20" t="n">
        <v>0</v>
      </c>
      <c r="O18" s="18" t="n">
        <v>0</v>
      </c>
      <c r="P18" s="20" t="n">
        <v>0</v>
      </c>
      <c r="Q18" s="18" t="n">
        <v>4.52007074</v>
      </c>
      <c r="R18" s="20" t="n">
        <v>0.83547947</v>
      </c>
    </row>
    <row r="19" spans="1:18">
      <c r="A19" s="15" t="s">
        <v>361</v>
      </c>
      <c r="B19" s="17" t="n">
        <v>5658</v>
      </c>
      <c r="C19" s="18">
        <f>(4970.0/B19*100)</f>
        <v/>
      </c>
      <c r="D19" s="19" t="n">
        <v>688</v>
      </c>
      <c r="E19" s="18" t="n">
        <v>73.78678092</v>
      </c>
      <c r="F19" s="20" t="n">
        <v>1.55231041</v>
      </c>
      <c r="G19" s="18" t="n">
        <v>18.30332501</v>
      </c>
      <c r="H19" s="20" t="n">
        <v>1.41122226</v>
      </c>
      <c r="I19" s="18" t="s">
        <v>349</v>
      </c>
      <c r="J19" s="20" t="s">
        <v>349</v>
      </c>
      <c r="K19" s="18" t="n">
        <v>1.60825584</v>
      </c>
      <c r="L19" s="20" t="n">
        <v>0.61011849</v>
      </c>
      <c r="M19" s="18" t="n">
        <v>0</v>
      </c>
      <c r="N19" s="20" t="n">
        <v>0</v>
      </c>
      <c r="O19" s="18" t="n">
        <v>0</v>
      </c>
      <c r="P19" s="20" t="n">
        <v>0</v>
      </c>
      <c r="Q19" s="18" t="n">
        <v>6.30163823</v>
      </c>
      <c r="R19" s="20" t="n">
        <v>0.94706557</v>
      </c>
    </row>
    <row r="20" spans="1:18">
      <c r="A20" s="15" t="s">
        <v>362</v>
      </c>
      <c r="B20" s="17" t="n">
        <v>3371</v>
      </c>
      <c r="C20" s="18">
        <f>(2946.0/B20*100)</f>
        <v/>
      </c>
      <c r="D20" s="19" t="n">
        <v>425</v>
      </c>
      <c r="E20" s="18" t="n">
        <v>64.29068002</v>
      </c>
      <c r="F20" s="20" t="n">
        <v>2.368985</v>
      </c>
      <c r="G20" s="18" t="n">
        <v>31.07929302</v>
      </c>
      <c r="H20" s="20" t="n">
        <v>2.46461579</v>
      </c>
      <c r="I20" s="18" t="s">
        <v>349</v>
      </c>
      <c r="J20" s="20" t="s">
        <v>349</v>
      </c>
      <c r="K20" s="18" t="n">
        <v>1.87350498</v>
      </c>
      <c r="L20" s="20" t="n">
        <v>0.78156656</v>
      </c>
      <c r="M20" s="18" t="n">
        <v>0</v>
      </c>
      <c r="N20" s="20" t="n">
        <v>0</v>
      </c>
      <c r="O20" s="18" t="n">
        <v>0</v>
      </c>
      <c r="P20" s="20" t="n">
        <v>0</v>
      </c>
      <c r="Q20" s="18" t="n">
        <v>2.75652198</v>
      </c>
      <c r="R20" s="20" t="n">
        <v>0.97933689</v>
      </c>
    </row>
    <row r="21" spans="1:18">
      <c r="A21" s="15" t="s">
        <v>363</v>
      </c>
      <c r="B21" s="17" t="n">
        <v>5741</v>
      </c>
      <c r="C21" s="18">
        <f>(4815.0/B21*100)</f>
        <v/>
      </c>
      <c r="D21" s="19" t="n">
        <v>926</v>
      </c>
      <c r="E21" s="18" t="n">
        <v>69.56594785999999</v>
      </c>
      <c r="F21" s="20" t="n">
        <v>1.51476413</v>
      </c>
      <c r="G21" s="18" t="n">
        <v>28.69408811</v>
      </c>
      <c r="H21" s="20" t="n">
        <v>1.49356043</v>
      </c>
      <c r="I21" s="18" t="s">
        <v>349</v>
      </c>
      <c r="J21" s="20" t="s">
        <v>349</v>
      </c>
      <c r="K21" s="18" t="n">
        <v>0.44145889</v>
      </c>
      <c r="L21" s="20" t="n">
        <v>0.22715115</v>
      </c>
      <c r="M21" s="18" t="n">
        <v>0</v>
      </c>
      <c r="N21" s="20" t="n">
        <v>0</v>
      </c>
      <c r="O21" s="18" t="n">
        <v>0</v>
      </c>
      <c r="P21" s="20" t="n">
        <v>0</v>
      </c>
      <c r="Q21" s="18" t="n">
        <v>1.29850514</v>
      </c>
      <c r="R21" s="20" t="n">
        <v>0.49036102</v>
      </c>
    </row>
    <row r="22" spans="1:18">
      <c r="A22" s="15" t="s">
        <v>364</v>
      </c>
      <c r="B22" s="17" t="n">
        <v>6598</v>
      </c>
      <c r="C22" s="18">
        <f>(5789.0/B22*100)</f>
        <v/>
      </c>
      <c r="D22" s="19" t="n">
        <v>809</v>
      </c>
      <c r="E22" s="18" t="n">
        <v>65.47366613</v>
      </c>
      <c r="F22" s="20" t="n">
        <v>1.6345033</v>
      </c>
      <c r="G22" s="18" t="n">
        <v>27.99751444</v>
      </c>
      <c r="H22" s="20" t="n">
        <v>1.55888841</v>
      </c>
      <c r="I22" s="18" t="s">
        <v>349</v>
      </c>
      <c r="J22" s="20" t="s">
        <v>349</v>
      </c>
      <c r="K22" s="18" t="n">
        <v>0.99412643</v>
      </c>
      <c r="L22" s="20" t="n">
        <v>0.39180732</v>
      </c>
      <c r="M22" s="18" t="n">
        <v>0</v>
      </c>
      <c r="N22" s="20" t="n">
        <v>0</v>
      </c>
      <c r="O22" s="18" t="n">
        <v>0</v>
      </c>
      <c r="P22" s="20" t="n">
        <v>0</v>
      </c>
      <c r="Q22" s="18" t="n">
        <v>5.53469299</v>
      </c>
      <c r="R22" s="20" t="n">
        <v>0.9341227600000001</v>
      </c>
    </row>
    <row r="23" spans="1:18">
      <c r="A23" s="15" t="s">
        <v>365</v>
      </c>
      <c r="B23" s="17" t="n">
        <v>11583</v>
      </c>
      <c r="C23" s="18">
        <f>(10160.0/B23*100)</f>
        <v/>
      </c>
      <c r="D23" s="19" t="n">
        <v>1423</v>
      </c>
      <c r="E23" s="18" t="n">
        <v>69.09623037999999</v>
      </c>
      <c r="F23" s="20" t="n">
        <v>1.74041522</v>
      </c>
      <c r="G23" s="18" t="n">
        <v>24.08585929</v>
      </c>
      <c r="H23" s="20" t="n">
        <v>1.58317157</v>
      </c>
      <c r="I23" s="18" t="s">
        <v>349</v>
      </c>
      <c r="J23" s="20" t="s">
        <v>349</v>
      </c>
      <c r="K23" s="18" t="n">
        <v>1.11911947</v>
      </c>
      <c r="L23" s="20" t="n">
        <v>0.5327075</v>
      </c>
      <c r="M23" s="18" t="n">
        <v>0</v>
      </c>
      <c r="N23" s="20" t="n">
        <v>0</v>
      </c>
      <c r="O23" s="18" t="n">
        <v>0</v>
      </c>
      <c r="P23" s="20" t="n">
        <v>0</v>
      </c>
      <c r="Q23" s="18" t="n">
        <v>5.69879086</v>
      </c>
      <c r="R23" s="20" t="n">
        <v>1.02107645</v>
      </c>
    </row>
    <row r="24" spans="1:18">
      <c r="A24" s="15" t="s">
        <v>366</v>
      </c>
      <c r="B24" s="17" t="n">
        <v>6647</v>
      </c>
      <c r="C24" s="18">
        <f>(5819.0/B24*100)</f>
        <v/>
      </c>
      <c r="D24" s="19" t="n">
        <v>828</v>
      </c>
      <c r="E24" s="18" t="n">
        <v>44.23801937</v>
      </c>
      <c r="F24" s="20" t="n">
        <v>1.8737637</v>
      </c>
      <c r="G24" s="18" t="n">
        <v>51.82796356</v>
      </c>
      <c r="H24" s="20" t="n">
        <v>1.81401236</v>
      </c>
      <c r="I24" s="18" t="s">
        <v>349</v>
      </c>
      <c r="J24" s="20" t="s">
        <v>349</v>
      </c>
      <c r="K24" s="18" t="n">
        <v>0.57805672</v>
      </c>
      <c r="L24" s="20" t="n">
        <v>0.2596431</v>
      </c>
      <c r="M24" s="18" t="n">
        <v>0</v>
      </c>
      <c r="N24" s="20" t="n">
        <v>0</v>
      </c>
      <c r="O24" s="18" t="n">
        <v>0</v>
      </c>
      <c r="P24" s="20" t="n">
        <v>0</v>
      </c>
      <c r="Q24" s="18" t="n">
        <v>3.35596036</v>
      </c>
      <c r="R24" s="20" t="n">
        <v>0.68909944</v>
      </c>
    </row>
    <row r="25" spans="1:18">
      <c r="A25" s="15" t="s">
        <v>367</v>
      </c>
      <c r="B25" s="17" t="n">
        <v>5581</v>
      </c>
      <c r="C25" s="18">
        <f>(4887.0/B25*100)</f>
        <v/>
      </c>
      <c r="D25" s="19" t="n">
        <v>694</v>
      </c>
      <c r="E25" s="18" t="n">
        <v>58.59527663</v>
      </c>
      <c r="F25" s="20" t="n">
        <v>1.93290852</v>
      </c>
      <c r="G25" s="18" t="n">
        <v>39.24397008</v>
      </c>
      <c r="H25" s="20" t="n">
        <v>1.99333032</v>
      </c>
      <c r="I25" s="18" t="s">
        <v>349</v>
      </c>
      <c r="J25" s="20" t="s">
        <v>349</v>
      </c>
      <c r="K25" s="18" t="n">
        <v>0.55674074</v>
      </c>
      <c r="L25" s="20" t="n">
        <v>0.27677277</v>
      </c>
      <c r="M25" s="18" t="n">
        <v>0</v>
      </c>
      <c r="N25" s="20" t="n">
        <v>0</v>
      </c>
      <c r="O25" s="18" t="n">
        <v>0</v>
      </c>
      <c r="P25" s="20" t="n">
        <v>0</v>
      </c>
      <c r="Q25" s="18" t="n">
        <v>1.60401255</v>
      </c>
      <c r="R25" s="20" t="n">
        <v>0.49364233</v>
      </c>
    </row>
    <row r="26" spans="1:18">
      <c r="A26" s="15" t="s">
        <v>368</v>
      </c>
      <c r="B26" s="17" t="n">
        <v>4869</v>
      </c>
      <c r="C26" s="18">
        <f>(4285.0/B26*100)</f>
        <v/>
      </c>
      <c r="D26" s="19" t="n">
        <v>584</v>
      </c>
      <c r="E26" s="18" t="n">
        <v>82.86707709</v>
      </c>
      <c r="F26" s="20" t="n">
        <v>1.69521773</v>
      </c>
      <c r="G26" s="18" t="n">
        <v>14.30752101</v>
      </c>
      <c r="H26" s="20" t="n">
        <v>1.57656633</v>
      </c>
      <c r="I26" s="18" t="s">
        <v>349</v>
      </c>
      <c r="J26" s="20" t="s">
        <v>349</v>
      </c>
      <c r="K26" s="18" t="n">
        <v>0</v>
      </c>
      <c r="L26" s="20" t="n">
        <v>0</v>
      </c>
      <c r="M26" s="18" t="n">
        <v>0</v>
      </c>
      <c r="N26" s="20" t="n">
        <v>0</v>
      </c>
      <c r="O26" s="18" t="n">
        <v>0</v>
      </c>
      <c r="P26" s="20" t="n">
        <v>0</v>
      </c>
      <c r="Q26" s="18" t="n">
        <v>2.82540189</v>
      </c>
      <c r="R26" s="20" t="n">
        <v>0.6202624799999999</v>
      </c>
    </row>
    <row r="27" spans="1:18">
      <c r="A27" s="15" t="s">
        <v>369</v>
      </c>
      <c r="B27" s="17" t="n">
        <v>5299</v>
      </c>
      <c r="C27" s="18">
        <f>(4677.0/B27*100)</f>
        <v/>
      </c>
      <c r="D27" s="19" t="n">
        <v>622</v>
      </c>
      <c r="E27" s="18" t="n">
        <v>73.09409402999999</v>
      </c>
      <c r="F27" s="20" t="n">
        <v>1.81640247</v>
      </c>
      <c r="G27" s="18" t="n">
        <v>22.56558186</v>
      </c>
      <c r="H27" s="20" t="n">
        <v>1.6692868</v>
      </c>
      <c r="I27" s="18" t="s">
        <v>349</v>
      </c>
      <c r="J27" s="20" t="s">
        <v>349</v>
      </c>
      <c r="K27" s="18" t="n">
        <v>0.64254444</v>
      </c>
      <c r="L27" s="20" t="n">
        <v>0.32405377</v>
      </c>
      <c r="M27" s="18" t="n">
        <v>0</v>
      </c>
      <c r="N27" s="20" t="n">
        <v>0</v>
      </c>
      <c r="O27" s="18" t="n">
        <v>0</v>
      </c>
      <c r="P27" s="20" t="n">
        <v>0</v>
      </c>
      <c r="Q27" s="18" t="n">
        <v>3.69777966</v>
      </c>
      <c r="R27" s="20" t="n">
        <v>0.74682101</v>
      </c>
    </row>
    <row r="28" spans="1:18">
      <c r="A28" s="15" t="s">
        <v>370</v>
      </c>
      <c r="B28" s="17" t="n">
        <v>7568</v>
      </c>
      <c r="C28" s="18">
        <f>(6725.0/B28*100)</f>
        <v/>
      </c>
      <c r="D28" s="19" t="n">
        <v>843</v>
      </c>
      <c r="E28" s="18" t="n">
        <v>93.50458037</v>
      </c>
      <c r="F28" s="20" t="n">
        <v>0.88119684</v>
      </c>
      <c r="G28" s="18" t="n">
        <v>5.36414063</v>
      </c>
      <c r="H28" s="20" t="n">
        <v>0.79894406</v>
      </c>
      <c r="I28" s="18" t="s">
        <v>349</v>
      </c>
      <c r="J28" s="20" t="s">
        <v>349</v>
      </c>
      <c r="K28" s="18" t="n">
        <v>0</v>
      </c>
      <c r="L28" s="20" t="n">
        <v>0</v>
      </c>
      <c r="M28" s="18" t="n">
        <v>0</v>
      </c>
      <c r="N28" s="20" t="n">
        <v>0</v>
      </c>
      <c r="O28" s="18" t="n">
        <v>0</v>
      </c>
      <c r="P28" s="20" t="n">
        <v>0</v>
      </c>
      <c r="Q28" s="18" t="n">
        <v>1.131279</v>
      </c>
      <c r="R28" s="20" t="n">
        <v>0.39317309</v>
      </c>
    </row>
    <row r="29" spans="1:18">
      <c r="A29" s="15" t="s">
        <v>371</v>
      </c>
      <c r="B29" s="17" t="n">
        <v>5385</v>
      </c>
      <c r="C29" s="18">
        <f>(4744.0/B29*100)</f>
        <v/>
      </c>
      <c r="D29" s="19" t="n">
        <v>641</v>
      </c>
      <c r="E29" s="18" t="n">
        <v>67.09628849000001</v>
      </c>
      <c r="F29" s="20" t="n">
        <v>1.8302108</v>
      </c>
      <c r="G29" s="18" t="n">
        <v>31.6797935</v>
      </c>
      <c r="H29" s="20" t="n">
        <v>1.81221788</v>
      </c>
      <c r="I29" s="18" t="s">
        <v>349</v>
      </c>
      <c r="J29" s="20" t="s">
        <v>349</v>
      </c>
      <c r="K29" s="18" t="n">
        <v>0.38350911</v>
      </c>
      <c r="L29" s="20" t="n">
        <v>0.26506492</v>
      </c>
      <c r="M29" s="18" t="n">
        <v>0</v>
      </c>
      <c r="N29" s="20" t="n">
        <v>0</v>
      </c>
      <c r="O29" s="18" t="n">
        <v>0</v>
      </c>
      <c r="P29" s="20" t="n">
        <v>0</v>
      </c>
      <c r="Q29" s="18" t="n">
        <v>0.8404089</v>
      </c>
      <c r="R29" s="20" t="n">
        <v>0.38251314</v>
      </c>
    </row>
    <row r="30" spans="1:18">
      <c r="A30" s="15" t="s">
        <v>372</v>
      </c>
      <c r="B30" s="17" t="n">
        <v>4520</v>
      </c>
      <c r="C30" s="18">
        <f>(3964.0/B30*100)</f>
        <v/>
      </c>
      <c r="D30" s="19" t="n">
        <v>556</v>
      </c>
      <c r="E30" s="18" t="n">
        <v>65.08341188</v>
      </c>
      <c r="F30" s="20" t="n">
        <v>2.11689332</v>
      </c>
      <c r="G30" s="18" t="n">
        <v>30.35552681</v>
      </c>
      <c r="H30" s="20" t="n">
        <v>2.25500701</v>
      </c>
      <c r="I30" s="18" t="s">
        <v>349</v>
      </c>
      <c r="J30" s="20" t="s">
        <v>349</v>
      </c>
      <c r="K30" s="18" t="n">
        <v>0.62644128</v>
      </c>
      <c r="L30" s="20" t="n">
        <v>0.31226932</v>
      </c>
      <c r="M30" s="18" t="n">
        <v>0</v>
      </c>
      <c r="N30" s="20" t="n">
        <v>0</v>
      </c>
      <c r="O30" s="18" t="n">
        <v>0</v>
      </c>
      <c r="P30" s="20" t="n">
        <v>0</v>
      </c>
      <c r="Q30" s="18" t="n">
        <v>3.93462002</v>
      </c>
      <c r="R30" s="20" t="n">
        <v>0.79144428</v>
      </c>
    </row>
    <row r="31" spans="1:18">
      <c r="A31" s="15" t="s">
        <v>373</v>
      </c>
      <c r="B31" s="17" t="n">
        <v>5456</v>
      </c>
      <c r="C31" s="18">
        <f>(4770.0/B31*100)</f>
        <v/>
      </c>
      <c r="D31" s="19" t="n">
        <v>686</v>
      </c>
      <c r="E31" s="18" t="n">
        <v>61.33066675</v>
      </c>
      <c r="F31" s="20" t="n">
        <v>1.94607905</v>
      </c>
      <c r="G31" s="18" t="n">
        <v>32.98121856</v>
      </c>
      <c r="H31" s="20" t="n">
        <v>1.89166717</v>
      </c>
      <c r="I31" s="18" t="s">
        <v>349</v>
      </c>
      <c r="J31" s="20" t="s">
        <v>349</v>
      </c>
      <c r="K31" s="18" t="n">
        <v>1.33766984</v>
      </c>
      <c r="L31" s="20" t="n">
        <v>0.47067689</v>
      </c>
      <c r="M31" s="18" t="n">
        <v>0</v>
      </c>
      <c r="N31" s="20" t="n">
        <v>0</v>
      </c>
      <c r="O31" s="18" t="n">
        <v>0</v>
      </c>
      <c r="P31" s="20" t="n">
        <v>0</v>
      </c>
      <c r="Q31" s="18" t="n">
        <v>4.35044485</v>
      </c>
      <c r="R31" s="20" t="n">
        <v>0.86762812</v>
      </c>
    </row>
    <row r="32" spans="1:18">
      <c r="A32" s="15" t="s">
        <v>374</v>
      </c>
      <c r="B32" s="17" t="n">
        <v>4478</v>
      </c>
      <c r="C32" s="18">
        <f>(3763.0/B32*100)</f>
        <v/>
      </c>
      <c r="D32" s="19" t="n">
        <v>715</v>
      </c>
      <c r="E32" s="18" t="n">
        <v>76.76954531</v>
      </c>
      <c r="F32" s="20" t="n">
        <v>1.53413173</v>
      </c>
      <c r="G32" s="18" t="n">
        <v>19.95019737</v>
      </c>
      <c r="H32" s="20" t="n">
        <v>1.5013323</v>
      </c>
      <c r="I32" s="18" t="s">
        <v>349</v>
      </c>
      <c r="J32" s="20" t="s">
        <v>349</v>
      </c>
      <c r="K32" s="18" t="n">
        <v>0.12581915</v>
      </c>
      <c r="L32" s="20" t="n">
        <v>0.12587578</v>
      </c>
      <c r="M32" s="18" t="n">
        <v>0</v>
      </c>
      <c r="N32" s="20" t="n">
        <v>0</v>
      </c>
      <c r="O32" s="18" t="n">
        <v>0</v>
      </c>
      <c r="P32" s="20" t="n">
        <v>0</v>
      </c>
      <c r="Q32" s="18" t="n">
        <v>3.15443817</v>
      </c>
      <c r="R32" s="20" t="n">
        <v>0.68192087</v>
      </c>
    </row>
    <row r="33" spans="1:18">
      <c r="A33" s="15" t="s">
        <v>375</v>
      </c>
      <c r="B33" s="17" t="n">
        <v>7325</v>
      </c>
      <c r="C33" s="18">
        <f>(6429.0/B33*100)</f>
        <v/>
      </c>
      <c r="D33" s="19" t="n">
        <v>896</v>
      </c>
      <c r="E33" s="18" t="n">
        <v>75.58314497000001</v>
      </c>
      <c r="F33" s="20" t="n">
        <v>1.75904338</v>
      </c>
      <c r="G33" s="18" t="n">
        <v>19.6874015</v>
      </c>
      <c r="H33" s="20" t="n">
        <v>1.79875584</v>
      </c>
      <c r="I33" s="18" t="s">
        <v>349</v>
      </c>
      <c r="J33" s="20" t="s">
        <v>349</v>
      </c>
      <c r="K33" s="18" t="n">
        <v>1.41717617</v>
      </c>
      <c r="L33" s="20" t="n">
        <v>0.50624802</v>
      </c>
      <c r="M33" s="18" t="n">
        <v>0</v>
      </c>
      <c r="N33" s="20" t="n">
        <v>0</v>
      </c>
      <c r="O33" s="18" t="n">
        <v>0</v>
      </c>
      <c r="P33" s="20" t="n">
        <v>0</v>
      </c>
      <c r="Q33" s="18" t="n">
        <v>3.31227737</v>
      </c>
      <c r="R33" s="20" t="n">
        <v>0.61954019</v>
      </c>
    </row>
    <row r="34" spans="1:18">
      <c r="A34" s="15" t="s">
        <v>376</v>
      </c>
      <c r="B34" s="17" t="n">
        <v>6350</v>
      </c>
      <c r="C34" s="18">
        <f>(5584.0/B34*100)</f>
        <v/>
      </c>
      <c r="D34" s="19" t="n">
        <v>766</v>
      </c>
      <c r="E34" s="18" t="n">
        <v>72.11045086999999</v>
      </c>
      <c r="F34" s="20" t="n">
        <v>1.80146289</v>
      </c>
      <c r="G34" s="18" t="n">
        <v>22.46791058</v>
      </c>
      <c r="H34" s="20" t="n">
        <v>1.73755148</v>
      </c>
      <c r="I34" s="18" t="s">
        <v>349</v>
      </c>
      <c r="J34" s="20" t="s">
        <v>349</v>
      </c>
      <c r="K34" s="18" t="n">
        <v>0.40652758</v>
      </c>
      <c r="L34" s="20" t="n">
        <v>0.24245707</v>
      </c>
      <c r="M34" s="18" t="n">
        <v>0</v>
      </c>
      <c r="N34" s="20" t="n">
        <v>0</v>
      </c>
      <c r="O34" s="18" t="n">
        <v>0</v>
      </c>
      <c r="P34" s="20" t="n">
        <v>0</v>
      </c>
      <c r="Q34" s="18" t="n">
        <v>5.01511096</v>
      </c>
      <c r="R34" s="20" t="n">
        <v>0.79115517</v>
      </c>
    </row>
    <row r="35" spans="1:18">
      <c r="A35" s="15" t="s">
        <v>377</v>
      </c>
      <c r="B35" s="17" t="n">
        <v>6406</v>
      </c>
      <c r="C35" s="18">
        <f>(5639.0/B35*100)</f>
        <v/>
      </c>
      <c r="D35" s="19" t="n">
        <v>767</v>
      </c>
      <c r="E35" s="18" t="n">
        <v>74.82149339999999</v>
      </c>
      <c r="F35" s="20" t="n">
        <v>2.3465569</v>
      </c>
      <c r="G35" s="18" t="n">
        <v>22.85465901</v>
      </c>
      <c r="H35" s="20" t="n">
        <v>2.25053051</v>
      </c>
      <c r="I35" s="18" t="s">
        <v>349</v>
      </c>
      <c r="J35" s="20" t="s">
        <v>349</v>
      </c>
      <c r="K35" s="18" t="n">
        <v>0.38621882</v>
      </c>
      <c r="L35" s="20" t="n">
        <v>0.3371678</v>
      </c>
      <c r="M35" s="18" t="n">
        <v>0</v>
      </c>
      <c r="N35" s="20" t="n">
        <v>0</v>
      </c>
      <c r="O35" s="18" t="n">
        <v>0</v>
      </c>
      <c r="P35" s="20" t="n">
        <v>0</v>
      </c>
      <c r="Q35" s="18" t="n">
        <v>1.93762877</v>
      </c>
      <c r="R35" s="20" t="n">
        <v>0.53422316</v>
      </c>
    </row>
    <row r="36" spans="1:18">
      <c r="A36" s="15" t="s">
        <v>378</v>
      </c>
      <c r="B36" s="17" t="n">
        <v>6736</v>
      </c>
      <c r="C36" s="18">
        <f>(5932.0/B36*100)</f>
        <v/>
      </c>
      <c r="D36" s="19" t="n">
        <v>804</v>
      </c>
      <c r="E36" s="18" t="n">
        <v>74.79505784</v>
      </c>
      <c r="F36" s="20" t="n">
        <v>1.61660413</v>
      </c>
      <c r="G36" s="18" t="n">
        <v>18.71926354</v>
      </c>
      <c r="H36" s="20" t="n">
        <v>1.38223281</v>
      </c>
      <c r="I36" s="18" t="s">
        <v>349</v>
      </c>
      <c r="J36" s="20" t="s">
        <v>349</v>
      </c>
      <c r="K36" s="18" t="n">
        <v>1.50026237</v>
      </c>
      <c r="L36" s="20" t="n">
        <v>0.50278565</v>
      </c>
      <c r="M36" s="18" t="n">
        <v>0</v>
      </c>
      <c r="N36" s="20" t="n">
        <v>0</v>
      </c>
      <c r="O36" s="18" t="n">
        <v>0</v>
      </c>
      <c r="P36" s="20" t="n">
        <v>0</v>
      </c>
      <c r="Q36" s="18" t="n">
        <v>4.98541625</v>
      </c>
      <c r="R36" s="20" t="n">
        <v>0.62885338</v>
      </c>
    </row>
    <row r="37" spans="1:18">
      <c r="A37" s="15" t="s">
        <v>379</v>
      </c>
      <c r="B37" s="17" t="n">
        <v>5458</v>
      </c>
      <c r="C37" s="18">
        <f>(4848.0/B37*100)</f>
        <v/>
      </c>
      <c r="D37" s="19" t="n">
        <v>610</v>
      </c>
      <c r="E37" s="18" t="n">
        <v>65.38451442</v>
      </c>
      <c r="F37" s="20" t="n">
        <v>1.98968154</v>
      </c>
      <c r="G37" s="18" t="n">
        <v>26.58333122</v>
      </c>
      <c r="H37" s="20" t="n">
        <v>1.97713298</v>
      </c>
      <c r="I37" s="18" t="s">
        <v>349</v>
      </c>
      <c r="J37" s="20" t="s">
        <v>349</v>
      </c>
      <c r="K37" s="18" t="n">
        <v>1.98517545</v>
      </c>
      <c r="L37" s="20" t="n">
        <v>0.64087974</v>
      </c>
      <c r="M37" s="18" t="n">
        <v>0</v>
      </c>
      <c r="N37" s="20" t="n">
        <v>0</v>
      </c>
      <c r="O37" s="18" t="n">
        <v>0</v>
      </c>
      <c r="P37" s="20" t="n">
        <v>0</v>
      </c>
      <c r="Q37" s="18" t="n">
        <v>6.04697891</v>
      </c>
      <c r="R37" s="20" t="n">
        <v>1.00740808</v>
      </c>
    </row>
    <row r="38" spans="1:18">
      <c r="A38" s="15" t="s">
        <v>380</v>
      </c>
      <c r="B38" s="17" t="n">
        <v>5860</v>
      </c>
      <c r="C38" s="18">
        <f>(4900.0/B38*100)</f>
        <v/>
      </c>
      <c r="D38" s="19" t="n">
        <v>960</v>
      </c>
      <c r="E38" s="18" t="n">
        <v>61.91224194</v>
      </c>
      <c r="F38" s="20" t="n">
        <v>2.11985692</v>
      </c>
      <c r="G38" s="18" t="n">
        <v>32.30413166</v>
      </c>
      <c r="H38" s="20" t="n">
        <v>2.01987345</v>
      </c>
      <c r="I38" s="18" t="s">
        <v>349</v>
      </c>
      <c r="J38" s="20" t="s">
        <v>349</v>
      </c>
      <c r="K38" s="18" t="n">
        <v>1.05271715</v>
      </c>
      <c r="L38" s="20" t="n">
        <v>0.36527193</v>
      </c>
      <c r="M38" s="18" t="n">
        <v>0</v>
      </c>
      <c r="N38" s="20" t="n">
        <v>0</v>
      </c>
      <c r="O38" s="18" t="n">
        <v>0</v>
      </c>
      <c r="P38" s="20" t="n">
        <v>0</v>
      </c>
      <c r="Q38" s="18" t="n">
        <v>4.73090925</v>
      </c>
      <c r="R38" s="20" t="n">
        <v>0.7844480700000001</v>
      </c>
    </row>
    <row r="39" spans="1:18">
      <c r="A39" s="15" t="s">
        <v>381</v>
      </c>
      <c r="B39" s="17" t="n">
        <v>5895</v>
      </c>
      <c r="C39" s="18">
        <f>(5171.0/B39*100)</f>
        <v/>
      </c>
      <c r="D39" s="19" t="n">
        <v>724</v>
      </c>
      <c r="E39" s="18" t="n">
        <v>87.29051515</v>
      </c>
      <c r="F39" s="20" t="n">
        <v>1.36424693</v>
      </c>
      <c r="G39" s="18" t="n">
        <v>8.16705535</v>
      </c>
      <c r="H39" s="20" t="n">
        <v>1.21826078</v>
      </c>
      <c r="I39" s="18" t="s">
        <v>349</v>
      </c>
      <c r="J39" s="20" t="s">
        <v>349</v>
      </c>
      <c r="K39" s="18" t="n">
        <v>1.08512899</v>
      </c>
      <c r="L39" s="20" t="n">
        <v>0.51147621</v>
      </c>
      <c r="M39" s="18" t="n">
        <v>0</v>
      </c>
      <c r="N39" s="20" t="n">
        <v>0</v>
      </c>
      <c r="O39" s="18" t="n">
        <v>0</v>
      </c>
      <c r="P39" s="20" t="n">
        <v>0</v>
      </c>
      <c r="Q39" s="18" t="n">
        <v>3.45730051</v>
      </c>
      <c r="R39" s="20" t="n">
        <v>0.64767138</v>
      </c>
    </row>
    <row r="40" spans="1:18">
      <c r="A40" s="15" t="s">
        <v>382</v>
      </c>
      <c r="B40" s="17" t="n">
        <v>14157</v>
      </c>
      <c r="C40" s="18">
        <f>(12405.0/B40*100)</f>
        <v/>
      </c>
      <c r="D40" s="19" t="n">
        <v>1752</v>
      </c>
      <c r="E40" s="18" t="n">
        <v>70.12282298</v>
      </c>
      <c r="F40" s="20" t="n">
        <v>1.73915029</v>
      </c>
      <c r="G40" s="18" t="n">
        <v>25.94828485</v>
      </c>
      <c r="H40" s="20" t="n">
        <v>1.80283716</v>
      </c>
      <c r="I40" s="18" t="s">
        <v>349</v>
      </c>
      <c r="J40" s="20" t="s">
        <v>349</v>
      </c>
      <c r="K40" s="18" t="n">
        <v>0.53411917</v>
      </c>
      <c r="L40" s="20" t="n">
        <v>0.34225794</v>
      </c>
      <c r="M40" s="18" t="n">
        <v>0</v>
      </c>
      <c r="N40" s="20" t="n">
        <v>0</v>
      </c>
      <c r="O40" s="18" t="n">
        <v>0</v>
      </c>
      <c r="P40" s="20" t="n">
        <v>0</v>
      </c>
      <c r="Q40" s="18" t="n">
        <v>3.39477299</v>
      </c>
      <c r="R40" s="20" t="n">
        <v>0.60063621</v>
      </c>
    </row>
    <row r="41" spans="1:18">
      <c r="A41" s="15" t="s">
        <v>383</v>
      </c>
      <c r="B41" s="17" t="n">
        <v>5712</v>
      </c>
      <c r="C41" s="18">
        <f>(5049.0/B41*100)</f>
        <v/>
      </c>
      <c r="D41" s="19" t="n">
        <v>663</v>
      </c>
      <c r="E41" s="18" t="n">
        <v>76.99718116</v>
      </c>
      <c r="F41" s="20" t="n">
        <v>2.09262314</v>
      </c>
      <c r="G41" s="18" t="n">
        <v>21.40723187</v>
      </c>
      <c r="H41" s="20" t="n">
        <v>2.05461777</v>
      </c>
      <c r="I41" s="18" t="s">
        <v>349</v>
      </c>
      <c r="J41" s="20" t="s">
        <v>349</v>
      </c>
      <c r="K41" s="18" t="n">
        <v>0.5997484</v>
      </c>
      <c r="L41" s="20" t="n">
        <v>0.27914155</v>
      </c>
      <c r="M41" s="18" t="n">
        <v>0</v>
      </c>
      <c r="N41" s="20" t="n">
        <v>0</v>
      </c>
      <c r="O41" s="18" t="n">
        <v>0</v>
      </c>
      <c r="P41" s="20" t="n">
        <v>0</v>
      </c>
      <c r="Q41" s="18" t="n">
        <v>0.99583857</v>
      </c>
      <c r="R41" s="20" t="n">
        <v>0.40787694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(20798.0/B46*100)</f>
        <v/>
      </c>
      <c r="D46" s="19" t="n">
        <v>2343</v>
      </c>
      <c r="E46" s="18" t="n">
        <v>85.94341448</v>
      </c>
      <c r="F46" s="20" t="n">
        <v>0.88728472</v>
      </c>
      <c r="G46" s="18" t="n">
        <v>3.76532099</v>
      </c>
      <c r="H46" s="20" t="n">
        <v>0.47970039</v>
      </c>
      <c r="I46" s="18" t="s">
        <v>349</v>
      </c>
      <c r="J46" s="20" t="s">
        <v>349</v>
      </c>
      <c r="K46" s="18" t="n">
        <v>3.37320203</v>
      </c>
      <c r="L46" s="20" t="n">
        <v>0.44152326</v>
      </c>
      <c r="M46" s="18" t="n">
        <v>0</v>
      </c>
      <c r="N46" s="20" t="n">
        <v>0</v>
      </c>
      <c r="O46" s="18" t="n">
        <v>0</v>
      </c>
      <c r="P46" s="20" t="n">
        <v>0</v>
      </c>
      <c r="Q46" s="18" t="n">
        <v>6.91806251</v>
      </c>
      <c r="R46" s="20" t="n">
        <v>0.68496158</v>
      </c>
    </row>
    <row r="47" spans="1:18">
      <c r="A47" s="15" t="s">
        <v>389</v>
      </c>
      <c r="B47" s="17" t="n">
        <v>5928</v>
      </c>
      <c r="C47" s="18">
        <f>(5222.0/B47*100)</f>
        <v/>
      </c>
      <c r="D47" s="19" t="n">
        <v>706</v>
      </c>
      <c r="E47" s="18" t="n">
        <v>85.9684785</v>
      </c>
      <c r="F47" s="20" t="n">
        <v>1.42201229</v>
      </c>
      <c r="G47" s="18" t="n">
        <v>9.35784056</v>
      </c>
      <c r="H47" s="20" t="n">
        <v>1.23059379</v>
      </c>
      <c r="I47" s="18" t="s">
        <v>349</v>
      </c>
      <c r="J47" s="20" t="s">
        <v>349</v>
      </c>
      <c r="K47" s="18" t="n">
        <v>1.21350851</v>
      </c>
      <c r="L47" s="20" t="n">
        <v>0.35441075</v>
      </c>
      <c r="M47" s="18" t="n">
        <v>0</v>
      </c>
      <c r="N47" s="20" t="n">
        <v>0</v>
      </c>
      <c r="O47" s="18" t="n">
        <v>0</v>
      </c>
      <c r="P47" s="20" t="n">
        <v>0</v>
      </c>
      <c r="Q47" s="18" t="n">
        <v>3.46017243</v>
      </c>
      <c r="R47" s="20" t="n">
        <v>0.72104641</v>
      </c>
    </row>
    <row r="48" spans="1:18">
      <c r="A48" s="15" t="s">
        <v>390</v>
      </c>
      <c r="B48" s="17" t="n">
        <v>9841</v>
      </c>
      <c r="C48" s="18">
        <f>(8606.0/B48*100)</f>
        <v/>
      </c>
      <c r="D48" s="19" t="n">
        <v>1235</v>
      </c>
      <c r="E48" s="18" t="n">
        <v>73.71515434</v>
      </c>
      <c r="F48" s="20" t="n">
        <v>1.89286872</v>
      </c>
      <c r="G48" s="18" t="n">
        <v>25.05657733</v>
      </c>
      <c r="H48" s="20" t="n">
        <v>1.88576096</v>
      </c>
      <c r="I48" s="18" t="s">
        <v>349</v>
      </c>
      <c r="J48" s="20" t="s">
        <v>349</v>
      </c>
      <c r="K48" s="18" t="n">
        <v>0.15889431</v>
      </c>
      <c r="L48" s="20" t="n">
        <v>0.11886827</v>
      </c>
      <c r="M48" s="18" t="n">
        <v>0</v>
      </c>
      <c r="N48" s="20" t="n">
        <v>0</v>
      </c>
      <c r="O48" s="18" t="n">
        <v>0</v>
      </c>
      <c r="P48" s="20" t="n">
        <v>0</v>
      </c>
      <c r="Q48" s="18" t="n">
        <v>1.06937402</v>
      </c>
      <c r="R48" s="20" t="n">
        <v>0.34503735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(10393.0/B50*100)</f>
        <v/>
      </c>
      <c r="D50" s="19" t="n">
        <v>1402</v>
      </c>
      <c r="E50" s="18" t="n">
        <v>92.20371831999999</v>
      </c>
      <c r="F50" s="20" t="n">
        <v>0.89291297</v>
      </c>
      <c r="G50" s="18" t="n">
        <v>4.79115628</v>
      </c>
      <c r="H50" s="20" t="n">
        <v>0.75822031</v>
      </c>
      <c r="I50" s="18" t="s">
        <v>349</v>
      </c>
      <c r="J50" s="20" t="s">
        <v>349</v>
      </c>
      <c r="K50" s="18" t="n">
        <v>1.19077425</v>
      </c>
      <c r="L50" s="20" t="n">
        <v>0.36163886</v>
      </c>
      <c r="M50" s="18" t="n">
        <v>0</v>
      </c>
      <c r="N50" s="20" t="n">
        <v>0</v>
      </c>
      <c r="O50" s="18" t="n">
        <v>0</v>
      </c>
      <c r="P50" s="20" t="n">
        <v>0</v>
      </c>
      <c r="Q50" s="18" t="n">
        <v>1.81435115</v>
      </c>
      <c r="R50" s="20" t="n">
        <v>0.42982184</v>
      </c>
    </row>
    <row r="51" spans="1:18">
      <c r="A51" s="15" t="s">
        <v>393</v>
      </c>
      <c r="B51" s="17" t="n">
        <v>6866</v>
      </c>
      <c r="C51" s="18">
        <f>(6141.0/B51*100)</f>
        <v/>
      </c>
      <c r="D51" s="19" t="n">
        <v>725</v>
      </c>
      <c r="E51" s="18" t="n">
        <v>93.29129344</v>
      </c>
      <c r="F51" s="20" t="n">
        <v>0.98651292</v>
      </c>
      <c r="G51" s="18" t="n">
        <v>2.07823231</v>
      </c>
      <c r="H51" s="20" t="n">
        <v>0.47874874</v>
      </c>
      <c r="I51" s="18" t="s">
        <v>349</v>
      </c>
      <c r="J51" s="20" t="s">
        <v>349</v>
      </c>
      <c r="K51" s="18" t="n">
        <v>1.15614748</v>
      </c>
      <c r="L51" s="20" t="n">
        <v>0.48054703</v>
      </c>
      <c r="M51" s="18" t="n">
        <v>0</v>
      </c>
      <c r="N51" s="20" t="n">
        <v>0</v>
      </c>
      <c r="O51" s="18" t="n">
        <v>0</v>
      </c>
      <c r="P51" s="20" t="n">
        <v>0</v>
      </c>
      <c r="Q51" s="18" t="n">
        <v>3.47432676</v>
      </c>
      <c r="R51" s="20" t="n">
        <v>0.72811744</v>
      </c>
    </row>
    <row r="52" spans="1:18">
      <c r="A52" s="15" t="s">
        <v>394</v>
      </c>
      <c r="B52" s="17" t="n">
        <v>5809</v>
      </c>
      <c r="C52" s="18">
        <f>(5094.0/B52*100)</f>
        <v/>
      </c>
      <c r="D52" s="19" t="n">
        <v>715</v>
      </c>
      <c r="E52" s="18" t="n">
        <v>77.1859535</v>
      </c>
      <c r="F52" s="20" t="n">
        <v>1.57721944</v>
      </c>
      <c r="G52" s="18" t="n">
        <v>15.58903253</v>
      </c>
      <c r="H52" s="20" t="n">
        <v>1.27383423</v>
      </c>
      <c r="I52" s="18" t="s">
        <v>349</v>
      </c>
      <c r="J52" s="20" t="s">
        <v>349</v>
      </c>
      <c r="K52" s="18" t="n">
        <v>0.70345052</v>
      </c>
      <c r="L52" s="20" t="n">
        <v>0.32048152</v>
      </c>
      <c r="M52" s="18" t="n">
        <v>0</v>
      </c>
      <c r="N52" s="20" t="n">
        <v>0</v>
      </c>
      <c r="O52" s="18" t="n">
        <v>0</v>
      </c>
      <c r="P52" s="20" t="n">
        <v>0</v>
      </c>
      <c r="Q52" s="18" t="n">
        <v>6.52156344</v>
      </c>
      <c r="R52" s="20" t="n">
        <v>1.01794362</v>
      </c>
    </row>
    <row r="53" spans="1:18">
      <c r="A53" s="15" t="s">
        <v>395</v>
      </c>
      <c r="B53" s="17" t="n">
        <v>5571</v>
      </c>
      <c r="C53" s="18">
        <f>(4872.0/B53*100)</f>
        <v/>
      </c>
      <c r="D53" s="19" t="n">
        <v>699</v>
      </c>
      <c r="E53" s="18" t="n">
        <v>78.20365446</v>
      </c>
      <c r="F53" s="20" t="n">
        <v>1.79613629</v>
      </c>
      <c r="G53" s="18" t="n">
        <v>16.6177343</v>
      </c>
      <c r="H53" s="20" t="n">
        <v>1.68973476</v>
      </c>
      <c r="I53" s="18" t="s">
        <v>349</v>
      </c>
      <c r="J53" s="20" t="s">
        <v>349</v>
      </c>
      <c r="K53" s="18" t="n">
        <v>0.95799861</v>
      </c>
      <c r="L53" s="20" t="n">
        <v>0.37677128</v>
      </c>
      <c r="M53" s="18" t="n">
        <v>0</v>
      </c>
      <c r="N53" s="20" t="n">
        <v>0</v>
      </c>
      <c r="O53" s="18" t="n">
        <v>0</v>
      </c>
      <c r="P53" s="20" t="n">
        <v>0</v>
      </c>
      <c r="Q53" s="18" t="n">
        <v>4.22061264</v>
      </c>
      <c r="R53" s="20" t="n">
        <v>0.72095773</v>
      </c>
    </row>
    <row r="54" spans="1:18">
      <c r="A54" s="15" t="s">
        <v>396</v>
      </c>
      <c r="B54" s="17" t="n">
        <v>4740</v>
      </c>
      <c r="C54" s="18">
        <f>(3950.0/B54*100)</f>
        <v/>
      </c>
      <c r="D54" s="19" t="n">
        <v>790</v>
      </c>
      <c r="E54" s="18" t="n">
        <v>83.45241389</v>
      </c>
      <c r="F54" s="20" t="n">
        <v>1.37223106</v>
      </c>
      <c r="G54" s="18" t="n">
        <v>0.51318193</v>
      </c>
      <c r="H54" s="20" t="n">
        <v>0.24166158</v>
      </c>
      <c r="I54" s="18" t="s">
        <v>349</v>
      </c>
      <c r="J54" s="20" t="s">
        <v>349</v>
      </c>
      <c r="K54" s="18" t="n">
        <v>12.93146775</v>
      </c>
      <c r="L54" s="20" t="n">
        <v>1.2645785</v>
      </c>
      <c r="M54" s="18" t="n">
        <v>0</v>
      </c>
      <c r="N54" s="20" t="n">
        <v>0</v>
      </c>
      <c r="O54" s="18" t="n">
        <v>0</v>
      </c>
      <c r="P54" s="20" t="n">
        <v>0</v>
      </c>
      <c r="Q54" s="18" t="n">
        <v>3.10293643</v>
      </c>
      <c r="R54" s="20" t="n">
        <v>0.55447176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(4684.0/B56*100)</f>
        <v/>
      </c>
      <c r="D56" s="19" t="n">
        <v>675</v>
      </c>
      <c r="E56" s="18" t="n">
        <v>68.40675593</v>
      </c>
      <c r="F56" s="20" t="n">
        <v>1.90423186</v>
      </c>
      <c r="G56" s="18" t="n">
        <v>30.18724451</v>
      </c>
      <c r="H56" s="20" t="n">
        <v>1.87687534</v>
      </c>
      <c r="I56" s="18" t="s">
        <v>349</v>
      </c>
      <c r="J56" s="20" t="s">
        <v>349</v>
      </c>
      <c r="K56" s="18" t="n">
        <v>0.22489063</v>
      </c>
      <c r="L56" s="20" t="n">
        <v>0.16096543</v>
      </c>
      <c r="M56" s="18" t="n">
        <v>0</v>
      </c>
      <c r="N56" s="20" t="n">
        <v>0</v>
      </c>
      <c r="O56" s="18" t="n">
        <v>0</v>
      </c>
      <c r="P56" s="20" t="n">
        <v>0</v>
      </c>
      <c r="Q56" s="18" t="n">
        <v>1.18110893</v>
      </c>
      <c r="R56" s="20" t="n">
        <v>0.46668646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(5716.0/B61*100)</f>
        <v/>
      </c>
      <c r="D61" s="19" t="n">
        <v>809</v>
      </c>
      <c r="E61" s="18" t="n">
        <v>77.2457198</v>
      </c>
      <c r="F61" s="20" t="n">
        <v>1.58483678</v>
      </c>
      <c r="G61" s="18" t="n">
        <v>20.03028876</v>
      </c>
      <c r="H61" s="20" t="n">
        <v>1.5308348</v>
      </c>
      <c r="I61" s="18" t="s">
        <v>349</v>
      </c>
      <c r="J61" s="20" t="s">
        <v>349</v>
      </c>
      <c r="K61" s="18" t="n">
        <v>0.46609119</v>
      </c>
      <c r="L61" s="20" t="n">
        <v>0.27336715</v>
      </c>
      <c r="M61" s="18" t="n">
        <v>0</v>
      </c>
      <c r="N61" s="20" t="n">
        <v>0</v>
      </c>
      <c r="O61" s="18" t="n">
        <v>0</v>
      </c>
      <c r="P61" s="20" t="n">
        <v>0</v>
      </c>
      <c r="Q61" s="18" t="n">
        <v>2.25790025</v>
      </c>
      <c r="R61" s="20" t="n">
        <v>0.44524328</v>
      </c>
    </row>
    <row r="62" spans="1:18">
      <c r="A62" s="15" t="s">
        <v>404</v>
      </c>
      <c r="B62" s="17" t="n">
        <v>4476</v>
      </c>
      <c r="C62" s="18">
        <f>(3928.0/B62*100)</f>
        <v/>
      </c>
      <c r="D62" s="19" t="n">
        <v>548</v>
      </c>
      <c r="E62" s="18" t="n">
        <v>70.49814341</v>
      </c>
      <c r="F62" s="20" t="n">
        <v>2.10308449</v>
      </c>
      <c r="G62" s="18" t="n">
        <v>28.95636418</v>
      </c>
      <c r="H62" s="20" t="n">
        <v>2.07131603</v>
      </c>
      <c r="I62" s="18" t="s">
        <v>349</v>
      </c>
      <c r="J62" s="20" t="s">
        <v>349</v>
      </c>
      <c r="K62" s="18" t="n">
        <v>0</v>
      </c>
      <c r="L62" s="20" t="n">
        <v>0</v>
      </c>
      <c r="M62" s="18" t="n">
        <v>0</v>
      </c>
      <c r="N62" s="20" t="n">
        <v>0</v>
      </c>
      <c r="O62" s="18" t="n">
        <v>0</v>
      </c>
      <c r="P62" s="20" t="n">
        <v>0</v>
      </c>
      <c r="Q62" s="18" t="n">
        <v>0.54549241</v>
      </c>
      <c r="R62" s="20" t="n">
        <v>0.31025151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(4970.0/B66*100)</f>
        <v/>
      </c>
      <c r="D66" s="19" t="n">
        <v>695</v>
      </c>
      <c r="E66" s="18" t="n">
        <v>80.78534397</v>
      </c>
      <c r="F66" s="20" t="n">
        <v>1.34194565</v>
      </c>
      <c r="G66" s="18" t="n">
        <v>8.886788559999999</v>
      </c>
      <c r="H66" s="20" t="n">
        <v>0.95788489</v>
      </c>
      <c r="I66" s="18" t="s">
        <v>349</v>
      </c>
      <c r="J66" s="20" t="s">
        <v>349</v>
      </c>
      <c r="K66" s="18" t="n">
        <v>1.99484937</v>
      </c>
      <c r="L66" s="20" t="n">
        <v>0.49591004</v>
      </c>
      <c r="M66" s="18" t="n">
        <v>0</v>
      </c>
      <c r="N66" s="20" t="n">
        <v>0</v>
      </c>
      <c r="O66" s="18" t="n">
        <v>0</v>
      </c>
      <c r="P66" s="20" t="n">
        <v>0</v>
      </c>
      <c r="Q66" s="18" t="n">
        <v>8.3330181</v>
      </c>
      <c r="R66" s="20" t="n">
        <v>1.15126614</v>
      </c>
    </row>
    <row r="67" spans="1:18">
      <c r="A67" s="15" t="s">
        <v>409</v>
      </c>
      <c r="B67" s="17" t="n">
        <v>6971</v>
      </c>
      <c r="C67" s="18">
        <f>(6204.0/B67*100)</f>
        <v/>
      </c>
      <c r="D67" s="19" t="n">
        <v>767</v>
      </c>
      <c r="E67" s="18" t="n">
        <v>91.53413403</v>
      </c>
      <c r="F67" s="20" t="n">
        <v>1.12838836</v>
      </c>
      <c r="G67" s="18" t="n">
        <v>4.36084137</v>
      </c>
      <c r="H67" s="20" t="n">
        <v>0.87545421</v>
      </c>
      <c r="I67" s="18" t="s">
        <v>349</v>
      </c>
      <c r="J67" s="20" t="s">
        <v>349</v>
      </c>
      <c r="K67" s="18" t="n">
        <v>0.84207812</v>
      </c>
      <c r="L67" s="20" t="n">
        <v>0.32419351</v>
      </c>
      <c r="M67" s="18" t="n">
        <v>0</v>
      </c>
      <c r="N67" s="20" t="n">
        <v>0</v>
      </c>
      <c r="O67" s="18" t="n">
        <v>0</v>
      </c>
      <c r="P67" s="20" t="n">
        <v>0</v>
      </c>
      <c r="Q67" s="18" t="n">
        <v>3.26294647</v>
      </c>
      <c r="R67" s="20" t="n">
        <v>0.63138184</v>
      </c>
    </row>
    <row r="68" spans="1:18">
      <c r="A68" s="15" t="s">
        <v>410</v>
      </c>
      <c r="B68" s="17" t="n">
        <v>12083</v>
      </c>
      <c r="C68" s="18">
        <f>(10066.0/B68*100)</f>
        <v/>
      </c>
      <c r="D68" s="19" t="n">
        <v>2017</v>
      </c>
      <c r="E68" s="18" t="n">
        <v>84.64389810999999</v>
      </c>
      <c r="F68" s="20" t="n">
        <v>0.79699245</v>
      </c>
      <c r="G68" s="18" t="n">
        <v>7.78146597</v>
      </c>
      <c r="H68" s="20" t="n">
        <v>0.5233873100000001</v>
      </c>
      <c r="I68" s="18" t="s">
        <v>349</v>
      </c>
      <c r="J68" s="20" t="s">
        <v>349</v>
      </c>
      <c r="K68" s="18" t="n">
        <v>3.45099395</v>
      </c>
      <c r="L68" s="20" t="n">
        <v>0.40155614</v>
      </c>
      <c r="M68" s="18" t="n">
        <v>0</v>
      </c>
      <c r="N68" s="20" t="n">
        <v>0</v>
      </c>
      <c r="O68" s="18" t="n">
        <v>0</v>
      </c>
      <c r="P68" s="20" t="n">
        <v>0</v>
      </c>
      <c r="Q68" s="18" t="n">
        <v>4.12364197</v>
      </c>
      <c r="R68" s="20" t="n">
        <v>0.48054057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(5313.0/B70*100)</f>
        <v/>
      </c>
      <c r="D70" s="19" t="n">
        <v>723</v>
      </c>
      <c r="E70" s="18" t="n">
        <v>80.30352729000001</v>
      </c>
      <c r="F70" s="20" t="n">
        <v>1.91858425</v>
      </c>
      <c r="G70" s="18" t="n">
        <v>15.03979761</v>
      </c>
      <c r="H70" s="20" t="n">
        <v>1.69617975</v>
      </c>
      <c r="I70" s="18" t="s">
        <v>349</v>
      </c>
      <c r="J70" s="20" t="s">
        <v>349</v>
      </c>
      <c r="K70" s="18" t="n">
        <v>1.21399267</v>
      </c>
      <c r="L70" s="20" t="n">
        <v>0.35434316</v>
      </c>
      <c r="M70" s="18" t="n">
        <v>0</v>
      </c>
      <c r="N70" s="20" t="n">
        <v>0</v>
      </c>
      <c r="O70" s="18" t="n">
        <v>0</v>
      </c>
      <c r="P70" s="20" t="n">
        <v>0</v>
      </c>
      <c r="Q70" s="18" t="n">
        <v>3.44268243</v>
      </c>
      <c r="R70" s="20" t="n">
        <v>0.93076996</v>
      </c>
    </row>
    <row r="71" spans="1:18">
      <c r="A71" s="15" t="s">
        <v>413</v>
      </c>
      <c r="B71" s="17" t="n">
        <v>6115</v>
      </c>
      <c r="C71" s="18">
        <f>(5367.0/B71*100)</f>
        <v/>
      </c>
      <c r="D71" s="19" t="n">
        <v>748</v>
      </c>
      <c r="E71" s="18" t="n">
        <v>59.74352594</v>
      </c>
      <c r="F71" s="20" t="n">
        <v>1.93821422</v>
      </c>
      <c r="G71" s="18" t="n">
        <v>39.12921403</v>
      </c>
      <c r="H71" s="20" t="n">
        <v>1.98449632</v>
      </c>
      <c r="I71" s="18" t="s">
        <v>349</v>
      </c>
      <c r="J71" s="20" t="s">
        <v>349</v>
      </c>
      <c r="K71" s="18" t="n">
        <v>0.31521087</v>
      </c>
      <c r="L71" s="20" t="n">
        <v>0.19013144</v>
      </c>
      <c r="M71" s="18" t="n">
        <v>0</v>
      </c>
      <c r="N71" s="20" t="n">
        <v>0</v>
      </c>
      <c r="O71" s="18" t="n">
        <v>0</v>
      </c>
      <c r="P71" s="20" t="n">
        <v>0</v>
      </c>
      <c r="Q71" s="18" t="n">
        <v>0.81204916</v>
      </c>
      <c r="R71" s="20" t="n">
        <v>0.28764741</v>
      </c>
    </row>
    <row r="72" spans="1:18">
      <c r="A72" s="15" t="s">
        <v>414</v>
      </c>
      <c r="B72" s="17" t="n">
        <v>7708</v>
      </c>
      <c r="C72" s="18">
        <f>(6767.0/B72*100)</f>
        <v/>
      </c>
      <c r="D72" s="19" t="n">
        <v>941</v>
      </c>
      <c r="E72" s="18" t="n">
        <v>71.95155636</v>
      </c>
      <c r="F72" s="20" t="n">
        <v>1.77553203</v>
      </c>
      <c r="G72" s="18" t="n">
        <v>27.14900414</v>
      </c>
      <c r="H72" s="20" t="n">
        <v>1.78889808</v>
      </c>
      <c r="I72" s="18" t="s">
        <v>349</v>
      </c>
      <c r="J72" s="20" t="s">
        <v>349</v>
      </c>
      <c r="K72" s="18" t="n">
        <v>0</v>
      </c>
      <c r="L72" s="20" t="n">
        <v>0</v>
      </c>
      <c r="M72" s="18" t="n">
        <v>0</v>
      </c>
      <c r="N72" s="20" t="n">
        <v>0</v>
      </c>
      <c r="O72" s="18" t="n">
        <v>0</v>
      </c>
      <c r="P72" s="20" t="n">
        <v>0</v>
      </c>
      <c r="Q72" s="18" t="n">
        <v>0.8994394999999999</v>
      </c>
      <c r="R72" s="20" t="n">
        <v>0.32631614</v>
      </c>
    </row>
    <row r="73" spans="1:18">
      <c r="A73" s="15" t="s">
        <v>415</v>
      </c>
      <c r="B73" s="17" t="n">
        <v>8249</v>
      </c>
      <c r="C73" s="18">
        <f>(7299.0/B73*100)</f>
        <v/>
      </c>
      <c r="D73" s="19" t="n">
        <v>950</v>
      </c>
      <c r="E73" s="18" t="n">
        <v>96.08211812</v>
      </c>
      <c r="F73" s="20" t="n">
        <v>0.6575934</v>
      </c>
      <c r="G73" s="18" t="n">
        <v>3.32753426</v>
      </c>
      <c r="H73" s="20" t="n">
        <v>0.57814876</v>
      </c>
      <c r="I73" s="18" t="s">
        <v>349</v>
      </c>
      <c r="J73" s="20" t="s">
        <v>349</v>
      </c>
      <c r="K73" s="18" t="n">
        <v>0</v>
      </c>
      <c r="L73" s="20" t="n">
        <v>0</v>
      </c>
      <c r="M73" s="18" t="n">
        <v>0</v>
      </c>
      <c r="N73" s="20" t="n">
        <v>0</v>
      </c>
      <c r="O73" s="18" t="n">
        <v>0</v>
      </c>
      <c r="P73" s="20" t="n">
        <v>0</v>
      </c>
      <c r="Q73" s="18" t="n">
        <v>0.59034762</v>
      </c>
      <c r="R73" s="20" t="n">
        <v>0.31824098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(4774.0/B75*100)</f>
        <v/>
      </c>
      <c r="D75" s="19" t="n">
        <v>601</v>
      </c>
      <c r="E75" s="18" t="n">
        <v>85.86785328000001</v>
      </c>
      <c r="F75" s="20" t="n">
        <v>1.52718529</v>
      </c>
      <c r="G75" s="18" t="n">
        <v>4.33554313</v>
      </c>
      <c r="H75" s="20" t="n">
        <v>1.10722201</v>
      </c>
      <c r="I75" s="18" t="s">
        <v>349</v>
      </c>
      <c r="J75" s="20" t="s">
        <v>349</v>
      </c>
      <c r="K75" s="18" t="n">
        <v>4.20176182</v>
      </c>
      <c r="L75" s="20" t="n">
        <v>0.9636116</v>
      </c>
      <c r="M75" s="18" t="n">
        <v>0</v>
      </c>
      <c r="N75" s="20" t="n">
        <v>0</v>
      </c>
      <c r="O75" s="18" t="n">
        <v>0</v>
      </c>
      <c r="P75" s="20" t="n">
        <v>0</v>
      </c>
      <c r="Q75" s="18" t="n">
        <v>5.59484177</v>
      </c>
      <c r="R75" s="20" t="n">
        <v>0.85471622</v>
      </c>
    </row>
    <row r="76" spans="1:18">
      <c r="A76" s="15" t="s">
        <v>418</v>
      </c>
      <c r="B76" s="17" t="n">
        <v>14167</v>
      </c>
      <c r="C76" s="18">
        <f>(12421.0/B76*100)</f>
        <v/>
      </c>
      <c r="D76" s="19" t="n">
        <v>1746</v>
      </c>
      <c r="E76" s="18" t="n">
        <v>86.49515015999999</v>
      </c>
      <c r="F76" s="20" t="n">
        <v>1.09450361</v>
      </c>
      <c r="G76" s="18" t="n">
        <v>10.1633128</v>
      </c>
      <c r="H76" s="20" t="n">
        <v>1.05369002</v>
      </c>
      <c r="I76" s="18" t="s">
        <v>349</v>
      </c>
      <c r="J76" s="20" t="s">
        <v>349</v>
      </c>
      <c r="K76" s="18" t="n">
        <v>1.25818881</v>
      </c>
      <c r="L76" s="20" t="n">
        <v>0.32550096</v>
      </c>
      <c r="M76" s="18" t="n">
        <v>0</v>
      </c>
      <c r="N76" s="20" t="n">
        <v>0</v>
      </c>
      <c r="O76" s="18" t="n">
        <v>0</v>
      </c>
      <c r="P76" s="20" t="n">
        <v>0</v>
      </c>
      <c r="Q76" s="18" t="n">
        <v>2.08334824</v>
      </c>
      <c r="R76" s="20" t="n">
        <v>0.38293324</v>
      </c>
    </row>
    <row r="77" spans="1:18">
      <c r="A77" s="15" t="s">
        <v>419</v>
      </c>
      <c r="B77" s="17" t="n">
        <v>6062</v>
      </c>
      <c r="C77" s="18">
        <f>(5368.0/B77*100)</f>
        <v/>
      </c>
      <c r="D77" s="19" t="n">
        <v>694</v>
      </c>
      <c r="E77" s="18" t="n">
        <v>80.02022305</v>
      </c>
      <c r="F77" s="20" t="n">
        <v>1.67608638</v>
      </c>
      <c r="G77" s="18" t="n">
        <v>8.23070439</v>
      </c>
      <c r="H77" s="20" t="n">
        <v>1.13736298</v>
      </c>
      <c r="I77" s="18" t="s">
        <v>349</v>
      </c>
      <c r="J77" s="20" t="s">
        <v>349</v>
      </c>
      <c r="K77" s="18" t="n">
        <v>2.54974192</v>
      </c>
      <c r="L77" s="20" t="n">
        <v>0.6393934999999999</v>
      </c>
      <c r="M77" s="18" t="n">
        <v>0</v>
      </c>
      <c r="N77" s="20" t="n">
        <v>0</v>
      </c>
      <c r="O77" s="18" t="n">
        <v>0</v>
      </c>
      <c r="P77" s="20" t="n">
        <v>0</v>
      </c>
      <c r="Q77" s="18" t="n">
        <v>9.19933065</v>
      </c>
      <c r="R77" s="20" t="n">
        <v>1.21649895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(7794.0/B81*100)</f>
        <v/>
      </c>
      <c r="D81" s="19" t="n">
        <v>1067</v>
      </c>
      <c r="E81" s="18" t="n">
        <v>94.99688342</v>
      </c>
      <c r="F81" s="20" t="n">
        <v>0.79291605</v>
      </c>
      <c r="G81" s="18" t="n">
        <v>4.16752649</v>
      </c>
      <c r="H81" s="20" t="n">
        <v>0.74353042</v>
      </c>
      <c r="I81" s="18" t="s">
        <v>349</v>
      </c>
      <c r="J81" s="20" t="s">
        <v>349</v>
      </c>
      <c r="K81" s="18" t="n">
        <v>0.39866698</v>
      </c>
      <c r="L81" s="20" t="n">
        <v>0.22443142</v>
      </c>
      <c r="M81" s="18" t="n">
        <v>0</v>
      </c>
      <c r="N81" s="20" t="n">
        <v>0</v>
      </c>
      <c r="O81" s="18" t="n">
        <v>0</v>
      </c>
      <c r="P81" s="20" t="n">
        <v>0</v>
      </c>
      <c r="Q81" s="18" t="n">
        <v>0.43692311</v>
      </c>
      <c r="R81" s="20" t="n">
        <v>0.25763853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(12729.0/B7*100)</f>
        <v/>
      </c>
      <c r="D7" s="19" t="n">
        <v>1801</v>
      </c>
      <c r="E7" s="18" t="n">
        <v>60.67574496</v>
      </c>
      <c r="F7" s="20" t="n">
        <v>1.28890595</v>
      </c>
      <c r="G7" s="18" t="n">
        <v>28.60918225</v>
      </c>
      <c r="H7" s="20" t="n">
        <v>1.30393561</v>
      </c>
      <c r="I7" s="18" t="s">
        <v>349</v>
      </c>
      <c r="J7" s="20" t="s">
        <v>349</v>
      </c>
      <c r="K7" s="18" t="n">
        <v>1.7161921</v>
      </c>
      <c r="L7" s="20" t="n">
        <v>0.36101995</v>
      </c>
      <c r="M7" s="18" t="n">
        <v>0</v>
      </c>
      <c r="N7" s="20" t="n">
        <v>0</v>
      </c>
      <c r="O7" s="18" t="n">
        <v>0</v>
      </c>
      <c r="P7" s="20" t="n">
        <v>0</v>
      </c>
      <c r="Q7" s="18" t="n">
        <v>8.998880700000001</v>
      </c>
      <c r="R7" s="20" t="n">
        <v>0.84869004</v>
      </c>
    </row>
    <row r="8" spans="1:18">
      <c r="A8" s="15" t="s">
        <v>350</v>
      </c>
      <c r="B8" s="17" t="n">
        <v>7007</v>
      </c>
      <c r="C8" s="18">
        <f>(6171.0/B8*100)</f>
        <v/>
      </c>
      <c r="D8" s="19" t="n">
        <v>836</v>
      </c>
      <c r="E8" s="18" t="n">
        <v>59.4129568</v>
      </c>
      <c r="F8" s="20" t="n">
        <v>1.77472287</v>
      </c>
      <c r="G8" s="18" t="n">
        <v>28.53680914</v>
      </c>
      <c r="H8" s="20" t="n">
        <v>1.80263585</v>
      </c>
      <c r="I8" s="18" t="s">
        <v>349</v>
      </c>
      <c r="J8" s="20" t="s">
        <v>349</v>
      </c>
      <c r="K8" s="18" t="n">
        <v>1.34348772</v>
      </c>
      <c r="L8" s="20" t="n">
        <v>0.44338627</v>
      </c>
      <c r="M8" s="18" t="n">
        <v>0</v>
      </c>
      <c r="N8" s="20" t="n">
        <v>0</v>
      </c>
      <c r="O8" s="18" t="n">
        <v>0</v>
      </c>
      <c r="P8" s="20" t="n">
        <v>0</v>
      </c>
      <c r="Q8" s="18" t="n">
        <v>10.70674634</v>
      </c>
      <c r="R8" s="20" t="n">
        <v>1.12975648</v>
      </c>
    </row>
    <row r="9" spans="1:18">
      <c r="A9" s="15" t="s">
        <v>351</v>
      </c>
      <c r="B9" s="17" t="n">
        <v>9651</v>
      </c>
      <c r="C9" s="18">
        <f>(8523.0/B9*100)</f>
        <v/>
      </c>
      <c r="D9" s="19" t="n">
        <v>1128</v>
      </c>
      <c r="E9" s="18" t="n">
        <v>57.11113388</v>
      </c>
      <c r="F9" s="20" t="n">
        <v>1.57921242</v>
      </c>
      <c r="G9" s="18" t="n">
        <v>30.60877836</v>
      </c>
      <c r="H9" s="20" t="n">
        <v>1.46156986</v>
      </c>
      <c r="I9" s="18" t="s">
        <v>349</v>
      </c>
      <c r="J9" s="20" t="s">
        <v>349</v>
      </c>
      <c r="K9" s="18" t="n">
        <v>0.63350615</v>
      </c>
      <c r="L9" s="20" t="n">
        <v>0.22552019</v>
      </c>
      <c r="M9" s="18" t="n">
        <v>0</v>
      </c>
      <c r="N9" s="20" t="n">
        <v>0</v>
      </c>
      <c r="O9" s="18" t="n">
        <v>0</v>
      </c>
      <c r="P9" s="20" t="n">
        <v>0</v>
      </c>
      <c r="Q9" s="18" t="n">
        <v>11.64658162</v>
      </c>
      <c r="R9" s="20" t="n">
        <v>1.03799941</v>
      </c>
    </row>
    <row r="10" spans="1:18">
      <c r="A10" s="15" t="s">
        <v>352</v>
      </c>
      <c r="B10" s="17" t="n">
        <v>20058</v>
      </c>
      <c r="C10" s="18">
        <f>(17652.0/B10*100)</f>
        <v/>
      </c>
      <c r="D10" s="19" t="n">
        <v>2406</v>
      </c>
      <c r="E10" s="18" t="n">
        <v>62.45769615</v>
      </c>
      <c r="F10" s="20" t="n">
        <v>1.26697492</v>
      </c>
      <c r="G10" s="18" t="n">
        <v>30.64940456</v>
      </c>
      <c r="H10" s="20" t="n">
        <v>1.26860217</v>
      </c>
      <c r="I10" s="18" t="s">
        <v>349</v>
      </c>
      <c r="J10" s="20" t="s">
        <v>349</v>
      </c>
      <c r="K10" s="18" t="n">
        <v>0.81230578</v>
      </c>
      <c r="L10" s="20" t="n">
        <v>0.23464238</v>
      </c>
      <c r="M10" s="18" t="n">
        <v>0</v>
      </c>
      <c r="N10" s="20" t="n">
        <v>0</v>
      </c>
      <c r="O10" s="18" t="n">
        <v>0</v>
      </c>
      <c r="P10" s="20" t="n">
        <v>0</v>
      </c>
      <c r="Q10" s="18" t="n">
        <v>6.08059351</v>
      </c>
      <c r="R10" s="20" t="n">
        <v>0.6450895800000001</v>
      </c>
    </row>
    <row r="11" spans="1:18">
      <c r="A11" s="15" t="s">
        <v>353</v>
      </c>
      <c r="B11" s="17" t="n">
        <v>7053</v>
      </c>
      <c r="C11" s="18">
        <f>(6224.0/B11*100)</f>
        <v/>
      </c>
      <c r="D11" s="19" t="n">
        <v>829</v>
      </c>
      <c r="E11" s="18" t="n">
        <v>65.7674028</v>
      </c>
      <c r="F11" s="20" t="n">
        <v>2.0823489</v>
      </c>
      <c r="G11" s="18" t="n">
        <v>15.48908927</v>
      </c>
      <c r="H11" s="20" t="n">
        <v>1.53155886</v>
      </c>
      <c r="I11" s="18" t="s">
        <v>349</v>
      </c>
      <c r="J11" s="20" t="s">
        <v>349</v>
      </c>
      <c r="K11" s="18" t="n">
        <v>3.98578495</v>
      </c>
      <c r="L11" s="20" t="n">
        <v>0.6617915599999999</v>
      </c>
      <c r="M11" s="18" t="n">
        <v>0</v>
      </c>
      <c r="N11" s="20" t="n">
        <v>0</v>
      </c>
      <c r="O11" s="18" t="n">
        <v>0</v>
      </c>
      <c r="P11" s="20" t="n">
        <v>0</v>
      </c>
      <c r="Q11" s="18" t="n">
        <v>14.75772298</v>
      </c>
      <c r="R11" s="20" t="n">
        <v>1.58935557</v>
      </c>
    </row>
    <row r="12" spans="1:18">
      <c r="A12" s="15" t="s">
        <v>354</v>
      </c>
      <c r="B12" s="17" t="n">
        <v>6894</v>
      </c>
      <c r="C12" s="18">
        <f>(6082.0/B12*100)</f>
        <v/>
      </c>
      <c r="D12" s="19" t="n">
        <v>812</v>
      </c>
      <c r="E12" s="18" t="n">
        <v>53.46479172</v>
      </c>
      <c r="F12" s="20" t="n">
        <v>1.94231339</v>
      </c>
      <c r="G12" s="18" t="n">
        <v>37.15806389</v>
      </c>
      <c r="H12" s="20" t="n">
        <v>2.23778066</v>
      </c>
      <c r="I12" s="18" t="s">
        <v>349</v>
      </c>
      <c r="J12" s="20" t="s">
        <v>349</v>
      </c>
      <c r="K12" s="18" t="n">
        <v>0.7300762</v>
      </c>
      <c r="L12" s="20" t="n">
        <v>0.33151237</v>
      </c>
      <c r="M12" s="18" t="n">
        <v>0</v>
      </c>
      <c r="N12" s="20" t="n">
        <v>0</v>
      </c>
      <c r="O12" s="18" t="n">
        <v>0</v>
      </c>
      <c r="P12" s="20" t="n">
        <v>0</v>
      </c>
      <c r="Q12" s="18" t="n">
        <v>8.6470682</v>
      </c>
      <c r="R12" s="20" t="n">
        <v>1.23851101</v>
      </c>
    </row>
    <row r="13" spans="1:18">
      <c r="A13" s="15" t="s">
        <v>355</v>
      </c>
      <c r="B13" s="17" t="n">
        <v>7161</v>
      </c>
      <c r="C13" s="18">
        <f>(6344.0/B13*100)</f>
        <v/>
      </c>
      <c r="D13" s="19" t="n">
        <v>817</v>
      </c>
      <c r="E13" s="18" t="n">
        <v>65.38905063999999</v>
      </c>
      <c r="F13" s="20" t="n">
        <v>1.98405536</v>
      </c>
      <c r="G13" s="18" t="n">
        <v>20.18292476</v>
      </c>
      <c r="H13" s="20" t="n">
        <v>1.62739516</v>
      </c>
      <c r="I13" s="18" t="s">
        <v>349</v>
      </c>
      <c r="J13" s="20" t="s">
        <v>349</v>
      </c>
      <c r="K13" s="18" t="n">
        <v>1.55485952</v>
      </c>
      <c r="L13" s="20" t="n">
        <v>0.52735312</v>
      </c>
      <c r="M13" s="18" t="n">
        <v>0</v>
      </c>
      <c r="N13" s="20" t="n">
        <v>0</v>
      </c>
      <c r="O13" s="18" t="n">
        <v>0</v>
      </c>
      <c r="P13" s="20" t="n">
        <v>0</v>
      </c>
      <c r="Q13" s="18" t="n">
        <v>12.87316508</v>
      </c>
      <c r="R13" s="20" t="n">
        <v>1.21829529</v>
      </c>
    </row>
    <row r="14" spans="1:18">
      <c r="A14" s="15" t="s">
        <v>356</v>
      </c>
      <c r="B14" s="17" t="n">
        <v>5587</v>
      </c>
      <c r="C14" s="18">
        <f>(4892.0/B14*100)</f>
        <v/>
      </c>
      <c r="D14" s="19" t="n">
        <v>695</v>
      </c>
      <c r="E14" s="18" t="n">
        <v>60.88382654</v>
      </c>
      <c r="F14" s="20" t="n">
        <v>2.18706804</v>
      </c>
      <c r="G14" s="18" t="n">
        <v>31.14100455</v>
      </c>
      <c r="H14" s="20" t="n">
        <v>1.94534074</v>
      </c>
      <c r="I14" s="18" t="s">
        <v>349</v>
      </c>
      <c r="J14" s="20" t="s">
        <v>349</v>
      </c>
      <c r="K14" s="18" t="n">
        <v>0.35673989</v>
      </c>
      <c r="L14" s="20" t="n">
        <v>0.34967386</v>
      </c>
      <c r="M14" s="18" t="n">
        <v>0</v>
      </c>
      <c r="N14" s="20" t="n">
        <v>0</v>
      </c>
      <c r="O14" s="18" t="n">
        <v>0</v>
      </c>
      <c r="P14" s="20" t="n">
        <v>0</v>
      </c>
      <c r="Q14" s="18" t="n">
        <v>7.61842902</v>
      </c>
      <c r="R14" s="20" t="n">
        <v>0.83546046</v>
      </c>
    </row>
    <row r="15" spans="1:18">
      <c r="A15" s="15" t="s">
        <v>357</v>
      </c>
      <c r="B15" s="17" t="n">
        <v>5882</v>
      </c>
      <c r="C15" s="18">
        <f>(5171.0/B15*100)</f>
        <v/>
      </c>
      <c r="D15" s="19" t="n">
        <v>711</v>
      </c>
      <c r="E15" s="18" t="n">
        <v>61.95733229</v>
      </c>
      <c r="F15" s="20" t="n">
        <v>1.72767149</v>
      </c>
      <c r="G15" s="18" t="n">
        <v>29.70813819</v>
      </c>
      <c r="H15" s="20" t="n">
        <v>1.73902449</v>
      </c>
      <c r="I15" s="18" t="s">
        <v>349</v>
      </c>
      <c r="J15" s="20" t="s">
        <v>349</v>
      </c>
      <c r="K15" s="18" t="n">
        <v>0.87688985</v>
      </c>
      <c r="L15" s="20" t="n">
        <v>0.41444021</v>
      </c>
      <c r="M15" s="18" t="n">
        <v>0</v>
      </c>
      <c r="N15" s="20" t="n">
        <v>0</v>
      </c>
      <c r="O15" s="18" t="n">
        <v>0</v>
      </c>
      <c r="P15" s="20" t="n">
        <v>0</v>
      </c>
      <c r="Q15" s="18" t="n">
        <v>7.45763967</v>
      </c>
      <c r="R15" s="20" t="n">
        <v>1.11238847</v>
      </c>
    </row>
    <row r="16" spans="1:18">
      <c r="A16" s="15" t="s">
        <v>358</v>
      </c>
      <c r="B16" s="17" t="n">
        <v>6108</v>
      </c>
      <c r="C16" s="18">
        <f>(5353.0/B16*100)</f>
        <v/>
      </c>
      <c r="D16" s="19" t="n">
        <v>755</v>
      </c>
      <c r="E16" s="18" t="n">
        <v>54.44772292</v>
      </c>
      <c r="F16" s="20" t="n">
        <v>1.76018324</v>
      </c>
      <c r="G16" s="18" t="n">
        <v>28.93118464</v>
      </c>
      <c r="H16" s="20" t="n">
        <v>1.50689348</v>
      </c>
      <c r="I16" s="18" t="s">
        <v>349</v>
      </c>
      <c r="J16" s="20" t="s">
        <v>349</v>
      </c>
      <c r="K16" s="18" t="n">
        <v>2.97952007</v>
      </c>
      <c r="L16" s="20" t="n">
        <v>0.79798007</v>
      </c>
      <c r="M16" s="18" t="n">
        <v>0</v>
      </c>
      <c r="N16" s="20" t="n">
        <v>0</v>
      </c>
      <c r="O16" s="18" t="n">
        <v>0</v>
      </c>
      <c r="P16" s="20" t="n">
        <v>0</v>
      </c>
      <c r="Q16" s="18" t="n">
        <v>13.64157237</v>
      </c>
      <c r="R16" s="20" t="n">
        <v>1.23554224</v>
      </c>
    </row>
    <row r="17" spans="1:18">
      <c r="A17" s="15" t="s">
        <v>359</v>
      </c>
      <c r="B17" s="17" t="n">
        <v>6504</v>
      </c>
      <c r="C17" s="18">
        <f>(5733.0/B17*100)</f>
        <v/>
      </c>
      <c r="D17" s="19" t="n">
        <v>771</v>
      </c>
      <c r="E17" s="18" t="n">
        <v>59.8306702</v>
      </c>
      <c r="F17" s="20" t="n">
        <v>1.9879971</v>
      </c>
      <c r="G17" s="18" t="n">
        <v>27.54573193</v>
      </c>
      <c r="H17" s="20" t="n">
        <v>1.85173049</v>
      </c>
      <c r="I17" s="18" t="s">
        <v>349</v>
      </c>
      <c r="J17" s="20" t="s">
        <v>349</v>
      </c>
      <c r="K17" s="18" t="n">
        <v>1.09210238</v>
      </c>
      <c r="L17" s="20" t="n">
        <v>0.39206026</v>
      </c>
      <c r="M17" s="18" t="n">
        <v>0</v>
      </c>
      <c r="N17" s="20" t="n">
        <v>0</v>
      </c>
      <c r="O17" s="18" t="n">
        <v>0</v>
      </c>
      <c r="P17" s="20" t="n">
        <v>0</v>
      </c>
      <c r="Q17" s="18" t="n">
        <v>11.53149549</v>
      </c>
      <c r="R17" s="20" t="n">
        <v>1.21202085</v>
      </c>
    </row>
    <row r="18" spans="1:18">
      <c r="A18" s="15" t="s">
        <v>360</v>
      </c>
      <c r="B18" s="17" t="n">
        <v>5532</v>
      </c>
      <c r="C18" s="18">
        <f>(4872.0/B18*100)</f>
        <v/>
      </c>
      <c r="D18" s="19" t="n">
        <v>660</v>
      </c>
      <c r="E18" s="18" t="n">
        <v>69.05830827</v>
      </c>
      <c r="F18" s="20" t="n">
        <v>2.08302627</v>
      </c>
      <c r="G18" s="18" t="n">
        <v>19.59074864</v>
      </c>
      <c r="H18" s="20" t="n">
        <v>1.72073197</v>
      </c>
      <c r="I18" s="18" t="s">
        <v>349</v>
      </c>
      <c r="J18" s="20" t="s">
        <v>349</v>
      </c>
      <c r="K18" s="18" t="n">
        <v>1.64548997</v>
      </c>
      <c r="L18" s="20" t="n">
        <v>0.44121522</v>
      </c>
      <c r="M18" s="18" t="n">
        <v>0</v>
      </c>
      <c r="N18" s="20" t="n">
        <v>0</v>
      </c>
      <c r="O18" s="18" t="n">
        <v>0</v>
      </c>
      <c r="P18" s="20" t="n">
        <v>0</v>
      </c>
      <c r="Q18" s="18" t="n">
        <v>9.705453110000001</v>
      </c>
      <c r="R18" s="20" t="n">
        <v>1.30934057</v>
      </c>
    </row>
    <row r="19" spans="1:18">
      <c r="A19" s="15" t="s">
        <v>361</v>
      </c>
      <c r="B19" s="17" t="n">
        <v>5658</v>
      </c>
      <c r="C19" s="18">
        <f>(4975.0/B19*100)</f>
        <v/>
      </c>
      <c r="D19" s="19" t="n">
        <v>683</v>
      </c>
      <c r="E19" s="18" t="n">
        <v>62.66248625</v>
      </c>
      <c r="F19" s="20" t="n">
        <v>1.82283856</v>
      </c>
      <c r="G19" s="18" t="n">
        <v>23.55004325</v>
      </c>
      <c r="H19" s="20" t="n">
        <v>1.47882439</v>
      </c>
      <c r="I19" s="18" t="s">
        <v>349</v>
      </c>
      <c r="J19" s="20" t="s">
        <v>349</v>
      </c>
      <c r="K19" s="18" t="n">
        <v>2.8655135</v>
      </c>
      <c r="L19" s="20" t="n">
        <v>0.7405916</v>
      </c>
      <c r="M19" s="18" t="n">
        <v>0</v>
      </c>
      <c r="N19" s="20" t="n">
        <v>0</v>
      </c>
      <c r="O19" s="18" t="n">
        <v>0</v>
      </c>
      <c r="P19" s="20" t="n">
        <v>0</v>
      </c>
      <c r="Q19" s="18" t="n">
        <v>10.921957</v>
      </c>
      <c r="R19" s="20" t="n">
        <v>1.33110125</v>
      </c>
    </row>
    <row r="20" spans="1:18">
      <c r="A20" s="15" t="s">
        <v>362</v>
      </c>
      <c r="B20" s="17" t="n">
        <v>3371</v>
      </c>
      <c r="C20" s="18">
        <f>(2952.0/B20*100)</f>
        <v/>
      </c>
      <c r="D20" s="19" t="n">
        <v>419</v>
      </c>
      <c r="E20" s="18" t="n">
        <v>64.50338051999999</v>
      </c>
      <c r="F20" s="20" t="n">
        <v>2.34401197</v>
      </c>
      <c r="G20" s="18" t="n">
        <v>26.19303113</v>
      </c>
      <c r="H20" s="20" t="n">
        <v>1.94642518</v>
      </c>
      <c r="I20" s="18" t="s">
        <v>349</v>
      </c>
      <c r="J20" s="20" t="s">
        <v>349</v>
      </c>
      <c r="K20" s="18" t="n">
        <v>2.15714956</v>
      </c>
      <c r="L20" s="20" t="n">
        <v>0.83634516</v>
      </c>
      <c r="M20" s="18" t="n">
        <v>0</v>
      </c>
      <c r="N20" s="20" t="n">
        <v>0</v>
      </c>
      <c r="O20" s="18" t="n">
        <v>0</v>
      </c>
      <c r="P20" s="20" t="n">
        <v>0</v>
      </c>
      <c r="Q20" s="18" t="n">
        <v>7.1464388</v>
      </c>
      <c r="R20" s="20" t="n">
        <v>1.10260203</v>
      </c>
    </row>
    <row r="21" spans="1:18">
      <c r="A21" s="15" t="s">
        <v>363</v>
      </c>
      <c r="B21" s="17" t="n">
        <v>5741</v>
      </c>
      <c r="C21" s="18">
        <f>(4816.0/B21*100)</f>
        <v/>
      </c>
      <c r="D21" s="19" t="n">
        <v>925</v>
      </c>
      <c r="E21" s="18" t="n">
        <v>70.49713097999999</v>
      </c>
      <c r="F21" s="20" t="n">
        <v>1.67837211</v>
      </c>
      <c r="G21" s="18" t="n">
        <v>21.70266611</v>
      </c>
      <c r="H21" s="20" t="n">
        <v>1.40851446</v>
      </c>
      <c r="I21" s="18" t="s">
        <v>349</v>
      </c>
      <c r="J21" s="20" t="s">
        <v>349</v>
      </c>
      <c r="K21" s="18" t="n">
        <v>0.89865587</v>
      </c>
      <c r="L21" s="20" t="n">
        <v>0.30880116</v>
      </c>
      <c r="M21" s="18" t="n">
        <v>0</v>
      </c>
      <c r="N21" s="20" t="n">
        <v>0</v>
      </c>
      <c r="O21" s="18" t="n">
        <v>0</v>
      </c>
      <c r="P21" s="20" t="n">
        <v>0</v>
      </c>
      <c r="Q21" s="18" t="n">
        <v>6.90154704</v>
      </c>
      <c r="R21" s="20" t="n">
        <v>0.86187377</v>
      </c>
    </row>
    <row r="22" spans="1:18">
      <c r="A22" s="15" t="s">
        <v>364</v>
      </c>
      <c r="B22" s="17" t="n">
        <v>6598</v>
      </c>
      <c r="C22" s="18">
        <f>(5798.0/B22*100)</f>
        <v/>
      </c>
      <c r="D22" s="19" t="n">
        <v>800</v>
      </c>
      <c r="E22" s="18" t="n">
        <v>64.16606098</v>
      </c>
      <c r="F22" s="20" t="n">
        <v>1.94530242</v>
      </c>
      <c r="G22" s="18" t="n">
        <v>22.24952312</v>
      </c>
      <c r="H22" s="20" t="n">
        <v>1.83838785</v>
      </c>
      <c r="I22" s="18" t="s">
        <v>349</v>
      </c>
      <c r="J22" s="20" t="s">
        <v>349</v>
      </c>
      <c r="K22" s="18" t="n">
        <v>2.32455559</v>
      </c>
      <c r="L22" s="20" t="n">
        <v>0.5322534</v>
      </c>
      <c r="M22" s="18" t="n">
        <v>0</v>
      </c>
      <c r="N22" s="20" t="n">
        <v>0</v>
      </c>
      <c r="O22" s="18" t="n">
        <v>0</v>
      </c>
      <c r="P22" s="20" t="n">
        <v>0</v>
      </c>
      <c r="Q22" s="18" t="n">
        <v>11.25986031</v>
      </c>
      <c r="R22" s="20" t="n">
        <v>1.35185568</v>
      </c>
    </row>
    <row r="23" spans="1:18">
      <c r="A23" s="15" t="s">
        <v>365</v>
      </c>
      <c r="B23" s="17" t="n">
        <v>11583</v>
      </c>
      <c r="C23" s="18">
        <f>(10170.0/B23*100)</f>
        <v/>
      </c>
      <c r="D23" s="19" t="n">
        <v>1413</v>
      </c>
      <c r="E23" s="18" t="n">
        <v>58.36534904</v>
      </c>
      <c r="F23" s="20" t="n">
        <v>1.77996804</v>
      </c>
      <c r="G23" s="18" t="n">
        <v>29.45138507</v>
      </c>
      <c r="H23" s="20" t="n">
        <v>1.84527082</v>
      </c>
      <c r="I23" s="18" t="s">
        <v>349</v>
      </c>
      <c r="J23" s="20" t="s">
        <v>349</v>
      </c>
      <c r="K23" s="18" t="n">
        <v>2.43377329</v>
      </c>
      <c r="L23" s="20" t="n">
        <v>0.81152943</v>
      </c>
      <c r="M23" s="18" t="n">
        <v>0</v>
      </c>
      <c r="N23" s="20" t="n">
        <v>0</v>
      </c>
      <c r="O23" s="18" t="n">
        <v>0</v>
      </c>
      <c r="P23" s="20" t="n">
        <v>0</v>
      </c>
      <c r="Q23" s="18" t="n">
        <v>9.7494926</v>
      </c>
      <c r="R23" s="20" t="n">
        <v>1.11336455</v>
      </c>
    </row>
    <row r="24" spans="1:18">
      <c r="A24" s="15" t="s">
        <v>366</v>
      </c>
      <c r="B24" s="17" t="n">
        <v>6647</v>
      </c>
      <c r="C24" s="18">
        <f>(5820.0/B24*100)</f>
        <v/>
      </c>
      <c r="D24" s="19" t="n">
        <v>827</v>
      </c>
      <c r="E24" s="18" t="n">
        <v>43.61061762</v>
      </c>
      <c r="F24" s="20" t="n">
        <v>1.96823217</v>
      </c>
      <c r="G24" s="18" t="n">
        <v>51.18326121</v>
      </c>
      <c r="H24" s="20" t="n">
        <v>2.1009656</v>
      </c>
      <c r="I24" s="18" t="s">
        <v>349</v>
      </c>
      <c r="J24" s="20" t="s">
        <v>349</v>
      </c>
      <c r="K24" s="18" t="n">
        <v>0.8896654899999999</v>
      </c>
      <c r="L24" s="20" t="n">
        <v>0.23892685</v>
      </c>
      <c r="M24" s="18" t="n">
        <v>0</v>
      </c>
      <c r="N24" s="20" t="n">
        <v>0</v>
      </c>
      <c r="O24" s="18" t="n">
        <v>0</v>
      </c>
      <c r="P24" s="20" t="n">
        <v>0</v>
      </c>
      <c r="Q24" s="18" t="n">
        <v>4.31645568</v>
      </c>
      <c r="R24" s="20" t="n">
        <v>0.7755199699999999</v>
      </c>
    </row>
    <row r="25" spans="1:18">
      <c r="A25" s="15" t="s">
        <v>367</v>
      </c>
      <c r="B25" s="17" t="n">
        <v>5581</v>
      </c>
      <c r="C25" s="18">
        <f>(4887.0/B25*100)</f>
        <v/>
      </c>
      <c r="D25" s="19" t="n">
        <v>694</v>
      </c>
      <c r="E25" s="18" t="n">
        <v>50.53524634</v>
      </c>
      <c r="F25" s="20" t="n">
        <v>2.16729851</v>
      </c>
      <c r="G25" s="18" t="n">
        <v>43.75324363</v>
      </c>
      <c r="H25" s="20" t="n">
        <v>2.23145913</v>
      </c>
      <c r="I25" s="18" t="s">
        <v>349</v>
      </c>
      <c r="J25" s="20" t="s">
        <v>349</v>
      </c>
      <c r="K25" s="18" t="n">
        <v>0.84973907</v>
      </c>
      <c r="L25" s="20" t="n">
        <v>0.34687514</v>
      </c>
      <c r="M25" s="18" t="n">
        <v>0</v>
      </c>
      <c r="N25" s="20" t="n">
        <v>0</v>
      </c>
      <c r="O25" s="18" t="n">
        <v>0</v>
      </c>
      <c r="P25" s="20" t="n">
        <v>0</v>
      </c>
      <c r="Q25" s="18" t="n">
        <v>4.86177096</v>
      </c>
      <c r="R25" s="20" t="n">
        <v>0.83528482</v>
      </c>
    </row>
    <row r="26" spans="1:18">
      <c r="A26" s="15" t="s">
        <v>368</v>
      </c>
      <c r="B26" s="17" t="n">
        <v>4869</v>
      </c>
      <c r="C26" s="18">
        <f>(4289.0/B26*100)</f>
        <v/>
      </c>
      <c r="D26" s="19" t="n">
        <v>580</v>
      </c>
      <c r="E26" s="18" t="n">
        <v>74.50139729</v>
      </c>
      <c r="F26" s="20" t="n">
        <v>2.20615488</v>
      </c>
      <c r="G26" s="18" t="n">
        <v>18.02691158</v>
      </c>
      <c r="H26" s="20" t="n">
        <v>1.83762319</v>
      </c>
      <c r="I26" s="18" t="s">
        <v>349</v>
      </c>
      <c r="J26" s="20" t="s">
        <v>349</v>
      </c>
      <c r="K26" s="18" t="n">
        <v>0.12289233</v>
      </c>
      <c r="L26" s="20" t="n">
        <v>0.12342378</v>
      </c>
      <c r="M26" s="18" t="n">
        <v>0</v>
      </c>
      <c r="N26" s="20" t="n">
        <v>0</v>
      </c>
      <c r="O26" s="18" t="n">
        <v>0</v>
      </c>
      <c r="P26" s="20" t="n">
        <v>0</v>
      </c>
      <c r="Q26" s="18" t="n">
        <v>7.3487988</v>
      </c>
      <c r="R26" s="20" t="n">
        <v>1.17184303</v>
      </c>
    </row>
    <row r="27" spans="1:18">
      <c r="A27" s="15" t="s">
        <v>369</v>
      </c>
      <c r="B27" s="17" t="n">
        <v>5299</v>
      </c>
      <c r="C27" s="18">
        <f>(4681.0/B27*100)</f>
        <v/>
      </c>
      <c r="D27" s="19" t="n">
        <v>618</v>
      </c>
      <c r="E27" s="18" t="n">
        <v>63.20760273</v>
      </c>
      <c r="F27" s="20" t="n">
        <v>1.85357853</v>
      </c>
      <c r="G27" s="18" t="n">
        <v>28.34905387</v>
      </c>
      <c r="H27" s="20" t="n">
        <v>1.71790419</v>
      </c>
      <c r="I27" s="18" t="s">
        <v>349</v>
      </c>
      <c r="J27" s="20" t="s">
        <v>349</v>
      </c>
      <c r="K27" s="18" t="n">
        <v>0.97788059</v>
      </c>
      <c r="L27" s="20" t="n">
        <v>0.4089095</v>
      </c>
      <c r="M27" s="18" t="n">
        <v>0</v>
      </c>
      <c r="N27" s="20" t="n">
        <v>0</v>
      </c>
      <c r="O27" s="18" t="n">
        <v>0</v>
      </c>
      <c r="P27" s="20" t="n">
        <v>0</v>
      </c>
      <c r="Q27" s="18" t="n">
        <v>7.46546281</v>
      </c>
      <c r="R27" s="20" t="n">
        <v>1.11760749</v>
      </c>
    </row>
    <row r="28" spans="1:18">
      <c r="A28" s="15" t="s">
        <v>370</v>
      </c>
      <c r="B28" s="17" t="n">
        <v>7568</v>
      </c>
      <c r="C28" s="18">
        <f>(6743.0/B28*100)</f>
        <v/>
      </c>
      <c r="D28" s="19" t="n">
        <v>825</v>
      </c>
      <c r="E28" s="18" t="n">
        <v>83.21308548</v>
      </c>
      <c r="F28" s="20" t="n">
        <v>1.5599914</v>
      </c>
      <c r="G28" s="18" t="n">
        <v>8.75143609</v>
      </c>
      <c r="H28" s="20" t="n">
        <v>1.03059449</v>
      </c>
      <c r="I28" s="18" t="s">
        <v>349</v>
      </c>
      <c r="J28" s="20" t="s">
        <v>349</v>
      </c>
      <c r="K28" s="18" t="n">
        <v>0.71720228</v>
      </c>
      <c r="L28" s="20" t="n">
        <v>0.27620541</v>
      </c>
      <c r="M28" s="18" t="n">
        <v>0</v>
      </c>
      <c r="N28" s="20" t="n">
        <v>0</v>
      </c>
      <c r="O28" s="18" t="n">
        <v>0</v>
      </c>
      <c r="P28" s="20" t="n">
        <v>0</v>
      </c>
      <c r="Q28" s="18" t="n">
        <v>7.31827615</v>
      </c>
      <c r="R28" s="20" t="n">
        <v>1.10279918</v>
      </c>
    </row>
    <row r="29" spans="1:18">
      <c r="A29" s="15" t="s">
        <v>371</v>
      </c>
      <c r="B29" s="17" t="n">
        <v>5385</v>
      </c>
      <c r="C29" s="18">
        <f>(4745.0/B29*100)</f>
        <v/>
      </c>
      <c r="D29" s="19" t="n">
        <v>640</v>
      </c>
      <c r="E29" s="18" t="n">
        <v>64.17645877</v>
      </c>
      <c r="F29" s="20" t="n">
        <v>1.81933973</v>
      </c>
      <c r="G29" s="18" t="n">
        <v>28.95906226</v>
      </c>
      <c r="H29" s="20" t="n">
        <v>1.56442513</v>
      </c>
      <c r="I29" s="18" t="s">
        <v>349</v>
      </c>
      <c r="J29" s="20" t="s">
        <v>349</v>
      </c>
      <c r="K29" s="18" t="n">
        <v>0.59305435</v>
      </c>
      <c r="L29" s="20" t="n">
        <v>0.34864353</v>
      </c>
      <c r="M29" s="18" t="n">
        <v>0</v>
      </c>
      <c r="N29" s="20" t="n">
        <v>0</v>
      </c>
      <c r="O29" s="18" t="n">
        <v>0</v>
      </c>
      <c r="P29" s="20" t="n">
        <v>0</v>
      </c>
      <c r="Q29" s="18" t="n">
        <v>6.27142461</v>
      </c>
      <c r="R29" s="20" t="n">
        <v>1.14019346</v>
      </c>
    </row>
    <row r="30" spans="1:18">
      <c r="A30" s="15" t="s">
        <v>372</v>
      </c>
      <c r="B30" s="17" t="n">
        <v>4520</v>
      </c>
      <c r="C30" s="18">
        <f>(3969.0/B30*100)</f>
        <v/>
      </c>
      <c r="D30" s="19" t="n">
        <v>551</v>
      </c>
      <c r="E30" s="18" t="n">
        <v>59.71357488</v>
      </c>
      <c r="F30" s="20" t="n">
        <v>2.24659617</v>
      </c>
      <c r="G30" s="18" t="n">
        <v>27.26554055</v>
      </c>
      <c r="H30" s="20" t="n">
        <v>1.96617736</v>
      </c>
      <c r="I30" s="18" t="s">
        <v>349</v>
      </c>
      <c r="J30" s="20" t="s">
        <v>349</v>
      </c>
      <c r="K30" s="18" t="n">
        <v>1.31865676</v>
      </c>
      <c r="L30" s="20" t="n">
        <v>0.37678168</v>
      </c>
      <c r="M30" s="18" t="n">
        <v>0</v>
      </c>
      <c r="N30" s="20" t="n">
        <v>0</v>
      </c>
      <c r="O30" s="18" t="n">
        <v>0</v>
      </c>
      <c r="P30" s="20" t="n">
        <v>0</v>
      </c>
      <c r="Q30" s="18" t="n">
        <v>11.7022278</v>
      </c>
      <c r="R30" s="20" t="n">
        <v>1.26082635</v>
      </c>
    </row>
    <row r="31" spans="1:18">
      <c r="A31" s="15" t="s">
        <v>373</v>
      </c>
      <c r="B31" s="17" t="n">
        <v>5456</v>
      </c>
      <c r="C31" s="18">
        <f>(4773.0/B31*100)</f>
        <v/>
      </c>
      <c r="D31" s="19" t="n">
        <v>683</v>
      </c>
      <c r="E31" s="18" t="n">
        <v>61.57202863</v>
      </c>
      <c r="F31" s="20" t="n">
        <v>1.71640161</v>
      </c>
      <c r="G31" s="18" t="n">
        <v>27.35748772</v>
      </c>
      <c r="H31" s="20" t="n">
        <v>1.654218</v>
      </c>
      <c r="I31" s="18" t="s">
        <v>349</v>
      </c>
      <c r="J31" s="20" t="s">
        <v>349</v>
      </c>
      <c r="K31" s="18" t="n">
        <v>2.56921857</v>
      </c>
      <c r="L31" s="20" t="n">
        <v>0.70502624</v>
      </c>
      <c r="M31" s="18" t="n">
        <v>0</v>
      </c>
      <c r="N31" s="20" t="n">
        <v>0</v>
      </c>
      <c r="O31" s="18" t="n">
        <v>0</v>
      </c>
      <c r="P31" s="20" t="n">
        <v>0</v>
      </c>
      <c r="Q31" s="18" t="n">
        <v>8.50126508</v>
      </c>
      <c r="R31" s="20" t="n">
        <v>1.17382543</v>
      </c>
    </row>
    <row r="32" spans="1:18">
      <c r="A32" s="15" t="s">
        <v>374</v>
      </c>
      <c r="B32" s="17" t="n">
        <v>4478</v>
      </c>
      <c r="C32" s="18">
        <f>(3764.0/B32*100)</f>
        <v/>
      </c>
      <c r="D32" s="19" t="n">
        <v>714</v>
      </c>
      <c r="E32" s="18" t="n">
        <v>66.4645584</v>
      </c>
      <c r="F32" s="20" t="n">
        <v>1.92179331</v>
      </c>
      <c r="G32" s="18" t="n">
        <v>27.19286862</v>
      </c>
      <c r="H32" s="20" t="n">
        <v>1.86088725</v>
      </c>
      <c r="I32" s="18" t="s">
        <v>349</v>
      </c>
      <c r="J32" s="20" t="s">
        <v>349</v>
      </c>
      <c r="K32" s="18" t="n">
        <v>0.26280143</v>
      </c>
      <c r="L32" s="20" t="n">
        <v>0.17759358</v>
      </c>
      <c r="M32" s="18" t="n">
        <v>0</v>
      </c>
      <c r="N32" s="20" t="n">
        <v>0</v>
      </c>
      <c r="O32" s="18" t="n">
        <v>0</v>
      </c>
      <c r="P32" s="20" t="n">
        <v>0</v>
      </c>
      <c r="Q32" s="18" t="n">
        <v>6.07977154</v>
      </c>
      <c r="R32" s="20" t="n">
        <v>0.88642473</v>
      </c>
    </row>
    <row r="33" spans="1:18">
      <c r="A33" s="15" t="s">
        <v>375</v>
      </c>
      <c r="B33" s="17" t="n">
        <v>7325</v>
      </c>
      <c r="C33" s="18">
        <f>(6446.0/B33*100)</f>
        <v/>
      </c>
      <c r="D33" s="19" t="n">
        <v>879</v>
      </c>
      <c r="E33" s="18" t="n">
        <v>63.60021969</v>
      </c>
      <c r="F33" s="20" t="n">
        <v>1.85273432</v>
      </c>
      <c r="G33" s="18" t="n">
        <v>23.95095225</v>
      </c>
      <c r="H33" s="20" t="n">
        <v>1.74529849</v>
      </c>
      <c r="I33" s="18" t="s">
        <v>349</v>
      </c>
      <c r="J33" s="20" t="s">
        <v>349</v>
      </c>
      <c r="K33" s="18" t="n">
        <v>2.22881798</v>
      </c>
      <c r="L33" s="20" t="n">
        <v>0.7341496</v>
      </c>
      <c r="M33" s="18" t="n">
        <v>0</v>
      </c>
      <c r="N33" s="20" t="n">
        <v>0</v>
      </c>
      <c r="O33" s="18" t="n">
        <v>0</v>
      </c>
      <c r="P33" s="20" t="n">
        <v>0</v>
      </c>
      <c r="Q33" s="18" t="n">
        <v>10.22001008</v>
      </c>
      <c r="R33" s="20" t="n">
        <v>1.07400016</v>
      </c>
    </row>
    <row r="34" spans="1:18">
      <c r="A34" s="15" t="s">
        <v>376</v>
      </c>
      <c r="B34" s="17" t="n">
        <v>6350</v>
      </c>
      <c r="C34" s="18">
        <f>(5593.0/B34*100)</f>
        <v/>
      </c>
      <c r="D34" s="19" t="n">
        <v>757</v>
      </c>
      <c r="E34" s="18" t="n">
        <v>69.41591597999999</v>
      </c>
      <c r="F34" s="20" t="n">
        <v>1.79725197</v>
      </c>
      <c r="G34" s="18" t="n">
        <v>22.70624085</v>
      </c>
      <c r="H34" s="20" t="n">
        <v>1.70067433</v>
      </c>
      <c r="I34" s="18" t="s">
        <v>349</v>
      </c>
      <c r="J34" s="20" t="s">
        <v>349</v>
      </c>
      <c r="K34" s="18" t="n">
        <v>0.50254379</v>
      </c>
      <c r="L34" s="20" t="n">
        <v>0.26208829</v>
      </c>
      <c r="M34" s="18" t="n">
        <v>0</v>
      </c>
      <c r="N34" s="20" t="n">
        <v>0</v>
      </c>
      <c r="O34" s="18" t="n">
        <v>0</v>
      </c>
      <c r="P34" s="20" t="n">
        <v>0</v>
      </c>
      <c r="Q34" s="18" t="n">
        <v>7.37529938</v>
      </c>
      <c r="R34" s="20" t="n">
        <v>0.95423834</v>
      </c>
    </row>
    <row r="35" spans="1:18">
      <c r="A35" s="15" t="s">
        <v>377</v>
      </c>
      <c r="B35" s="17" t="n">
        <v>6406</v>
      </c>
      <c r="C35" s="18">
        <f>(5640.0/B35*100)</f>
        <v/>
      </c>
      <c r="D35" s="19" t="n">
        <v>766</v>
      </c>
      <c r="E35" s="18" t="n">
        <v>60.59933863</v>
      </c>
      <c r="F35" s="20" t="n">
        <v>2.42379352</v>
      </c>
      <c r="G35" s="18" t="n">
        <v>31.39129276</v>
      </c>
      <c r="H35" s="20" t="n">
        <v>2.37182763</v>
      </c>
      <c r="I35" s="18" t="s">
        <v>349</v>
      </c>
      <c r="J35" s="20" t="s">
        <v>349</v>
      </c>
      <c r="K35" s="18" t="n">
        <v>0.84035352</v>
      </c>
      <c r="L35" s="20" t="n">
        <v>0.41785015</v>
      </c>
      <c r="M35" s="18" t="n">
        <v>0</v>
      </c>
      <c r="N35" s="20" t="n">
        <v>0</v>
      </c>
      <c r="O35" s="18" t="n">
        <v>0</v>
      </c>
      <c r="P35" s="20" t="n">
        <v>0</v>
      </c>
      <c r="Q35" s="18" t="n">
        <v>7.1690151</v>
      </c>
      <c r="R35" s="20" t="n">
        <v>1.28714165</v>
      </c>
    </row>
    <row r="36" spans="1:18">
      <c r="A36" s="15" t="s">
        <v>378</v>
      </c>
      <c r="B36" s="17" t="n">
        <v>6736</v>
      </c>
      <c r="C36" s="18">
        <f>(5939.0/B36*100)</f>
        <v/>
      </c>
      <c r="D36" s="19" t="n">
        <v>797</v>
      </c>
      <c r="E36" s="18" t="n">
        <v>58.69157047</v>
      </c>
      <c r="F36" s="20" t="n">
        <v>1.73484233</v>
      </c>
      <c r="G36" s="18" t="n">
        <v>28.33313131</v>
      </c>
      <c r="H36" s="20" t="n">
        <v>1.60379969</v>
      </c>
      <c r="I36" s="18" t="s">
        <v>349</v>
      </c>
      <c r="J36" s="20" t="s">
        <v>349</v>
      </c>
      <c r="K36" s="18" t="n">
        <v>2.39129045</v>
      </c>
      <c r="L36" s="20" t="n">
        <v>0.61703482</v>
      </c>
      <c r="M36" s="18" t="n">
        <v>0</v>
      </c>
      <c r="N36" s="20" t="n">
        <v>0</v>
      </c>
      <c r="O36" s="18" t="n">
        <v>0</v>
      </c>
      <c r="P36" s="20" t="n">
        <v>0</v>
      </c>
      <c r="Q36" s="18" t="n">
        <v>10.58400777</v>
      </c>
      <c r="R36" s="20" t="n">
        <v>1.05068239</v>
      </c>
    </row>
    <row r="37" spans="1:18">
      <c r="A37" s="15" t="s">
        <v>379</v>
      </c>
      <c r="B37" s="17" t="n">
        <v>5458</v>
      </c>
      <c r="C37" s="18">
        <f>(4857.0/B37*100)</f>
        <v/>
      </c>
      <c r="D37" s="19" t="n">
        <v>601</v>
      </c>
      <c r="E37" s="18" t="n">
        <v>56.53353021</v>
      </c>
      <c r="F37" s="20" t="n">
        <v>2.07484362</v>
      </c>
      <c r="G37" s="18" t="n">
        <v>21.07862363</v>
      </c>
      <c r="H37" s="20" t="n">
        <v>1.82227313</v>
      </c>
      <c r="I37" s="18" t="s">
        <v>349</v>
      </c>
      <c r="J37" s="20" t="s">
        <v>349</v>
      </c>
      <c r="K37" s="18" t="n">
        <v>3.7672</v>
      </c>
      <c r="L37" s="20" t="n">
        <v>0.90683616</v>
      </c>
      <c r="M37" s="18" t="n">
        <v>0</v>
      </c>
      <c r="N37" s="20" t="n">
        <v>0</v>
      </c>
      <c r="O37" s="18" t="n">
        <v>0</v>
      </c>
      <c r="P37" s="20" t="n">
        <v>0</v>
      </c>
      <c r="Q37" s="18" t="n">
        <v>18.62064616</v>
      </c>
      <c r="R37" s="20" t="n">
        <v>1.70651145</v>
      </c>
    </row>
    <row r="38" spans="1:18">
      <c r="A38" s="15" t="s">
        <v>380</v>
      </c>
      <c r="B38" s="17" t="n">
        <v>5860</v>
      </c>
      <c r="C38" s="18">
        <f>(4908.0/B38*100)</f>
        <v/>
      </c>
      <c r="D38" s="19" t="n">
        <v>952</v>
      </c>
      <c r="E38" s="18" t="n">
        <v>59.39402479</v>
      </c>
      <c r="F38" s="20" t="n">
        <v>1.90521625</v>
      </c>
      <c r="G38" s="18" t="n">
        <v>30.28946647</v>
      </c>
      <c r="H38" s="20" t="n">
        <v>1.87561172</v>
      </c>
      <c r="I38" s="18" t="s">
        <v>349</v>
      </c>
      <c r="J38" s="20" t="s">
        <v>349</v>
      </c>
      <c r="K38" s="18" t="n">
        <v>2.2941798</v>
      </c>
      <c r="L38" s="20" t="n">
        <v>0.63825979</v>
      </c>
      <c r="M38" s="18" t="n">
        <v>0</v>
      </c>
      <c r="N38" s="20" t="n">
        <v>0</v>
      </c>
      <c r="O38" s="18" t="n">
        <v>0</v>
      </c>
      <c r="P38" s="20" t="n">
        <v>0</v>
      </c>
      <c r="Q38" s="18" t="n">
        <v>8.02232894</v>
      </c>
      <c r="R38" s="20" t="n">
        <v>1.02677901</v>
      </c>
    </row>
    <row r="39" spans="1:18">
      <c r="A39" s="15" t="s">
        <v>381</v>
      </c>
      <c r="B39" s="17" t="n">
        <v>5895</v>
      </c>
      <c r="C39" s="18">
        <f>(5172.0/B39*100)</f>
        <v/>
      </c>
      <c r="D39" s="19" t="n">
        <v>723</v>
      </c>
      <c r="E39" s="18" t="n">
        <v>74.50279835000001</v>
      </c>
      <c r="F39" s="20" t="n">
        <v>1.76747292</v>
      </c>
      <c r="G39" s="18" t="n">
        <v>12.63513909</v>
      </c>
      <c r="H39" s="20" t="n">
        <v>1.30301139</v>
      </c>
      <c r="I39" s="18" t="s">
        <v>349</v>
      </c>
      <c r="J39" s="20" t="s">
        <v>349</v>
      </c>
      <c r="K39" s="18" t="n">
        <v>1.24466238</v>
      </c>
      <c r="L39" s="20" t="n">
        <v>0.52760618</v>
      </c>
      <c r="M39" s="18" t="n">
        <v>0</v>
      </c>
      <c r="N39" s="20" t="n">
        <v>0</v>
      </c>
      <c r="O39" s="18" t="n">
        <v>0</v>
      </c>
      <c r="P39" s="20" t="n">
        <v>0</v>
      </c>
      <c r="Q39" s="18" t="n">
        <v>11.61740017</v>
      </c>
      <c r="R39" s="20" t="n">
        <v>1.26971448</v>
      </c>
    </row>
    <row r="40" spans="1:18">
      <c r="A40" s="15" t="s">
        <v>382</v>
      </c>
      <c r="B40" s="17" t="n">
        <v>14157</v>
      </c>
      <c r="C40" s="18">
        <f>(12408.0/B40*100)</f>
        <v/>
      </c>
      <c r="D40" s="19" t="n">
        <v>1749</v>
      </c>
      <c r="E40" s="18" t="n">
        <v>66.05675581</v>
      </c>
      <c r="F40" s="20" t="n">
        <v>1.81566868</v>
      </c>
      <c r="G40" s="18" t="n">
        <v>23.79915587</v>
      </c>
      <c r="H40" s="20" t="n">
        <v>1.5505432</v>
      </c>
      <c r="I40" s="18" t="s">
        <v>349</v>
      </c>
      <c r="J40" s="20" t="s">
        <v>349</v>
      </c>
      <c r="K40" s="18" t="n">
        <v>1.2256029</v>
      </c>
      <c r="L40" s="20" t="n">
        <v>0.43217443</v>
      </c>
      <c r="M40" s="18" t="n">
        <v>0</v>
      </c>
      <c r="N40" s="20" t="n">
        <v>0</v>
      </c>
      <c r="O40" s="18" t="n">
        <v>0</v>
      </c>
      <c r="P40" s="20" t="n">
        <v>0</v>
      </c>
      <c r="Q40" s="18" t="n">
        <v>8.91848542</v>
      </c>
      <c r="R40" s="20" t="n">
        <v>1.00796793</v>
      </c>
    </row>
    <row r="41" spans="1:18">
      <c r="A41" s="15" t="s">
        <v>383</v>
      </c>
      <c r="B41" s="17" t="n">
        <v>5712</v>
      </c>
      <c r="C41" s="18">
        <f>(5053.0/B41*100)</f>
        <v/>
      </c>
      <c r="D41" s="19" t="n">
        <v>659</v>
      </c>
      <c r="E41" s="18" t="n">
        <v>70.03948629999999</v>
      </c>
      <c r="F41" s="20" t="n">
        <v>1.84129735</v>
      </c>
      <c r="G41" s="18" t="n">
        <v>24.02389533</v>
      </c>
      <c r="H41" s="20" t="n">
        <v>1.87897293</v>
      </c>
      <c r="I41" s="18" t="s">
        <v>349</v>
      </c>
      <c r="J41" s="20" t="s">
        <v>349</v>
      </c>
      <c r="K41" s="18" t="n">
        <v>0.60329654</v>
      </c>
      <c r="L41" s="20" t="n">
        <v>0.28117823</v>
      </c>
      <c r="M41" s="18" t="n">
        <v>0</v>
      </c>
      <c r="N41" s="20" t="n">
        <v>0</v>
      </c>
      <c r="O41" s="18" t="n">
        <v>0</v>
      </c>
      <c r="P41" s="20" t="n">
        <v>0</v>
      </c>
      <c r="Q41" s="18" t="n">
        <v>5.33332184</v>
      </c>
      <c r="R41" s="20" t="n">
        <v>0.91518797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(20887.0/B46*100)</f>
        <v/>
      </c>
      <c r="D46" s="19" t="n">
        <v>2254</v>
      </c>
      <c r="E46" s="18" t="n">
        <v>71.99178411</v>
      </c>
      <c r="F46" s="20" t="n">
        <v>1.17946898</v>
      </c>
      <c r="G46" s="18" t="n">
        <v>7.88109565</v>
      </c>
      <c r="H46" s="20" t="n">
        <v>0.7441681</v>
      </c>
      <c r="I46" s="18" t="s">
        <v>349</v>
      </c>
      <c r="J46" s="20" t="s">
        <v>349</v>
      </c>
      <c r="K46" s="18" t="n">
        <v>5.46554713</v>
      </c>
      <c r="L46" s="20" t="n">
        <v>0.62001806</v>
      </c>
      <c r="M46" s="18" t="n">
        <v>0</v>
      </c>
      <c r="N46" s="20" t="n">
        <v>0</v>
      </c>
      <c r="O46" s="18" t="n">
        <v>0</v>
      </c>
      <c r="P46" s="20" t="n">
        <v>0</v>
      </c>
      <c r="Q46" s="18" t="n">
        <v>14.66157311</v>
      </c>
      <c r="R46" s="20" t="n">
        <v>1.03404983</v>
      </c>
    </row>
    <row r="47" spans="1:18">
      <c r="A47" s="15" t="s">
        <v>389</v>
      </c>
      <c r="B47" s="17" t="n">
        <v>5928</v>
      </c>
      <c r="C47" s="18">
        <f>(5228.0/B47*100)</f>
        <v/>
      </c>
      <c r="D47" s="19" t="n">
        <v>700</v>
      </c>
      <c r="E47" s="18" t="n">
        <v>67.36362407999999</v>
      </c>
      <c r="F47" s="20" t="n">
        <v>2.00399693</v>
      </c>
      <c r="G47" s="18" t="n">
        <v>17.51957783</v>
      </c>
      <c r="H47" s="20" t="n">
        <v>1.83656123</v>
      </c>
      <c r="I47" s="18" t="s">
        <v>349</v>
      </c>
      <c r="J47" s="20" t="s">
        <v>349</v>
      </c>
      <c r="K47" s="18" t="n">
        <v>2.27220395</v>
      </c>
      <c r="L47" s="20" t="n">
        <v>0.56717404</v>
      </c>
      <c r="M47" s="18" t="n">
        <v>0</v>
      </c>
      <c r="N47" s="20" t="n">
        <v>0</v>
      </c>
      <c r="O47" s="18" t="n">
        <v>0</v>
      </c>
      <c r="P47" s="20" t="n">
        <v>0</v>
      </c>
      <c r="Q47" s="18" t="n">
        <v>12.84459413</v>
      </c>
      <c r="R47" s="20" t="n">
        <v>1.44285743</v>
      </c>
    </row>
    <row r="48" spans="1:18">
      <c r="A48" s="15" t="s">
        <v>390</v>
      </c>
      <c r="B48" s="17" t="n">
        <v>9841</v>
      </c>
      <c r="C48" s="18">
        <f>(8606.0/B48*100)</f>
        <v/>
      </c>
      <c r="D48" s="19" t="n">
        <v>1235</v>
      </c>
      <c r="E48" s="18" t="n">
        <v>66.48449981</v>
      </c>
      <c r="F48" s="20" t="n">
        <v>2.25142985</v>
      </c>
      <c r="G48" s="18" t="n">
        <v>25.87781716</v>
      </c>
      <c r="H48" s="20" t="n">
        <v>2.1036004</v>
      </c>
      <c r="I48" s="18" t="s">
        <v>349</v>
      </c>
      <c r="J48" s="20" t="s">
        <v>349</v>
      </c>
      <c r="K48" s="18" t="n">
        <v>0.47179537</v>
      </c>
      <c r="L48" s="20" t="n">
        <v>0.2140578</v>
      </c>
      <c r="M48" s="18" t="n">
        <v>0</v>
      </c>
      <c r="N48" s="20" t="n">
        <v>0</v>
      </c>
      <c r="O48" s="18" t="n">
        <v>0</v>
      </c>
      <c r="P48" s="20" t="n">
        <v>0</v>
      </c>
      <c r="Q48" s="18" t="n">
        <v>7.16588766</v>
      </c>
      <c r="R48" s="20" t="n">
        <v>1.25030292</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(10406.0/B50*100)</f>
        <v/>
      </c>
      <c r="D50" s="19" t="n">
        <v>1389</v>
      </c>
      <c r="E50" s="18" t="n">
        <v>80.0883157</v>
      </c>
      <c r="F50" s="20" t="n">
        <v>1.47156699</v>
      </c>
      <c r="G50" s="18" t="n">
        <v>9.561170580000001</v>
      </c>
      <c r="H50" s="20" t="n">
        <v>0.8968767</v>
      </c>
      <c r="I50" s="18" t="s">
        <v>349</v>
      </c>
      <c r="J50" s="20" t="s">
        <v>349</v>
      </c>
      <c r="K50" s="18" t="n">
        <v>1.95434743</v>
      </c>
      <c r="L50" s="20" t="n">
        <v>0.40201618</v>
      </c>
      <c r="M50" s="18" t="n">
        <v>0</v>
      </c>
      <c r="N50" s="20" t="n">
        <v>0</v>
      </c>
      <c r="O50" s="18" t="n">
        <v>0</v>
      </c>
      <c r="P50" s="20" t="n">
        <v>0</v>
      </c>
      <c r="Q50" s="18" t="n">
        <v>8.39616629</v>
      </c>
      <c r="R50" s="20" t="n">
        <v>1.11772717</v>
      </c>
    </row>
    <row r="51" spans="1:18">
      <c r="A51" s="15" t="s">
        <v>393</v>
      </c>
      <c r="B51" s="17" t="n">
        <v>6866</v>
      </c>
      <c r="C51" s="18">
        <f>(6152.0/B51*100)</f>
        <v/>
      </c>
      <c r="D51" s="19" t="n">
        <v>714</v>
      </c>
      <c r="E51" s="18" t="n">
        <v>77.60909757</v>
      </c>
      <c r="F51" s="20" t="n">
        <v>1.75597992</v>
      </c>
      <c r="G51" s="18" t="n">
        <v>10.53545502</v>
      </c>
      <c r="H51" s="20" t="n">
        <v>1.49790297</v>
      </c>
      <c r="I51" s="18" t="s">
        <v>349</v>
      </c>
      <c r="J51" s="20" t="s">
        <v>349</v>
      </c>
      <c r="K51" s="18" t="n">
        <v>1.78773544</v>
      </c>
      <c r="L51" s="20" t="n">
        <v>0.61807243</v>
      </c>
      <c r="M51" s="18" t="n">
        <v>0</v>
      </c>
      <c r="N51" s="20" t="n">
        <v>0</v>
      </c>
      <c r="O51" s="18" t="n">
        <v>0</v>
      </c>
      <c r="P51" s="20" t="n">
        <v>0</v>
      </c>
      <c r="Q51" s="18" t="n">
        <v>10.06771197</v>
      </c>
      <c r="R51" s="20" t="n">
        <v>1.06642835</v>
      </c>
    </row>
    <row r="52" spans="1:18">
      <c r="A52" s="15" t="s">
        <v>394</v>
      </c>
      <c r="B52" s="17" t="n">
        <v>5809</v>
      </c>
      <c r="C52" s="18">
        <f>(5097.0/B52*100)</f>
        <v/>
      </c>
      <c r="D52" s="19" t="n">
        <v>712</v>
      </c>
      <c r="E52" s="18" t="n">
        <v>59.75829504</v>
      </c>
      <c r="F52" s="20" t="n">
        <v>1.91474352</v>
      </c>
      <c r="G52" s="18" t="n">
        <v>22.58176007</v>
      </c>
      <c r="H52" s="20" t="n">
        <v>1.56263791</v>
      </c>
      <c r="I52" s="18" t="s">
        <v>349</v>
      </c>
      <c r="J52" s="20" t="s">
        <v>349</v>
      </c>
      <c r="K52" s="18" t="n">
        <v>1.38450471</v>
      </c>
      <c r="L52" s="20" t="n">
        <v>0.4784385</v>
      </c>
      <c r="M52" s="18" t="n">
        <v>0</v>
      </c>
      <c r="N52" s="20" t="n">
        <v>0</v>
      </c>
      <c r="O52" s="18" t="n">
        <v>0</v>
      </c>
      <c r="P52" s="20" t="n">
        <v>0</v>
      </c>
      <c r="Q52" s="18" t="n">
        <v>16.27544019</v>
      </c>
      <c r="R52" s="20" t="n">
        <v>1.40361875</v>
      </c>
    </row>
    <row r="53" spans="1:18">
      <c r="A53" s="15" t="s">
        <v>395</v>
      </c>
      <c r="B53" s="17" t="n">
        <v>5571</v>
      </c>
      <c r="C53" s="18">
        <f>(4872.0/B53*100)</f>
        <v/>
      </c>
      <c r="D53" s="19" t="n">
        <v>699</v>
      </c>
      <c r="E53" s="18" t="n">
        <v>70.99785224</v>
      </c>
      <c r="F53" s="20" t="n">
        <v>1.84571259</v>
      </c>
      <c r="G53" s="18" t="n">
        <v>18.08723073</v>
      </c>
      <c r="H53" s="20" t="n">
        <v>1.63898895</v>
      </c>
      <c r="I53" s="18" t="s">
        <v>349</v>
      </c>
      <c r="J53" s="20" t="s">
        <v>349</v>
      </c>
      <c r="K53" s="18" t="n">
        <v>1.67208951</v>
      </c>
      <c r="L53" s="20" t="n">
        <v>0.50564822</v>
      </c>
      <c r="M53" s="18" t="n">
        <v>0</v>
      </c>
      <c r="N53" s="20" t="n">
        <v>0</v>
      </c>
      <c r="O53" s="18" t="n">
        <v>0</v>
      </c>
      <c r="P53" s="20" t="n">
        <v>0</v>
      </c>
      <c r="Q53" s="18" t="n">
        <v>9.242827520000001</v>
      </c>
      <c r="R53" s="20" t="n">
        <v>1.05088081</v>
      </c>
    </row>
    <row r="54" spans="1:18">
      <c r="A54" s="15" t="s">
        <v>396</v>
      </c>
      <c r="B54" s="17" t="n">
        <v>4740</v>
      </c>
      <c r="C54" s="18">
        <f>(3952.0/B54*100)</f>
        <v/>
      </c>
      <c r="D54" s="19" t="n">
        <v>788</v>
      </c>
      <c r="E54" s="18" t="n">
        <v>68.96088722</v>
      </c>
      <c r="F54" s="20" t="n">
        <v>1.66017214</v>
      </c>
      <c r="G54" s="18" t="n">
        <v>1.18203613</v>
      </c>
      <c r="H54" s="20" t="n">
        <v>0.46514545</v>
      </c>
      <c r="I54" s="18" t="s">
        <v>349</v>
      </c>
      <c r="J54" s="20" t="s">
        <v>349</v>
      </c>
      <c r="K54" s="18" t="n">
        <v>15.88414308</v>
      </c>
      <c r="L54" s="20" t="n">
        <v>1.39066818</v>
      </c>
      <c r="M54" s="18" t="n">
        <v>0</v>
      </c>
      <c r="N54" s="20" t="n">
        <v>0</v>
      </c>
      <c r="O54" s="18" t="n">
        <v>0</v>
      </c>
      <c r="P54" s="20" t="n">
        <v>0</v>
      </c>
      <c r="Q54" s="18" t="n">
        <v>13.97293356</v>
      </c>
      <c r="R54" s="20" t="n">
        <v>1.26921971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(4681.0/B56*100)</f>
        <v/>
      </c>
      <c r="D56" s="19" t="n">
        <v>678</v>
      </c>
      <c r="E56" s="18" t="n">
        <v>57.71708444</v>
      </c>
      <c r="F56" s="20" t="n">
        <v>2.09875555</v>
      </c>
      <c r="G56" s="18" t="n">
        <v>39.38230134</v>
      </c>
      <c r="H56" s="20" t="n">
        <v>2.14983453</v>
      </c>
      <c r="I56" s="18" t="s">
        <v>349</v>
      </c>
      <c r="J56" s="20" t="s">
        <v>349</v>
      </c>
      <c r="K56" s="18" t="n">
        <v>0.31121</v>
      </c>
      <c r="L56" s="20" t="n">
        <v>0.18410441</v>
      </c>
      <c r="M56" s="18" t="n">
        <v>0</v>
      </c>
      <c r="N56" s="20" t="n">
        <v>0</v>
      </c>
      <c r="O56" s="18" t="n">
        <v>0</v>
      </c>
      <c r="P56" s="20" t="n">
        <v>0</v>
      </c>
      <c r="Q56" s="18" t="n">
        <v>2.58940422</v>
      </c>
      <c r="R56" s="20" t="n">
        <v>0.5313862499999999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(5717.0/B61*100)</f>
        <v/>
      </c>
      <c r="D61" s="19" t="n">
        <v>808</v>
      </c>
      <c r="E61" s="18" t="n">
        <v>69.95970633</v>
      </c>
      <c r="F61" s="20" t="n">
        <v>1.6099672</v>
      </c>
      <c r="G61" s="18" t="n">
        <v>22.05682985</v>
      </c>
      <c r="H61" s="20" t="n">
        <v>1.63675206</v>
      </c>
      <c r="I61" s="18" t="s">
        <v>349</v>
      </c>
      <c r="J61" s="20" t="s">
        <v>349</v>
      </c>
      <c r="K61" s="18" t="n">
        <v>0.61236854</v>
      </c>
      <c r="L61" s="20" t="n">
        <v>0.30816484</v>
      </c>
      <c r="M61" s="18" t="n">
        <v>0</v>
      </c>
      <c r="N61" s="20" t="n">
        <v>0</v>
      </c>
      <c r="O61" s="18" t="n">
        <v>0</v>
      </c>
      <c r="P61" s="20" t="n">
        <v>0</v>
      </c>
      <c r="Q61" s="18" t="n">
        <v>7.37109528</v>
      </c>
      <c r="R61" s="20" t="n">
        <v>1.02178305</v>
      </c>
    </row>
    <row r="62" spans="1:18">
      <c r="A62" s="15" t="s">
        <v>404</v>
      </c>
      <c r="B62" s="17" t="n">
        <v>4476</v>
      </c>
      <c r="C62" s="18">
        <f>(3932.0/B62*100)</f>
        <v/>
      </c>
      <c r="D62" s="19" t="n">
        <v>544</v>
      </c>
      <c r="E62" s="18" t="n">
        <v>54.26683848</v>
      </c>
      <c r="F62" s="20" t="n">
        <v>2.50190067</v>
      </c>
      <c r="G62" s="18" t="n">
        <v>43.87648134</v>
      </c>
      <c r="H62" s="20" t="n">
        <v>2.54911499</v>
      </c>
      <c r="I62" s="18" t="s">
        <v>349</v>
      </c>
      <c r="J62" s="20" t="s">
        <v>349</v>
      </c>
      <c r="K62" s="18" t="n">
        <v>0</v>
      </c>
      <c r="L62" s="20" t="n">
        <v>0</v>
      </c>
      <c r="M62" s="18" t="n">
        <v>0</v>
      </c>
      <c r="N62" s="20" t="n">
        <v>0</v>
      </c>
      <c r="O62" s="18" t="n">
        <v>0</v>
      </c>
      <c r="P62" s="20" t="n">
        <v>0</v>
      </c>
      <c r="Q62" s="18" t="n">
        <v>1.85668018</v>
      </c>
      <c r="R62" s="20" t="n">
        <v>0.57820805</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(4974.0/B66*100)</f>
        <v/>
      </c>
      <c r="D66" s="19" t="n">
        <v>691</v>
      </c>
      <c r="E66" s="18" t="n">
        <v>61.63924819</v>
      </c>
      <c r="F66" s="20" t="n">
        <v>1.64786512</v>
      </c>
      <c r="G66" s="18" t="n">
        <v>10.88819818</v>
      </c>
      <c r="H66" s="20" t="n">
        <v>1.1399441</v>
      </c>
      <c r="I66" s="18" t="s">
        <v>349</v>
      </c>
      <c r="J66" s="20" t="s">
        <v>349</v>
      </c>
      <c r="K66" s="18" t="n">
        <v>4.14178788</v>
      </c>
      <c r="L66" s="20" t="n">
        <v>0.67891651</v>
      </c>
      <c r="M66" s="18" t="n">
        <v>0</v>
      </c>
      <c r="N66" s="20" t="n">
        <v>0</v>
      </c>
      <c r="O66" s="18" t="n">
        <v>0</v>
      </c>
      <c r="P66" s="20" t="n">
        <v>0</v>
      </c>
      <c r="Q66" s="18" t="n">
        <v>23.33076575</v>
      </c>
      <c r="R66" s="20" t="n">
        <v>1.50379594</v>
      </c>
    </row>
    <row r="67" spans="1:18">
      <c r="A67" s="15" t="s">
        <v>409</v>
      </c>
      <c r="B67" s="17" t="n">
        <v>6971</v>
      </c>
      <c r="C67" s="18">
        <f>(6221.0/B67*100)</f>
        <v/>
      </c>
      <c r="D67" s="19" t="n">
        <v>750</v>
      </c>
      <c r="E67" s="18" t="n">
        <v>75.19115217</v>
      </c>
      <c r="F67" s="20" t="n">
        <v>1.71665503</v>
      </c>
      <c r="G67" s="18" t="n">
        <v>11.3243545</v>
      </c>
      <c r="H67" s="20" t="n">
        <v>1.33948189</v>
      </c>
      <c r="I67" s="18" t="s">
        <v>349</v>
      </c>
      <c r="J67" s="20" t="s">
        <v>349</v>
      </c>
      <c r="K67" s="18" t="n">
        <v>1.55421347</v>
      </c>
      <c r="L67" s="20" t="n">
        <v>0.48601612</v>
      </c>
      <c r="M67" s="18" t="n">
        <v>0</v>
      </c>
      <c r="N67" s="20" t="n">
        <v>0</v>
      </c>
      <c r="O67" s="18" t="n">
        <v>0</v>
      </c>
      <c r="P67" s="20" t="n">
        <v>0</v>
      </c>
      <c r="Q67" s="18" t="n">
        <v>11.93027987</v>
      </c>
      <c r="R67" s="20" t="n">
        <v>1.11480371</v>
      </c>
    </row>
    <row r="68" spans="1:18">
      <c r="A68" s="15" t="s">
        <v>410</v>
      </c>
      <c r="B68" s="17" t="n">
        <v>12083</v>
      </c>
      <c r="C68" s="18">
        <f>(10064.0/B68*100)</f>
        <v/>
      </c>
      <c r="D68" s="19" t="n">
        <v>2019</v>
      </c>
      <c r="E68" s="18" t="n">
        <v>76.07797591000001</v>
      </c>
      <c r="F68" s="20" t="n">
        <v>0.86045001</v>
      </c>
      <c r="G68" s="18" t="n">
        <v>11.02571297</v>
      </c>
      <c r="H68" s="20" t="n">
        <v>0.58847871</v>
      </c>
      <c r="I68" s="18" t="s">
        <v>349</v>
      </c>
      <c r="J68" s="20" t="s">
        <v>349</v>
      </c>
      <c r="K68" s="18" t="n">
        <v>4.19593664</v>
      </c>
      <c r="L68" s="20" t="n">
        <v>0.45594726</v>
      </c>
      <c r="M68" s="18" t="n">
        <v>0</v>
      </c>
      <c r="N68" s="20" t="n">
        <v>0</v>
      </c>
      <c r="O68" s="18" t="n">
        <v>0</v>
      </c>
      <c r="P68" s="20" t="n">
        <v>0</v>
      </c>
      <c r="Q68" s="18" t="n">
        <v>8.70037447</v>
      </c>
      <c r="R68" s="20" t="n">
        <v>0.57418127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(5317.0/B70*100)</f>
        <v/>
      </c>
      <c r="D70" s="19" t="n">
        <v>719</v>
      </c>
      <c r="E70" s="18" t="n">
        <v>63.29553946</v>
      </c>
      <c r="F70" s="20" t="n">
        <v>1.91624353</v>
      </c>
      <c r="G70" s="18" t="n">
        <v>26.73197771</v>
      </c>
      <c r="H70" s="20" t="n">
        <v>1.91887331</v>
      </c>
      <c r="I70" s="18" t="s">
        <v>349</v>
      </c>
      <c r="J70" s="20" t="s">
        <v>349</v>
      </c>
      <c r="K70" s="18" t="n">
        <v>1.65971702</v>
      </c>
      <c r="L70" s="20" t="n">
        <v>0.47171206</v>
      </c>
      <c r="M70" s="18" t="n">
        <v>0</v>
      </c>
      <c r="N70" s="20" t="n">
        <v>0</v>
      </c>
      <c r="O70" s="18" t="n">
        <v>0</v>
      </c>
      <c r="P70" s="20" t="n">
        <v>0</v>
      </c>
      <c r="Q70" s="18" t="n">
        <v>8.312765819999999</v>
      </c>
      <c r="R70" s="20" t="n">
        <v>1.16357425</v>
      </c>
    </row>
    <row r="71" spans="1:18">
      <c r="A71" s="15" t="s">
        <v>413</v>
      </c>
      <c r="B71" s="17" t="n">
        <v>6115</v>
      </c>
      <c r="C71" s="18">
        <f>(5368.0/B71*100)</f>
        <v/>
      </c>
      <c r="D71" s="19" t="n">
        <v>747</v>
      </c>
      <c r="E71" s="18" t="n">
        <v>45.39514942</v>
      </c>
      <c r="F71" s="20" t="n">
        <v>2.00916397</v>
      </c>
      <c r="G71" s="18" t="n">
        <v>51.08595858</v>
      </c>
      <c r="H71" s="20" t="n">
        <v>1.92958593</v>
      </c>
      <c r="I71" s="18" t="s">
        <v>349</v>
      </c>
      <c r="J71" s="20" t="s">
        <v>349</v>
      </c>
      <c r="K71" s="18" t="n">
        <v>0.45476189</v>
      </c>
      <c r="L71" s="20" t="n">
        <v>0.23757921</v>
      </c>
      <c r="M71" s="18" t="n">
        <v>0</v>
      </c>
      <c r="N71" s="20" t="n">
        <v>0</v>
      </c>
      <c r="O71" s="18" t="n">
        <v>0</v>
      </c>
      <c r="P71" s="20" t="n">
        <v>0</v>
      </c>
      <c r="Q71" s="18" t="n">
        <v>3.06413011</v>
      </c>
      <c r="R71" s="20" t="n">
        <v>0.59983105</v>
      </c>
    </row>
    <row r="72" spans="1:18">
      <c r="A72" s="15" t="s">
        <v>414</v>
      </c>
      <c r="B72" s="17" t="n">
        <v>7708</v>
      </c>
      <c r="C72" s="18">
        <f>(6767.0/B72*100)</f>
        <v/>
      </c>
      <c r="D72" s="19" t="n">
        <v>941</v>
      </c>
      <c r="E72" s="18" t="n">
        <v>58.76422907</v>
      </c>
      <c r="F72" s="20" t="n">
        <v>1.75031584</v>
      </c>
      <c r="G72" s="18" t="n">
        <v>37.44027301</v>
      </c>
      <c r="H72" s="20" t="n">
        <v>1.70434474</v>
      </c>
      <c r="I72" s="18" t="s">
        <v>349</v>
      </c>
      <c r="J72" s="20" t="s">
        <v>349</v>
      </c>
      <c r="K72" s="18" t="n">
        <v>0.21243023</v>
      </c>
      <c r="L72" s="20" t="n">
        <v>0.12396522</v>
      </c>
      <c r="M72" s="18" t="n">
        <v>0</v>
      </c>
      <c r="N72" s="20" t="n">
        <v>0</v>
      </c>
      <c r="O72" s="18" t="n">
        <v>0</v>
      </c>
      <c r="P72" s="20" t="n">
        <v>0</v>
      </c>
      <c r="Q72" s="18" t="n">
        <v>3.58306769</v>
      </c>
      <c r="R72" s="20" t="n">
        <v>0.6298037399999999</v>
      </c>
    </row>
    <row r="73" spans="1:18">
      <c r="A73" s="15" t="s">
        <v>415</v>
      </c>
      <c r="B73" s="17" t="n">
        <v>8249</v>
      </c>
      <c r="C73" s="18">
        <f>(7314.0/B73*100)</f>
        <v/>
      </c>
      <c r="D73" s="19" t="n">
        <v>935</v>
      </c>
      <c r="E73" s="18" t="n">
        <v>76.15780669</v>
      </c>
      <c r="F73" s="20" t="n">
        <v>1.43059876</v>
      </c>
      <c r="G73" s="18" t="n">
        <v>16.18472974</v>
      </c>
      <c r="H73" s="20" t="n">
        <v>1.26131606</v>
      </c>
      <c r="I73" s="18" t="s">
        <v>349</v>
      </c>
      <c r="J73" s="20" t="s">
        <v>349</v>
      </c>
      <c r="K73" s="18" t="n">
        <v>0</v>
      </c>
      <c r="L73" s="20" t="n">
        <v>0</v>
      </c>
      <c r="M73" s="18" t="n">
        <v>0</v>
      </c>
      <c r="N73" s="20" t="n">
        <v>0</v>
      </c>
      <c r="O73" s="18" t="n">
        <v>0</v>
      </c>
      <c r="P73" s="20" t="n">
        <v>0</v>
      </c>
      <c r="Q73" s="18" t="n">
        <v>7.65746357</v>
      </c>
      <c r="R73" s="20" t="n">
        <v>1.17589363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(4779.0/B75*100)</f>
        <v/>
      </c>
      <c r="D75" s="19" t="n">
        <v>596</v>
      </c>
      <c r="E75" s="18" t="n">
        <v>73.06218799</v>
      </c>
      <c r="F75" s="20" t="n">
        <v>1.77874397</v>
      </c>
      <c r="G75" s="18" t="n">
        <v>4.43758751</v>
      </c>
      <c r="H75" s="20" t="n">
        <v>0.85384567</v>
      </c>
      <c r="I75" s="18" t="s">
        <v>349</v>
      </c>
      <c r="J75" s="20" t="s">
        <v>349</v>
      </c>
      <c r="K75" s="18" t="n">
        <v>6.78034319</v>
      </c>
      <c r="L75" s="20" t="n">
        <v>1.19013883</v>
      </c>
      <c r="M75" s="18" t="n">
        <v>0</v>
      </c>
      <c r="N75" s="20" t="n">
        <v>0</v>
      </c>
      <c r="O75" s="18" t="n">
        <v>0</v>
      </c>
      <c r="P75" s="20" t="n">
        <v>0</v>
      </c>
      <c r="Q75" s="18" t="n">
        <v>15.71988131</v>
      </c>
      <c r="R75" s="20" t="n">
        <v>1.4535212</v>
      </c>
    </row>
    <row r="76" spans="1:18">
      <c r="A76" s="15" t="s">
        <v>418</v>
      </c>
      <c r="B76" s="17" t="n">
        <v>14167</v>
      </c>
      <c r="C76" s="18">
        <f>(12425.0/B76*100)</f>
        <v/>
      </c>
      <c r="D76" s="19" t="n">
        <v>1742</v>
      </c>
      <c r="E76" s="18" t="n">
        <v>72.96430388</v>
      </c>
      <c r="F76" s="20" t="n">
        <v>1.21622837</v>
      </c>
      <c r="G76" s="18" t="n">
        <v>17.14504884</v>
      </c>
      <c r="H76" s="20" t="n">
        <v>1.01553383</v>
      </c>
      <c r="I76" s="18" t="s">
        <v>349</v>
      </c>
      <c r="J76" s="20" t="s">
        <v>349</v>
      </c>
      <c r="K76" s="18" t="n">
        <v>1.8074538</v>
      </c>
      <c r="L76" s="20" t="n">
        <v>0.40905087</v>
      </c>
      <c r="M76" s="18" t="n">
        <v>0</v>
      </c>
      <c r="N76" s="20" t="n">
        <v>0</v>
      </c>
      <c r="O76" s="18" t="n">
        <v>0</v>
      </c>
      <c r="P76" s="20" t="n">
        <v>0</v>
      </c>
      <c r="Q76" s="18" t="n">
        <v>8.08319348</v>
      </c>
      <c r="R76" s="20" t="n">
        <v>0.71831819</v>
      </c>
    </row>
    <row r="77" spans="1:18">
      <c r="A77" s="15" t="s">
        <v>419</v>
      </c>
      <c r="B77" s="17" t="n">
        <v>6062</v>
      </c>
      <c r="C77" s="18">
        <f>(5380.0/B77*100)</f>
        <v/>
      </c>
      <c r="D77" s="19" t="n">
        <v>682</v>
      </c>
      <c r="E77" s="18" t="n">
        <v>64.51057754</v>
      </c>
      <c r="F77" s="20" t="n">
        <v>1.79375312</v>
      </c>
      <c r="G77" s="18" t="n">
        <v>10.33667076</v>
      </c>
      <c r="H77" s="20" t="n">
        <v>0.99442708</v>
      </c>
      <c r="I77" s="18" t="s">
        <v>349</v>
      </c>
      <c r="J77" s="20" t="s">
        <v>349</v>
      </c>
      <c r="K77" s="18" t="n">
        <v>4.76405204</v>
      </c>
      <c r="L77" s="20" t="n">
        <v>0.90888563</v>
      </c>
      <c r="M77" s="18" t="n">
        <v>0</v>
      </c>
      <c r="N77" s="20" t="n">
        <v>0</v>
      </c>
      <c r="O77" s="18" t="n">
        <v>0</v>
      </c>
      <c r="P77" s="20" t="n">
        <v>0</v>
      </c>
      <c r="Q77" s="18" t="n">
        <v>20.38869966</v>
      </c>
      <c r="R77" s="20" t="n">
        <v>1.66245374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(7799.0/B81*100)</f>
        <v/>
      </c>
      <c r="D81" s="19" t="n">
        <v>1062</v>
      </c>
      <c r="E81" s="18" t="n">
        <v>80.78390157</v>
      </c>
      <c r="F81" s="20" t="n">
        <v>1.643797</v>
      </c>
      <c r="G81" s="18" t="n">
        <v>14.45430364</v>
      </c>
      <c r="H81" s="20" t="n">
        <v>1.40903914</v>
      </c>
      <c r="I81" s="18" t="s">
        <v>349</v>
      </c>
      <c r="J81" s="20" t="s">
        <v>349</v>
      </c>
      <c r="K81" s="18" t="n">
        <v>0.65090039</v>
      </c>
      <c r="L81" s="20" t="n">
        <v>0.28707903</v>
      </c>
      <c r="M81" s="18" t="n">
        <v>0</v>
      </c>
      <c r="N81" s="20" t="n">
        <v>0</v>
      </c>
      <c r="O81" s="18" t="n">
        <v>0</v>
      </c>
      <c r="P81" s="20" t="n">
        <v>0</v>
      </c>
      <c r="Q81" s="18" t="n">
        <v>4.11089441</v>
      </c>
      <c r="R81" s="20" t="n">
        <v>0.75640219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454</v>
      </c>
    </row>
    <row customHeight="1" ht="30" r="4" spans="1:24">
      <c r="A4" s="6" t="n"/>
      <c r="B4" s="7" t="s">
        <v>333</v>
      </c>
      <c r="C4" s="7" t="s">
        <v>334</v>
      </c>
      <c r="D4" s="8" t="s">
        <v>333</v>
      </c>
      <c r="E4" s="9" t="s">
        <v>455</v>
      </c>
      <c r="F4" s="10" t="n"/>
      <c r="G4" s="9" t="s">
        <v>456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14530</v>
      </c>
      <c r="C7" s="18">
        <f>(12742.0/B7*100)</f>
        <v/>
      </c>
      <c r="D7" s="19" t="n">
        <v>1788</v>
      </c>
      <c r="E7" s="18" t="n">
        <v>45.71406499</v>
      </c>
      <c r="F7" s="20" t="n">
        <v>1.42565897</v>
      </c>
      <c r="G7" s="18" t="n">
        <v>22.75524531</v>
      </c>
      <c r="H7" s="20" t="n">
        <v>0.9416101</v>
      </c>
      <c r="I7" s="18" t="n">
        <v>0.80469314</v>
      </c>
      <c r="J7" s="20" t="n">
        <v>0.25616817</v>
      </c>
      <c r="K7" s="18" t="n">
        <v>2.76808965</v>
      </c>
      <c r="L7" s="20" t="n">
        <v>0.44362195</v>
      </c>
      <c r="M7" s="18" t="n">
        <v>1.75694837</v>
      </c>
      <c r="N7" s="20" t="n">
        <v>0.41462157</v>
      </c>
      <c r="O7" s="18" t="s">
        <v>349</v>
      </c>
      <c r="P7" s="20" t="s">
        <v>349</v>
      </c>
      <c r="Q7" s="18" t="n">
        <v>2.24120019</v>
      </c>
      <c r="R7" s="20" t="n">
        <v>0.40524565</v>
      </c>
      <c r="S7" s="18" t="n">
        <v>0.01269552</v>
      </c>
      <c r="T7" s="20" t="n">
        <v>0.00885854</v>
      </c>
      <c r="U7" s="18" t="n">
        <v>0</v>
      </c>
      <c r="V7" s="20" t="n">
        <v>0</v>
      </c>
      <c r="W7" s="18" t="n">
        <v>23.94706282</v>
      </c>
      <c r="X7" s="20" t="n">
        <v>1.2281015</v>
      </c>
    </row>
    <row r="8" spans="1:24">
      <c r="A8" s="15" t="s">
        <v>350</v>
      </c>
      <c r="B8" s="17" t="n">
        <v>7007</v>
      </c>
      <c r="C8" s="18">
        <f>(6174.0/B8*100)</f>
        <v/>
      </c>
      <c r="D8" s="19" t="n">
        <v>833</v>
      </c>
      <c r="E8" s="18" t="n">
        <v>37.60325515</v>
      </c>
      <c r="F8" s="20" t="n">
        <v>2.01598506</v>
      </c>
      <c r="G8" s="18" t="n">
        <v>26.02465806</v>
      </c>
      <c r="H8" s="20" t="n">
        <v>1.71498047</v>
      </c>
      <c r="I8" s="18" t="n">
        <v>0.69920811</v>
      </c>
      <c r="J8" s="20" t="n">
        <v>0.31081162</v>
      </c>
      <c r="K8" s="18" t="n">
        <v>5.55246063</v>
      </c>
      <c r="L8" s="20" t="n">
        <v>0.66949339</v>
      </c>
      <c r="M8" s="18" t="n">
        <v>3.3470718</v>
      </c>
      <c r="N8" s="20" t="n">
        <v>0.6337543</v>
      </c>
      <c r="O8" s="18" t="s">
        <v>349</v>
      </c>
      <c r="P8" s="20" t="s">
        <v>349</v>
      </c>
      <c r="Q8" s="18" t="n">
        <v>2.16741875</v>
      </c>
      <c r="R8" s="20" t="n">
        <v>0.47102999</v>
      </c>
      <c r="S8" s="18" t="n">
        <v>0</v>
      </c>
      <c r="T8" s="20" t="n">
        <v>0</v>
      </c>
      <c r="U8" s="18" t="n">
        <v>0</v>
      </c>
      <c r="V8" s="20" t="n">
        <v>0</v>
      </c>
      <c r="W8" s="18" t="n">
        <v>24.6059275</v>
      </c>
      <c r="X8" s="20" t="n">
        <v>1.51562322</v>
      </c>
    </row>
    <row r="9" spans="1:24">
      <c r="A9" s="15" t="s">
        <v>351</v>
      </c>
      <c r="B9" s="17" t="n">
        <v>9651</v>
      </c>
      <c r="C9" s="18">
        <f>(8535.0/B9*100)</f>
        <v/>
      </c>
      <c r="D9" s="19" t="n">
        <v>1116</v>
      </c>
      <c r="E9" s="18" t="n">
        <v>40.95137751</v>
      </c>
      <c r="F9" s="20" t="n">
        <v>1.5407061</v>
      </c>
      <c r="G9" s="18" t="n">
        <v>18.29843769</v>
      </c>
      <c r="H9" s="20" t="n">
        <v>1.24375747</v>
      </c>
      <c r="I9" s="18" t="n">
        <v>1.64464323</v>
      </c>
      <c r="J9" s="20" t="n">
        <v>0.34397574</v>
      </c>
      <c r="K9" s="18" t="n">
        <v>10.03701968</v>
      </c>
      <c r="L9" s="20" t="n">
        <v>1.072052</v>
      </c>
      <c r="M9" s="18" t="n">
        <v>5.66065137</v>
      </c>
      <c r="N9" s="20" t="n">
        <v>0.65700804</v>
      </c>
      <c r="O9" s="18" t="s">
        <v>349</v>
      </c>
      <c r="P9" s="20" t="s">
        <v>349</v>
      </c>
      <c r="Q9" s="18" t="n">
        <v>1.19081005</v>
      </c>
      <c r="R9" s="20" t="n">
        <v>0.31243983</v>
      </c>
      <c r="S9" s="18" t="n">
        <v>0.480288</v>
      </c>
      <c r="T9" s="20" t="n">
        <v>0.20303656</v>
      </c>
      <c r="U9" s="18" t="n">
        <v>0</v>
      </c>
      <c r="V9" s="20" t="n">
        <v>0</v>
      </c>
      <c r="W9" s="18" t="n">
        <v>21.73677246</v>
      </c>
      <c r="X9" s="20" t="n">
        <v>1.47087017</v>
      </c>
    </row>
    <row r="10" spans="1:24">
      <c r="A10" s="15" t="s">
        <v>352</v>
      </c>
      <c r="B10" s="17" t="n">
        <v>20058</v>
      </c>
      <c r="C10" s="18">
        <f>(17663.0/B10*100)</f>
        <v/>
      </c>
      <c r="D10" s="19" t="n">
        <v>2395</v>
      </c>
      <c r="E10" s="18" t="n">
        <v>49.09397592</v>
      </c>
      <c r="F10" s="20" t="n">
        <v>1.18146604</v>
      </c>
      <c r="G10" s="18" t="n">
        <v>22.2654002</v>
      </c>
      <c r="H10" s="20" t="n">
        <v>1.08761557</v>
      </c>
      <c r="I10" s="18" t="n">
        <v>0.84800274</v>
      </c>
      <c r="J10" s="20" t="n">
        <v>0.21821851</v>
      </c>
      <c r="K10" s="18" t="n">
        <v>4.07937424</v>
      </c>
      <c r="L10" s="20" t="n">
        <v>0.52560627</v>
      </c>
      <c r="M10" s="18" t="n">
        <v>2.96286165</v>
      </c>
      <c r="N10" s="20" t="n">
        <v>0.51895904</v>
      </c>
      <c r="O10" s="18" t="s">
        <v>349</v>
      </c>
      <c r="P10" s="20" t="s">
        <v>349</v>
      </c>
      <c r="Q10" s="18" t="n">
        <v>1.78545999</v>
      </c>
      <c r="R10" s="20" t="n">
        <v>0.41306378</v>
      </c>
      <c r="S10" s="18" t="n">
        <v>0.36834051</v>
      </c>
      <c r="T10" s="20" t="n">
        <v>0.10043601</v>
      </c>
      <c r="U10" s="18" t="n">
        <v>0</v>
      </c>
      <c r="V10" s="20" t="n">
        <v>0</v>
      </c>
      <c r="W10" s="18" t="n">
        <v>18.59658474</v>
      </c>
      <c r="X10" s="20" t="n">
        <v>1.20812006</v>
      </c>
    </row>
    <row r="11" spans="1:24">
      <c r="A11" s="15" t="s">
        <v>353</v>
      </c>
      <c r="B11" s="17" t="n">
        <v>7053</v>
      </c>
      <c r="C11" s="18">
        <f>(6226.0/B11*100)</f>
        <v/>
      </c>
      <c r="D11" s="19" t="n">
        <v>827</v>
      </c>
      <c r="E11" s="18" t="n">
        <v>32.50960688</v>
      </c>
      <c r="F11" s="20" t="n">
        <v>1.89505323</v>
      </c>
      <c r="G11" s="18" t="n">
        <v>18.32252247</v>
      </c>
      <c r="H11" s="20" t="n">
        <v>1.43883972</v>
      </c>
      <c r="I11" s="18" t="n">
        <v>0.11473182</v>
      </c>
      <c r="J11" s="20" t="n">
        <v>0.0682152</v>
      </c>
      <c r="K11" s="18" t="n">
        <v>0.97539973</v>
      </c>
      <c r="L11" s="20" t="n">
        <v>0.29153574</v>
      </c>
      <c r="M11" s="18" t="n">
        <v>0.47187692</v>
      </c>
      <c r="N11" s="20" t="n">
        <v>0.24054502</v>
      </c>
      <c r="O11" s="18" t="s">
        <v>349</v>
      </c>
      <c r="P11" s="20" t="s">
        <v>349</v>
      </c>
      <c r="Q11" s="18" t="n">
        <v>7.69310631</v>
      </c>
      <c r="R11" s="20" t="n">
        <v>1.02332748</v>
      </c>
      <c r="S11" s="18" t="n">
        <v>0</v>
      </c>
      <c r="T11" s="20" t="n">
        <v>0</v>
      </c>
      <c r="U11" s="18" t="n">
        <v>0</v>
      </c>
      <c r="V11" s="20" t="n">
        <v>0</v>
      </c>
      <c r="W11" s="18" t="n">
        <v>39.91275587</v>
      </c>
      <c r="X11" s="20" t="n">
        <v>2.01559097</v>
      </c>
    </row>
    <row r="12" spans="1:24">
      <c r="A12" s="15" t="s">
        <v>354</v>
      </c>
      <c r="B12" s="17" t="n">
        <v>6894</v>
      </c>
      <c r="C12" s="18">
        <f>(6085.0/B12*100)</f>
        <v/>
      </c>
      <c r="D12" s="19" t="n">
        <v>809</v>
      </c>
      <c r="E12" s="18" t="n">
        <v>40.83831125</v>
      </c>
      <c r="F12" s="20" t="n">
        <v>2.05428359</v>
      </c>
      <c r="G12" s="18" t="n">
        <v>13.18504282</v>
      </c>
      <c r="H12" s="20" t="n">
        <v>1.56288646</v>
      </c>
      <c r="I12" s="18" t="n">
        <v>3.47007464</v>
      </c>
      <c r="J12" s="20" t="n">
        <v>1.10412276</v>
      </c>
      <c r="K12" s="18" t="n">
        <v>14.35064821</v>
      </c>
      <c r="L12" s="20" t="n">
        <v>1.47985297</v>
      </c>
      <c r="M12" s="18" t="n">
        <v>5.06489025</v>
      </c>
      <c r="N12" s="20" t="n">
        <v>0.68160217</v>
      </c>
      <c r="O12" s="18" t="s">
        <v>349</v>
      </c>
      <c r="P12" s="20" t="s">
        <v>349</v>
      </c>
      <c r="Q12" s="18" t="n">
        <v>2.44364547</v>
      </c>
      <c r="R12" s="20" t="n">
        <v>0.6772861999999999</v>
      </c>
      <c r="S12" s="18" t="n">
        <v>0.32479633</v>
      </c>
      <c r="T12" s="20" t="n">
        <v>0.26899455</v>
      </c>
      <c r="U12" s="18" t="n">
        <v>0</v>
      </c>
      <c r="V12" s="20" t="n">
        <v>0</v>
      </c>
      <c r="W12" s="18" t="n">
        <v>20.32259104</v>
      </c>
      <c r="X12" s="20" t="n">
        <v>1.44811286</v>
      </c>
    </row>
    <row r="13" spans="1:24">
      <c r="A13" s="15" t="s">
        <v>355</v>
      </c>
      <c r="B13" s="17" t="n">
        <v>7161</v>
      </c>
      <c r="C13" s="18">
        <f>(6346.0/B13*100)</f>
        <v/>
      </c>
      <c r="D13" s="19" t="n">
        <v>815</v>
      </c>
      <c r="E13" s="18" t="n">
        <v>38.79627627</v>
      </c>
      <c r="F13" s="20" t="n">
        <v>2.05687433</v>
      </c>
      <c r="G13" s="18" t="n">
        <v>27.63022104</v>
      </c>
      <c r="H13" s="20" t="n">
        <v>1.89841908</v>
      </c>
      <c r="I13" s="18" t="n">
        <v>1.26420026</v>
      </c>
      <c r="J13" s="20" t="n">
        <v>0.42916259</v>
      </c>
      <c r="K13" s="18" t="n">
        <v>5.09150947</v>
      </c>
      <c r="L13" s="20" t="n">
        <v>0.92722084</v>
      </c>
      <c r="M13" s="18" t="n">
        <v>1.15104384</v>
      </c>
      <c r="N13" s="20" t="n">
        <v>0.41307466</v>
      </c>
      <c r="O13" s="18" t="s">
        <v>349</v>
      </c>
      <c r="P13" s="20" t="s">
        <v>349</v>
      </c>
      <c r="Q13" s="18" t="n">
        <v>2.38984077</v>
      </c>
      <c r="R13" s="20" t="n">
        <v>0.64272536</v>
      </c>
      <c r="S13" s="18" t="n">
        <v>0.25677152</v>
      </c>
      <c r="T13" s="20" t="n">
        <v>0.22173796</v>
      </c>
      <c r="U13" s="18" t="n">
        <v>0</v>
      </c>
      <c r="V13" s="20" t="n">
        <v>0</v>
      </c>
      <c r="W13" s="18" t="n">
        <v>23.42013684</v>
      </c>
      <c r="X13" s="20" t="n">
        <v>1.75152611</v>
      </c>
    </row>
    <row r="14" spans="1:24">
      <c r="A14" s="15" t="s">
        <v>356</v>
      </c>
      <c r="B14" s="17" t="n">
        <v>5587</v>
      </c>
      <c r="C14" s="18">
        <f>(4894.0/B14*100)</f>
        <v/>
      </c>
      <c r="D14" s="19" t="n">
        <v>693</v>
      </c>
      <c r="E14" s="18" t="n">
        <v>43.83604631</v>
      </c>
      <c r="F14" s="20" t="n">
        <v>2.17509038</v>
      </c>
      <c r="G14" s="18" t="n">
        <v>13.88347601</v>
      </c>
      <c r="H14" s="20" t="n">
        <v>1.3809448</v>
      </c>
      <c r="I14" s="18" t="n">
        <v>3.69661763</v>
      </c>
      <c r="J14" s="20" t="n">
        <v>0.79745677</v>
      </c>
      <c r="K14" s="18" t="n">
        <v>11.1942303</v>
      </c>
      <c r="L14" s="20" t="n">
        <v>1.30165863</v>
      </c>
      <c r="M14" s="18" t="n">
        <v>5.13154374</v>
      </c>
      <c r="N14" s="20" t="n">
        <v>0.84973414</v>
      </c>
      <c r="O14" s="18" t="s">
        <v>349</v>
      </c>
      <c r="P14" s="20" t="s">
        <v>349</v>
      </c>
      <c r="Q14" s="18" t="n">
        <v>1.52021378</v>
      </c>
      <c r="R14" s="20" t="n">
        <v>0.56279091</v>
      </c>
      <c r="S14" s="18" t="n">
        <v>0.226179</v>
      </c>
      <c r="T14" s="20" t="n">
        <v>0.16165583</v>
      </c>
      <c r="U14" s="18" t="n">
        <v>0</v>
      </c>
      <c r="V14" s="20" t="n">
        <v>0</v>
      </c>
      <c r="W14" s="18" t="n">
        <v>20.51169322</v>
      </c>
      <c r="X14" s="20" t="n">
        <v>2.05090989</v>
      </c>
    </row>
    <row r="15" spans="1:24">
      <c r="A15" s="15" t="s">
        <v>357</v>
      </c>
      <c r="B15" s="17" t="n">
        <v>5882</v>
      </c>
      <c r="C15" s="18">
        <f>(5177.0/B15*100)</f>
        <v/>
      </c>
      <c r="D15" s="19" t="n">
        <v>705</v>
      </c>
      <c r="E15" s="18" t="n">
        <v>36.84988567</v>
      </c>
      <c r="F15" s="20" t="n">
        <v>1.82637511</v>
      </c>
      <c r="G15" s="18" t="n">
        <v>21.85312728</v>
      </c>
      <c r="H15" s="20" t="n">
        <v>1.57176634</v>
      </c>
      <c r="I15" s="18" t="n">
        <v>0.5699672099999999</v>
      </c>
      <c r="J15" s="20" t="n">
        <v>0.28272922</v>
      </c>
      <c r="K15" s="18" t="n">
        <v>5.67344282</v>
      </c>
      <c r="L15" s="20" t="n">
        <v>0.85643518</v>
      </c>
      <c r="M15" s="18" t="n">
        <v>1.3933333</v>
      </c>
      <c r="N15" s="20" t="n">
        <v>0.34412286</v>
      </c>
      <c r="O15" s="18" t="s">
        <v>349</v>
      </c>
      <c r="P15" s="20" t="s">
        <v>349</v>
      </c>
      <c r="Q15" s="18" t="n">
        <v>1.6185405</v>
      </c>
      <c r="R15" s="20" t="n">
        <v>0.52495507</v>
      </c>
      <c r="S15" s="18" t="n">
        <v>0</v>
      </c>
      <c r="T15" s="20" t="n">
        <v>0</v>
      </c>
      <c r="U15" s="18" t="n">
        <v>0</v>
      </c>
      <c r="V15" s="20" t="n">
        <v>0</v>
      </c>
      <c r="W15" s="18" t="n">
        <v>32.04170322</v>
      </c>
      <c r="X15" s="20" t="n">
        <v>1.76398475</v>
      </c>
    </row>
    <row r="16" spans="1:24">
      <c r="A16" s="15" t="s">
        <v>358</v>
      </c>
      <c r="B16" s="17" t="n">
        <v>6108</v>
      </c>
      <c r="C16" s="18">
        <f>(5356.0/B16*100)</f>
        <v/>
      </c>
      <c r="D16" s="19" t="n">
        <v>752</v>
      </c>
      <c r="E16" s="18" t="n">
        <v>34.55363052</v>
      </c>
      <c r="F16" s="20" t="n">
        <v>1.85843292</v>
      </c>
      <c r="G16" s="18" t="n">
        <v>15.7236615</v>
      </c>
      <c r="H16" s="20" t="n">
        <v>1.56488739</v>
      </c>
      <c r="I16" s="18" t="n">
        <v>0.51249467</v>
      </c>
      <c r="J16" s="20" t="n">
        <v>0.32070347</v>
      </c>
      <c r="K16" s="18" t="n">
        <v>9.00387656</v>
      </c>
      <c r="L16" s="20" t="n">
        <v>0.99231954</v>
      </c>
      <c r="M16" s="18" t="n">
        <v>4.47417727</v>
      </c>
      <c r="N16" s="20" t="n">
        <v>0.58834643</v>
      </c>
      <c r="O16" s="18" t="s">
        <v>349</v>
      </c>
      <c r="P16" s="20" t="s">
        <v>349</v>
      </c>
      <c r="Q16" s="18" t="n">
        <v>4.57848473</v>
      </c>
      <c r="R16" s="20" t="n">
        <v>0.86504876</v>
      </c>
      <c r="S16" s="18" t="n">
        <v>0</v>
      </c>
      <c r="T16" s="20" t="n">
        <v>0</v>
      </c>
      <c r="U16" s="18" t="n">
        <v>0</v>
      </c>
      <c r="V16" s="20" t="n">
        <v>0</v>
      </c>
      <c r="W16" s="18" t="n">
        <v>31.15367476</v>
      </c>
      <c r="X16" s="20" t="n">
        <v>1.71709471</v>
      </c>
    </row>
    <row r="17" spans="1:24">
      <c r="A17" s="15" t="s">
        <v>359</v>
      </c>
      <c r="B17" s="17" t="n">
        <v>6504</v>
      </c>
      <c r="C17" s="18">
        <f>(5735.0/B17*100)</f>
        <v/>
      </c>
      <c r="D17" s="19" t="n">
        <v>769</v>
      </c>
      <c r="E17" s="18" t="n">
        <v>36.95119642</v>
      </c>
      <c r="F17" s="20" t="n">
        <v>1.62913743</v>
      </c>
      <c r="G17" s="18" t="n">
        <v>19.31166402</v>
      </c>
      <c r="H17" s="20" t="n">
        <v>1.34663261</v>
      </c>
      <c r="I17" s="18" t="n">
        <v>1.12824331</v>
      </c>
      <c r="J17" s="20" t="n">
        <v>0.36856487</v>
      </c>
      <c r="K17" s="18" t="n">
        <v>6.30602178</v>
      </c>
      <c r="L17" s="20" t="n">
        <v>1.02496474</v>
      </c>
      <c r="M17" s="18" t="n">
        <v>3.3254011</v>
      </c>
      <c r="N17" s="20" t="n">
        <v>0.57977988</v>
      </c>
      <c r="O17" s="18" t="s">
        <v>349</v>
      </c>
      <c r="P17" s="20" t="s">
        <v>349</v>
      </c>
      <c r="Q17" s="18" t="n">
        <v>2.04753172</v>
      </c>
      <c r="R17" s="20" t="n">
        <v>0.615986</v>
      </c>
      <c r="S17" s="18" t="n">
        <v>0</v>
      </c>
      <c r="T17" s="20" t="n">
        <v>0</v>
      </c>
      <c r="U17" s="18" t="n">
        <v>0</v>
      </c>
      <c r="V17" s="20" t="n">
        <v>0</v>
      </c>
      <c r="W17" s="18" t="n">
        <v>30.92994166</v>
      </c>
      <c r="X17" s="20" t="n">
        <v>1.68768154</v>
      </c>
    </row>
    <row r="18" spans="1:24">
      <c r="A18" s="15" t="s">
        <v>360</v>
      </c>
      <c r="B18" s="17" t="n">
        <v>5532</v>
      </c>
      <c r="C18" s="18">
        <f>(4875.0/B18*100)</f>
        <v/>
      </c>
      <c r="D18" s="19" t="n">
        <v>657</v>
      </c>
      <c r="E18" s="18" t="n">
        <v>40.40831268</v>
      </c>
      <c r="F18" s="20" t="n">
        <v>2.16015658</v>
      </c>
      <c r="G18" s="18" t="n">
        <v>20.43922172</v>
      </c>
      <c r="H18" s="20" t="n">
        <v>1.50383676</v>
      </c>
      <c r="I18" s="18" t="n">
        <v>0.26646102</v>
      </c>
      <c r="J18" s="20" t="n">
        <v>0.19293184</v>
      </c>
      <c r="K18" s="18" t="n">
        <v>3.76576257</v>
      </c>
      <c r="L18" s="20" t="n">
        <v>0.72418258</v>
      </c>
      <c r="M18" s="18" t="n">
        <v>7.67403926</v>
      </c>
      <c r="N18" s="20" t="n">
        <v>1.271327</v>
      </c>
      <c r="O18" s="18" t="s">
        <v>349</v>
      </c>
      <c r="P18" s="20" t="s">
        <v>349</v>
      </c>
      <c r="Q18" s="18" t="n">
        <v>3.9012779</v>
      </c>
      <c r="R18" s="20" t="n">
        <v>0.64855438</v>
      </c>
      <c r="S18" s="18" t="n">
        <v>0.13192733</v>
      </c>
      <c r="T18" s="20" t="n">
        <v>0.13307868</v>
      </c>
      <c r="U18" s="18" t="n">
        <v>0</v>
      </c>
      <c r="V18" s="20" t="n">
        <v>0</v>
      </c>
      <c r="W18" s="18" t="n">
        <v>23.41299752</v>
      </c>
      <c r="X18" s="20" t="n">
        <v>1.99800637</v>
      </c>
    </row>
    <row r="19" spans="1:24">
      <c r="A19" s="15" t="s">
        <v>361</v>
      </c>
      <c r="B19" s="17" t="n">
        <v>5658</v>
      </c>
      <c r="C19" s="18">
        <f>(4979.0/B19*100)</f>
        <v/>
      </c>
      <c r="D19" s="19" t="n">
        <v>679</v>
      </c>
      <c r="E19" s="18" t="n">
        <v>30.02909645</v>
      </c>
      <c r="F19" s="20" t="n">
        <v>1.98257383</v>
      </c>
      <c r="G19" s="18" t="n">
        <v>25.59563556</v>
      </c>
      <c r="H19" s="20" t="n">
        <v>1.89599073</v>
      </c>
      <c r="I19" s="18" t="n">
        <v>1.94182641</v>
      </c>
      <c r="J19" s="20" t="n">
        <v>0.5442485500000001</v>
      </c>
      <c r="K19" s="18" t="n">
        <v>8.373313680000001</v>
      </c>
      <c r="L19" s="20" t="n">
        <v>1.11143865</v>
      </c>
      <c r="M19" s="18" t="n">
        <v>2.8874062</v>
      </c>
      <c r="N19" s="20" t="n">
        <v>0.79591453</v>
      </c>
      <c r="O19" s="18" t="s">
        <v>349</v>
      </c>
      <c r="P19" s="20" t="s">
        <v>349</v>
      </c>
      <c r="Q19" s="18" t="n">
        <v>4.53020665</v>
      </c>
      <c r="R19" s="20" t="n">
        <v>0.9908344</v>
      </c>
      <c r="S19" s="18" t="n">
        <v>0.14696969</v>
      </c>
      <c r="T19" s="20" t="n">
        <v>0.1041091</v>
      </c>
      <c r="U19" s="18" t="n">
        <v>0</v>
      </c>
      <c r="V19" s="20" t="n">
        <v>0</v>
      </c>
      <c r="W19" s="18" t="n">
        <v>26.49554537</v>
      </c>
      <c r="X19" s="20" t="n">
        <v>2.02372899</v>
      </c>
    </row>
    <row r="20" spans="1:24">
      <c r="A20" s="15" t="s">
        <v>362</v>
      </c>
      <c r="B20" s="17" t="n">
        <v>3371</v>
      </c>
      <c r="C20" s="18">
        <f>(2954.0/B20*100)</f>
        <v/>
      </c>
      <c r="D20" s="19" t="n">
        <v>417</v>
      </c>
      <c r="E20" s="18" t="n">
        <v>56.53155659</v>
      </c>
      <c r="F20" s="20" t="n">
        <v>2.05466905</v>
      </c>
      <c r="G20" s="18" t="n">
        <v>16.73194229</v>
      </c>
      <c r="H20" s="20" t="n">
        <v>1.98855528</v>
      </c>
      <c r="I20" s="18" t="n">
        <v>1.64006677</v>
      </c>
      <c r="J20" s="20" t="n">
        <v>0.68489374</v>
      </c>
      <c r="K20" s="18" t="n">
        <v>5.51635078</v>
      </c>
      <c r="L20" s="20" t="n">
        <v>0.94113492</v>
      </c>
      <c r="M20" s="18" t="n">
        <v>2.64141375</v>
      </c>
      <c r="N20" s="20" t="n">
        <v>0.75258854</v>
      </c>
      <c r="O20" s="18" t="s">
        <v>349</v>
      </c>
      <c r="P20" s="20" t="s">
        <v>349</v>
      </c>
      <c r="Q20" s="18" t="n">
        <v>3.20747193</v>
      </c>
      <c r="R20" s="20" t="n">
        <v>1.00732225</v>
      </c>
      <c r="S20" s="18" t="n">
        <v>0.36660047</v>
      </c>
      <c r="T20" s="20" t="n">
        <v>0.35919249</v>
      </c>
      <c r="U20" s="18" t="n">
        <v>0</v>
      </c>
      <c r="V20" s="20" t="n">
        <v>0</v>
      </c>
      <c r="W20" s="18" t="n">
        <v>13.36459742</v>
      </c>
      <c r="X20" s="20" t="n">
        <v>1.75862029</v>
      </c>
    </row>
    <row r="21" spans="1:24">
      <c r="A21" s="15" t="s">
        <v>363</v>
      </c>
      <c r="B21" s="17" t="n">
        <v>5741</v>
      </c>
      <c r="C21" s="18">
        <f>(4821.0/B21*100)</f>
        <v/>
      </c>
      <c r="D21" s="19" t="n">
        <v>920</v>
      </c>
      <c r="E21" s="18" t="n">
        <v>38.6529669</v>
      </c>
      <c r="F21" s="20" t="n">
        <v>1.4690106</v>
      </c>
      <c r="G21" s="18" t="n">
        <v>16.64083947</v>
      </c>
      <c r="H21" s="20" t="n">
        <v>1.39546585</v>
      </c>
      <c r="I21" s="18" t="n">
        <v>0.34717833</v>
      </c>
      <c r="J21" s="20" t="n">
        <v>0.12189977</v>
      </c>
      <c r="K21" s="18" t="n">
        <v>20.03564794</v>
      </c>
      <c r="L21" s="20" t="n">
        <v>1.27202382</v>
      </c>
      <c r="M21" s="18" t="n">
        <v>2.04215868</v>
      </c>
      <c r="N21" s="20" t="n">
        <v>0.4909478</v>
      </c>
      <c r="O21" s="18" t="s">
        <v>349</v>
      </c>
      <c r="P21" s="20" t="s">
        <v>349</v>
      </c>
      <c r="Q21" s="18" t="n">
        <v>1.95700269</v>
      </c>
      <c r="R21" s="20" t="n">
        <v>0.47348777</v>
      </c>
      <c r="S21" s="18" t="n">
        <v>0</v>
      </c>
      <c r="T21" s="20" t="n">
        <v>0</v>
      </c>
      <c r="U21" s="18" t="n">
        <v>0</v>
      </c>
      <c r="V21" s="20" t="n">
        <v>0</v>
      </c>
      <c r="W21" s="18" t="n">
        <v>20.32420599</v>
      </c>
      <c r="X21" s="20" t="n">
        <v>1.28505578</v>
      </c>
    </row>
    <row r="22" spans="1:24">
      <c r="A22" s="15" t="s">
        <v>364</v>
      </c>
      <c r="B22" s="17" t="n">
        <v>6598</v>
      </c>
      <c r="C22" s="18">
        <f>(5801.0/B22*100)</f>
        <v/>
      </c>
      <c r="D22" s="19" t="n">
        <v>797</v>
      </c>
      <c r="E22" s="18" t="n">
        <v>30.20106659</v>
      </c>
      <c r="F22" s="20" t="n">
        <v>1.77987188</v>
      </c>
      <c r="G22" s="18" t="n">
        <v>24.92307116</v>
      </c>
      <c r="H22" s="20" t="n">
        <v>1.64407073</v>
      </c>
      <c r="I22" s="18" t="n">
        <v>1.08660613</v>
      </c>
      <c r="J22" s="20" t="n">
        <v>0.3363781</v>
      </c>
      <c r="K22" s="18" t="n">
        <v>7.04747256</v>
      </c>
      <c r="L22" s="20" t="n">
        <v>1.06996196</v>
      </c>
      <c r="M22" s="18" t="n">
        <v>3.49420781</v>
      </c>
      <c r="N22" s="20" t="n">
        <v>0.82830841</v>
      </c>
      <c r="O22" s="18" t="s">
        <v>349</v>
      </c>
      <c r="P22" s="20" t="s">
        <v>349</v>
      </c>
      <c r="Q22" s="18" t="n">
        <v>4.93470365</v>
      </c>
      <c r="R22" s="20" t="n">
        <v>0.74268757</v>
      </c>
      <c r="S22" s="18" t="n">
        <v>0.19429816</v>
      </c>
      <c r="T22" s="20" t="n">
        <v>0.19318697</v>
      </c>
      <c r="U22" s="18" t="n">
        <v>0</v>
      </c>
      <c r="V22" s="20" t="n">
        <v>0</v>
      </c>
      <c r="W22" s="18" t="n">
        <v>28.11857393</v>
      </c>
      <c r="X22" s="20" t="n">
        <v>1.66710063</v>
      </c>
    </row>
    <row r="23" spans="1:24">
      <c r="A23" s="15" t="s">
        <v>365</v>
      </c>
      <c r="B23" s="17" t="n">
        <v>11583</v>
      </c>
      <c r="C23" s="18">
        <f>(10174.0/B23*100)</f>
        <v/>
      </c>
      <c r="D23" s="19" t="n">
        <v>1409</v>
      </c>
      <c r="E23" s="18" t="n">
        <v>30.14272086</v>
      </c>
      <c r="F23" s="20" t="n">
        <v>1.87232067</v>
      </c>
      <c r="G23" s="18" t="n">
        <v>16.86703573</v>
      </c>
      <c r="H23" s="20" t="n">
        <v>1.42917633</v>
      </c>
      <c r="I23" s="18" t="n">
        <v>1.44265784</v>
      </c>
      <c r="J23" s="20" t="n">
        <v>0.3638005</v>
      </c>
      <c r="K23" s="18" t="n">
        <v>9.11532555</v>
      </c>
      <c r="L23" s="20" t="n">
        <v>1.15955742</v>
      </c>
      <c r="M23" s="18" t="n">
        <v>10.37437832</v>
      </c>
      <c r="N23" s="20" t="n">
        <v>1.33858909</v>
      </c>
      <c r="O23" s="18" t="s">
        <v>349</v>
      </c>
      <c r="P23" s="20" t="s">
        <v>349</v>
      </c>
      <c r="Q23" s="18" t="n">
        <v>3.62986115</v>
      </c>
      <c r="R23" s="20" t="n">
        <v>0.83111799</v>
      </c>
      <c r="S23" s="18" t="n">
        <v>0</v>
      </c>
      <c r="T23" s="20" t="n">
        <v>0</v>
      </c>
      <c r="U23" s="18" t="n">
        <v>0</v>
      </c>
      <c r="V23" s="20" t="n">
        <v>0</v>
      </c>
      <c r="W23" s="18" t="n">
        <v>28.42802056</v>
      </c>
      <c r="X23" s="20" t="n">
        <v>1.75136244</v>
      </c>
    </row>
    <row r="24" spans="1:24">
      <c r="A24" s="15" t="s">
        <v>366</v>
      </c>
      <c r="B24" s="17" t="n">
        <v>6647</v>
      </c>
      <c r="C24" s="18">
        <f>(5822.0/B24*100)</f>
        <v/>
      </c>
      <c r="D24" s="19" t="n">
        <v>825</v>
      </c>
      <c r="E24" s="18" t="n">
        <v>23.66685822</v>
      </c>
      <c r="F24" s="20" t="n">
        <v>1.74248497</v>
      </c>
      <c r="G24" s="18" t="n">
        <v>19.56998732</v>
      </c>
      <c r="H24" s="20" t="n">
        <v>1.5692434</v>
      </c>
      <c r="I24" s="18" t="n">
        <v>0.92038853</v>
      </c>
      <c r="J24" s="20" t="n">
        <v>0.3363128</v>
      </c>
      <c r="K24" s="18" t="n">
        <v>8.09030888</v>
      </c>
      <c r="L24" s="20" t="n">
        <v>0.97681389</v>
      </c>
      <c r="M24" s="18" t="n">
        <v>6.69324915</v>
      </c>
      <c r="N24" s="20" t="n">
        <v>1.16497477</v>
      </c>
      <c r="O24" s="18" t="s">
        <v>349</v>
      </c>
      <c r="P24" s="20" t="s">
        <v>349</v>
      </c>
      <c r="Q24" s="18" t="n">
        <v>2.53292049</v>
      </c>
      <c r="R24" s="20" t="n">
        <v>0.7137554</v>
      </c>
      <c r="S24" s="18" t="n">
        <v>0.11794618</v>
      </c>
      <c r="T24" s="20" t="n">
        <v>0.11825832</v>
      </c>
      <c r="U24" s="18" t="n">
        <v>0</v>
      </c>
      <c r="V24" s="20" t="n">
        <v>0</v>
      </c>
      <c r="W24" s="18" t="n">
        <v>38.40834123</v>
      </c>
      <c r="X24" s="20" t="n">
        <v>1.84345712</v>
      </c>
    </row>
    <row r="25" spans="1:24">
      <c r="A25" s="15" t="s">
        <v>367</v>
      </c>
      <c r="B25" s="17" t="n">
        <v>5581</v>
      </c>
      <c r="C25" s="18">
        <f>(4887.0/B25*100)</f>
        <v/>
      </c>
      <c r="D25" s="19" t="n">
        <v>694</v>
      </c>
      <c r="E25" s="18" t="n">
        <v>20.45889676</v>
      </c>
      <c r="F25" s="20" t="n">
        <v>1.51707583</v>
      </c>
      <c r="G25" s="18" t="n">
        <v>17.9050919</v>
      </c>
      <c r="H25" s="20" t="n">
        <v>1.3379378</v>
      </c>
      <c r="I25" s="18" t="n">
        <v>2.7831613</v>
      </c>
      <c r="J25" s="20" t="n">
        <v>0.68772769</v>
      </c>
      <c r="K25" s="18" t="n">
        <v>14.41130146</v>
      </c>
      <c r="L25" s="20" t="n">
        <v>1.41472036</v>
      </c>
      <c r="M25" s="18" t="n">
        <v>26.01272698</v>
      </c>
      <c r="N25" s="20" t="n">
        <v>1.84409204</v>
      </c>
      <c r="O25" s="18" t="s">
        <v>349</v>
      </c>
      <c r="P25" s="20" t="s">
        <v>349</v>
      </c>
      <c r="Q25" s="18" t="n">
        <v>2.20340783</v>
      </c>
      <c r="R25" s="20" t="n">
        <v>0.55809708</v>
      </c>
      <c r="S25" s="18" t="n">
        <v>0</v>
      </c>
      <c r="T25" s="20" t="n">
        <v>0</v>
      </c>
      <c r="U25" s="18" t="n">
        <v>0</v>
      </c>
      <c r="V25" s="20" t="n">
        <v>0</v>
      </c>
      <c r="W25" s="18" t="n">
        <v>16.22541378</v>
      </c>
      <c r="X25" s="20" t="n">
        <v>1.58010272</v>
      </c>
    </row>
    <row r="26" spans="1:24">
      <c r="A26" s="15" t="s">
        <v>368</v>
      </c>
      <c r="B26" s="17" t="n">
        <v>4869</v>
      </c>
      <c r="C26" s="18">
        <f>(4292.0/B26*100)</f>
        <v/>
      </c>
      <c r="D26" s="19" t="n">
        <v>577</v>
      </c>
      <c r="E26" s="18" t="n">
        <v>38.96466035</v>
      </c>
      <c r="F26" s="20" t="n">
        <v>2.29450037</v>
      </c>
      <c r="G26" s="18" t="n">
        <v>26.28906335</v>
      </c>
      <c r="H26" s="20" t="n">
        <v>2.07888027</v>
      </c>
      <c r="I26" s="18" t="n">
        <v>4.64053027</v>
      </c>
      <c r="J26" s="20" t="n">
        <v>1.05049801</v>
      </c>
      <c r="K26" s="18" t="n">
        <v>13.46659887</v>
      </c>
      <c r="L26" s="20" t="n">
        <v>1.59386998</v>
      </c>
      <c r="M26" s="18" t="n">
        <v>3.82445102</v>
      </c>
      <c r="N26" s="20" t="n">
        <v>0.84536874</v>
      </c>
      <c r="O26" s="18" t="s">
        <v>349</v>
      </c>
      <c r="P26" s="20" t="s">
        <v>349</v>
      </c>
      <c r="Q26" s="18" t="n">
        <v>0.71537649</v>
      </c>
      <c r="R26" s="20" t="n">
        <v>0.31265159</v>
      </c>
      <c r="S26" s="18" t="n">
        <v>0</v>
      </c>
      <c r="T26" s="20" t="n">
        <v>0</v>
      </c>
      <c r="U26" s="18" t="n">
        <v>0</v>
      </c>
      <c r="V26" s="20" t="n">
        <v>0</v>
      </c>
      <c r="W26" s="18" t="n">
        <v>12.09931966</v>
      </c>
      <c r="X26" s="20" t="n">
        <v>1.43289499</v>
      </c>
    </row>
    <row r="27" spans="1:24">
      <c r="A27" s="15" t="s">
        <v>369</v>
      </c>
      <c r="B27" s="17" t="n">
        <v>5299</v>
      </c>
      <c r="C27" s="18">
        <f>(4687.0/B27*100)</f>
        <v/>
      </c>
      <c r="D27" s="19" t="n">
        <v>612</v>
      </c>
      <c r="E27" s="18" t="n">
        <v>43.22133991</v>
      </c>
      <c r="F27" s="20" t="n">
        <v>2.13473195</v>
      </c>
      <c r="G27" s="18" t="n">
        <v>16.74231272</v>
      </c>
      <c r="H27" s="20" t="n">
        <v>1.60274197</v>
      </c>
      <c r="I27" s="18" t="n">
        <v>1.1300019</v>
      </c>
      <c r="J27" s="20" t="n">
        <v>0.43033619</v>
      </c>
      <c r="K27" s="18" t="n">
        <v>6.00015747</v>
      </c>
      <c r="L27" s="20" t="n">
        <v>1.16145095</v>
      </c>
      <c r="M27" s="18" t="n">
        <v>3.75973499</v>
      </c>
      <c r="N27" s="20" t="n">
        <v>0.75794583</v>
      </c>
      <c r="O27" s="18" t="s">
        <v>349</v>
      </c>
      <c r="P27" s="20" t="s">
        <v>349</v>
      </c>
      <c r="Q27" s="18" t="n">
        <v>2.63384939</v>
      </c>
      <c r="R27" s="20" t="n">
        <v>0.69120009</v>
      </c>
      <c r="S27" s="18" t="n">
        <v>0</v>
      </c>
      <c r="T27" s="20" t="n">
        <v>0</v>
      </c>
      <c r="U27" s="18" t="n">
        <v>0</v>
      </c>
      <c r="V27" s="20" t="n">
        <v>0</v>
      </c>
      <c r="W27" s="18" t="n">
        <v>26.51260361</v>
      </c>
      <c r="X27" s="20" t="n">
        <v>1.90583606</v>
      </c>
    </row>
    <row r="28" spans="1:24">
      <c r="A28" s="15" t="s">
        <v>370</v>
      </c>
      <c r="B28" s="17" t="n">
        <v>7568</v>
      </c>
      <c r="C28" s="18">
        <f>(6764.0/B28*100)</f>
        <v/>
      </c>
      <c r="D28" s="19" t="n">
        <v>804</v>
      </c>
      <c r="E28" s="18" t="n">
        <v>34.41922339</v>
      </c>
      <c r="F28" s="20" t="n">
        <v>2.11549485</v>
      </c>
      <c r="G28" s="18" t="n">
        <v>41.04383083</v>
      </c>
      <c r="H28" s="20" t="n">
        <v>1.79445107</v>
      </c>
      <c r="I28" s="18" t="n">
        <v>0.17350338</v>
      </c>
      <c r="J28" s="20" t="n">
        <v>0.13369037</v>
      </c>
      <c r="K28" s="18" t="n">
        <v>0.98526418</v>
      </c>
      <c r="L28" s="20" t="n">
        <v>0.42347581</v>
      </c>
      <c r="M28" s="18" t="n">
        <v>0.15015612</v>
      </c>
      <c r="N28" s="20" t="n">
        <v>0.10656487</v>
      </c>
      <c r="O28" s="18" t="s">
        <v>349</v>
      </c>
      <c r="P28" s="20" t="s">
        <v>349</v>
      </c>
      <c r="Q28" s="18" t="n">
        <v>1.14668225</v>
      </c>
      <c r="R28" s="20" t="n">
        <v>0.35318849</v>
      </c>
      <c r="S28" s="18" t="n">
        <v>0.41976611</v>
      </c>
      <c r="T28" s="20" t="n">
        <v>0.25018409</v>
      </c>
      <c r="U28" s="18" t="n">
        <v>0</v>
      </c>
      <c r="V28" s="20" t="n">
        <v>0</v>
      </c>
      <c r="W28" s="18" t="n">
        <v>21.66157375</v>
      </c>
      <c r="X28" s="20" t="n">
        <v>1.90130162</v>
      </c>
    </row>
    <row r="29" spans="1:24">
      <c r="A29" s="15" t="s">
        <v>371</v>
      </c>
      <c r="B29" s="17" t="n">
        <v>5385</v>
      </c>
      <c r="C29" s="18">
        <f>(4744.0/B29*100)</f>
        <v/>
      </c>
      <c r="D29" s="19" t="n">
        <v>641</v>
      </c>
      <c r="E29" s="18" t="n">
        <v>57.75169318</v>
      </c>
      <c r="F29" s="20" t="n">
        <v>1.90048723</v>
      </c>
      <c r="G29" s="18" t="n">
        <v>18.52738057</v>
      </c>
      <c r="H29" s="20" t="n">
        <v>1.32862766</v>
      </c>
      <c r="I29" s="18" t="n">
        <v>0.33726872</v>
      </c>
      <c r="J29" s="20" t="n">
        <v>0.24610468</v>
      </c>
      <c r="K29" s="18" t="n">
        <v>6.91258495</v>
      </c>
      <c r="L29" s="20" t="n">
        <v>1.02582389</v>
      </c>
      <c r="M29" s="18" t="n">
        <v>2.89069223</v>
      </c>
      <c r="N29" s="20" t="n">
        <v>0.59042466</v>
      </c>
      <c r="O29" s="18" t="s">
        <v>349</v>
      </c>
      <c r="P29" s="20" t="s">
        <v>349</v>
      </c>
      <c r="Q29" s="18" t="n">
        <v>1.01771264</v>
      </c>
      <c r="R29" s="20" t="n">
        <v>0.43494195</v>
      </c>
      <c r="S29" s="18" t="n">
        <v>0.27340501</v>
      </c>
      <c r="T29" s="20" t="n">
        <v>0.19872301</v>
      </c>
      <c r="U29" s="18" t="n">
        <v>0</v>
      </c>
      <c r="V29" s="20" t="n">
        <v>0</v>
      </c>
      <c r="W29" s="18" t="n">
        <v>12.2892627</v>
      </c>
      <c r="X29" s="20" t="n">
        <v>1.24640247</v>
      </c>
    </row>
    <row r="30" spans="1:24">
      <c r="A30" s="15" t="s">
        <v>372</v>
      </c>
      <c r="B30" s="17" t="n">
        <v>4520</v>
      </c>
      <c r="C30" s="18">
        <f>(3970.0/B30*100)</f>
        <v/>
      </c>
      <c r="D30" s="19" t="n">
        <v>550</v>
      </c>
      <c r="E30" s="18" t="n">
        <v>39.30967872</v>
      </c>
      <c r="F30" s="20" t="n">
        <v>1.95464237</v>
      </c>
      <c r="G30" s="18" t="n">
        <v>21.2808334</v>
      </c>
      <c r="H30" s="20" t="n">
        <v>1.68791709</v>
      </c>
      <c r="I30" s="18" t="n">
        <v>0.3384385</v>
      </c>
      <c r="J30" s="20" t="n">
        <v>0.23774968</v>
      </c>
      <c r="K30" s="18" t="n">
        <v>2.62171264</v>
      </c>
      <c r="L30" s="20" t="n">
        <v>0.62141546</v>
      </c>
      <c r="M30" s="18" t="n">
        <v>2.35816198</v>
      </c>
      <c r="N30" s="20" t="n">
        <v>0.63589177</v>
      </c>
      <c r="O30" s="18" t="s">
        <v>349</v>
      </c>
      <c r="P30" s="20" t="s">
        <v>349</v>
      </c>
      <c r="Q30" s="18" t="n">
        <v>3.42689019</v>
      </c>
      <c r="R30" s="20" t="n">
        <v>0.71806272</v>
      </c>
      <c r="S30" s="18" t="n">
        <v>0.24329511</v>
      </c>
      <c r="T30" s="20" t="n">
        <v>0.30372016</v>
      </c>
      <c r="U30" s="18" t="n">
        <v>0</v>
      </c>
      <c r="V30" s="20" t="n">
        <v>0</v>
      </c>
      <c r="W30" s="18" t="n">
        <v>30.42098947</v>
      </c>
      <c r="X30" s="20" t="n">
        <v>2.14614117</v>
      </c>
    </row>
    <row r="31" spans="1:24">
      <c r="A31" s="15" t="s">
        <v>373</v>
      </c>
      <c r="B31" s="17" t="n">
        <v>5456</v>
      </c>
      <c r="C31" s="18">
        <f>(4780.0/B31*100)</f>
        <v/>
      </c>
      <c r="D31" s="19" t="n">
        <v>676</v>
      </c>
      <c r="E31" s="18" t="n">
        <v>47.40726498</v>
      </c>
      <c r="F31" s="20" t="n">
        <v>1.97030078</v>
      </c>
      <c r="G31" s="18" t="n">
        <v>19.77353638</v>
      </c>
      <c r="H31" s="20" t="n">
        <v>1.61437136</v>
      </c>
      <c r="I31" s="18" t="n">
        <v>0.69783666</v>
      </c>
      <c r="J31" s="20" t="n">
        <v>0.31502378</v>
      </c>
      <c r="K31" s="18" t="n">
        <v>4.12108769</v>
      </c>
      <c r="L31" s="20" t="n">
        <v>0.73295777</v>
      </c>
      <c r="M31" s="18" t="n">
        <v>1.65441641</v>
      </c>
      <c r="N31" s="20" t="n">
        <v>0.49656451</v>
      </c>
      <c r="O31" s="18" t="s">
        <v>349</v>
      </c>
      <c r="P31" s="20" t="s">
        <v>349</v>
      </c>
      <c r="Q31" s="18" t="n">
        <v>4.32774232</v>
      </c>
      <c r="R31" s="20" t="n">
        <v>0.83261496</v>
      </c>
      <c r="S31" s="18" t="n">
        <v>0</v>
      </c>
      <c r="T31" s="20" t="n">
        <v>0</v>
      </c>
      <c r="U31" s="18" t="n">
        <v>0</v>
      </c>
      <c r="V31" s="20" t="n">
        <v>0</v>
      </c>
      <c r="W31" s="18" t="n">
        <v>22.01811556</v>
      </c>
      <c r="X31" s="20" t="n">
        <v>1.86566153</v>
      </c>
    </row>
    <row r="32" spans="1:24">
      <c r="A32" s="15" t="s">
        <v>374</v>
      </c>
      <c r="B32" s="17" t="n">
        <v>4478</v>
      </c>
      <c r="C32" s="18">
        <f>(3767.0/B32*100)</f>
        <v/>
      </c>
      <c r="D32" s="19" t="n">
        <v>711</v>
      </c>
      <c r="E32" s="18" t="n">
        <v>36.54409169</v>
      </c>
      <c r="F32" s="20" t="n">
        <v>1.6370401</v>
      </c>
      <c r="G32" s="18" t="n">
        <v>20.86977488</v>
      </c>
      <c r="H32" s="20" t="n">
        <v>1.43787068</v>
      </c>
      <c r="I32" s="18" t="n">
        <v>2.93190874</v>
      </c>
      <c r="J32" s="20" t="n">
        <v>0.64015856</v>
      </c>
      <c r="K32" s="18" t="n">
        <v>11.67165618</v>
      </c>
      <c r="L32" s="20" t="n">
        <v>1.20662954</v>
      </c>
      <c r="M32" s="18" t="n">
        <v>5.89073655</v>
      </c>
      <c r="N32" s="20" t="n">
        <v>1.02527786</v>
      </c>
      <c r="O32" s="18" t="s">
        <v>349</v>
      </c>
      <c r="P32" s="20" t="s">
        <v>349</v>
      </c>
      <c r="Q32" s="18" t="n">
        <v>0.79901687</v>
      </c>
      <c r="R32" s="20" t="n">
        <v>0.32510319</v>
      </c>
      <c r="S32" s="18" t="n">
        <v>0</v>
      </c>
      <c r="T32" s="20" t="n">
        <v>0</v>
      </c>
      <c r="U32" s="18" t="n">
        <v>0</v>
      </c>
      <c r="V32" s="20" t="n">
        <v>0</v>
      </c>
      <c r="W32" s="18" t="n">
        <v>21.29281508</v>
      </c>
      <c r="X32" s="20" t="n">
        <v>1.53831056</v>
      </c>
    </row>
    <row r="33" spans="1:24">
      <c r="A33" s="15" t="s">
        <v>375</v>
      </c>
      <c r="B33" s="17" t="n">
        <v>7325</v>
      </c>
      <c r="C33" s="18">
        <f>(6454.0/B33*100)</f>
        <v/>
      </c>
      <c r="D33" s="19" t="n">
        <v>871</v>
      </c>
      <c r="E33" s="18" t="n">
        <v>33.81448469</v>
      </c>
      <c r="F33" s="20" t="n">
        <v>1.93647837</v>
      </c>
      <c r="G33" s="18" t="n">
        <v>19.29227658</v>
      </c>
      <c r="H33" s="20" t="n">
        <v>1.5492622</v>
      </c>
      <c r="I33" s="18" t="n">
        <v>1.18568732</v>
      </c>
      <c r="J33" s="20" t="n">
        <v>0.48990464</v>
      </c>
      <c r="K33" s="18" t="n">
        <v>12.22644859</v>
      </c>
      <c r="L33" s="20" t="n">
        <v>1.20100038</v>
      </c>
      <c r="M33" s="18" t="n">
        <v>5.23035071</v>
      </c>
      <c r="N33" s="20" t="n">
        <v>0.93595483</v>
      </c>
      <c r="O33" s="18" t="s">
        <v>349</v>
      </c>
      <c r="P33" s="20" t="s">
        <v>349</v>
      </c>
      <c r="Q33" s="18" t="n">
        <v>3.37673226</v>
      </c>
      <c r="R33" s="20" t="n">
        <v>0.81691035</v>
      </c>
      <c r="S33" s="18" t="n">
        <v>0</v>
      </c>
      <c r="T33" s="20" t="n">
        <v>0</v>
      </c>
      <c r="U33" s="18" t="n">
        <v>0</v>
      </c>
      <c r="V33" s="20" t="n">
        <v>0</v>
      </c>
      <c r="W33" s="18" t="n">
        <v>24.87401986</v>
      </c>
      <c r="X33" s="20" t="n">
        <v>1.5197846</v>
      </c>
    </row>
    <row r="34" spans="1:24">
      <c r="A34" s="15" t="s">
        <v>376</v>
      </c>
      <c r="B34" s="17" t="n">
        <v>6350</v>
      </c>
      <c r="C34" s="18">
        <f>(5595.0/B34*100)</f>
        <v/>
      </c>
      <c r="D34" s="19" t="n">
        <v>755</v>
      </c>
      <c r="E34" s="18" t="n">
        <v>46.08258616</v>
      </c>
      <c r="F34" s="20" t="n">
        <v>2.03504153</v>
      </c>
      <c r="G34" s="18" t="n">
        <v>16.58079198</v>
      </c>
      <c r="H34" s="20" t="n">
        <v>1.7073229</v>
      </c>
      <c r="I34" s="18" t="n">
        <v>5.52736289</v>
      </c>
      <c r="J34" s="20" t="n">
        <v>0.8722468799999999</v>
      </c>
      <c r="K34" s="18" t="n">
        <v>11.50651672</v>
      </c>
      <c r="L34" s="20" t="n">
        <v>1.24431039</v>
      </c>
      <c r="M34" s="18" t="n">
        <v>3.02727025</v>
      </c>
      <c r="N34" s="20" t="n">
        <v>0.71474991</v>
      </c>
      <c r="O34" s="18" t="s">
        <v>349</v>
      </c>
      <c r="P34" s="20" t="s">
        <v>349</v>
      </c>
      <c r="Q34" s="18" t="n">
        <v>1.27628114</v>
      </c>
      <c r="R34" s="20" t="n">
        <v>0.37612088</v>
      </c>
      <c r="S34" s="18" t="n">
        <v>0</v>
      </c>
      <c r="T34" s="20" t="n">
        <v>0</v>
      </c>
      <c r="U34" s="18" t="n">
        <v>0</v>
      </c>
      <c r="V34" s="20" t="n">
        <v>0</v>
      </c>
      <c r="W34" s="18" t="n">
        <v>15.99919086</v>
      </c>
      <c r="X34" s="20" t="n">
        <v>1.04075947</v>
      </c>
    </row>
    <row r="35" spans="1:24">
      <c r="A35" s="15" t="s">
        <v>377</v>
      </c>
      <c r="B35" s="17" t="n">
        <v>6406</v>
      </c>
      <c r="C35" s="18">
        <f>(5643.0/B35*100)</f>
        <v/>
      </c>
      <c r="D35" s="19" t="n">
        <v>763</v>
      </c>
      <c r="E35" s="18" t="n">
        <v>35.72572181</v>
      </c>
      <c r="F35" s="20" t="n">
        <v>2.45309544</v>
      </c>
      <c r="G35" s="18" t="n">
        <v>16.65272302</v>
      </c>
      <c r="H35" s="20" t="n">
        <v>1.71428105</v>
      </c>
      <c r="I35" s="18" t="n">
        <v>3.74292962</v>
      </c>
      <c r="J35" s="20" t="n">
        <v>0.7125178599999999</v>
      </c>
      <c r="K35" s="18" t="n">
        <v>11.80189418</v>
      </c>
      <c r="L35" s="20" t="n">
        <v>1.45067346</v>
      </c>
      <c r="M35" s="18" t="n">
        <v>10.35060921</v>
      </c>
      <c r="N35" s="20" t="n">
        <v>1.48415882</v>
      </c>
      <c r="O35" s="18" t="s">
        <v>349</v>
      </c>
      <c r="P35" s="20" t="s">
        <v>349</v>
      </c>
      <c r="Q35" s="18" t="n">
        <v>1.43645038</v>
      </c>
      <c r="R35" s="20" t="n">
        <v>0.48618523</v>
      </c>
      <c r="S35" s="18" t="n">
        <v>0</v>
      </c>
      <c r="T35" s="20" t="n">
        <v>0</v>
      </c>
      <c r="U35" s="18" t="n">
        <v>0</v>
      </c>
      <c r="V35" s="20" t="n">
        <v>0</v>
      </c>
      <c r="W35" s="18" t="n">
        <v>20.28967176</v>
      </c>
      <c r="X35" s="20" t="n">
        <v>1.69265013</v>
      </c>
    </row>
    <row r="36" spans="1:24">
      <c r="A36" s="15" t="s">
        <v>378</v>
      </c>
      <c r="B36" s="17" t="n">
        <v>6736</v>
      </c>
      <c r="C36" s="18">
        <f>(5953.0/B36*100)</f>
        <v/>
      </c>
      <c r="D36" s="19" t="n">
        <v>783</v>
      </c>
      <c r="E36" s="18" t="n">
        <v>33.99026653</v>
      </c>
      <c r="F36" s="20" t="n">
        <v>1.58909166</v>
      </c>
      <c r="G36" s="18" t="n">
        <v>19.19006142</v>
      </c>
      <c r="H36" s="20" t="n">
        <v>1.42158637</v>
      </c>
      <c r="I36" s="18" t="n">
        <v>0.70464881</v>
      </c>
      <c r="J36" s="20" t="n">
        <v>0.35672742</v>
      </c>
      <c r="K36" s="18" t="n">
        <v>3.74094204</v>
      </c>
      <c r="L36" s="20" t="n">
        <v>0.72007281</v>
      </c>
      <c r="M36" s="18" t="n">
        <v>3.28602929</v>
      </c>
      <c r="N36" s="20" t="n">
        <v>0.63771848</v>
      </c>
      <c r="O36" s="18" t="s">
        <v>349</v>
      </c>
      <c r="P36" s="20" t="s">
        <v>349</v>
      </c>
      <c r="Q36" s="18" t="n">
        <v>3.52565367</v>
      </c>
      <c r="R36" s="20" t="n">
        <v>0.72116152</v>
      </c>
      <c r="S36" s="18" t="n">
        <v>0</v>
      </c>
      <c r="T36" s="20" t="n">
        <v>0</v>
      </c>
      <c r="U36" s="18" t="n">
        <v>0</v>
      </c>
      <c r="V36" s="20" t="n">
        <v>0</v>
      </c>
      <c r="W36" s="18" t="n">
        <v>35.56239824</v>
      </c>
      <c r="X36" s="20" t="n">
        <v>1.74831499</v>
      </c>
    </row>
    <row r="37" spans="1:24">
      <c r="A37" s="15" t="s">
        <v>379</v>
      </c>
      <c r="B37" s="17" t="n">
        <v>5458</v>
      </c>
      <c r="C37" s="18">
        <f>(4861.0/B37*100)</f>
        <v/>
      </c>
      <c r="D37" s="19" t="n">
        <v>597</v>
      </c>
      <c r="E37" s="18" t="n">
        <v>42.71079211</v>
      </c>
      <c r="F37" s="20" t="n">
        <v>2.24665857</v>
      </c>
      <c r="G37" s="18" t="n">
        <v>18.38405235</v>
      </c>
      <c r="H37" s="20" t="n">
        <v>1.68270701</v>
      </c>
      <c r="I37" s="18" t="n">
        <v>1.15091616</v>
      </c>
      <c r="J37" s="20" t="n">
        <v>0.44269024</v>
      </c>
      <c r="K37" s="18" t="n">
        <v>6.56161396</v>
      </c>
      <c r="L37" s="20" t="n">
        <v>1.03961354</v>
      </c>
      <c r="M37" s="18" t="n">
        <v>2.30135589</v>
      </c>
      <c r="N37" s="20" t="n">
        <v>0.87787136</v>
      </c>
      <c r="O37" s="18" t="s">
        <v>349</v>
      </c>
      <c r="P37" s="20" t="s">
        <v>349</v>
      </c>
      <c r="Q37" s="18" t="n">
        <v>5.57974724</v>
      </c>
      <c r="R37" s="20" t="n">
        <v>1.05332139</v>
      </c>
      <c r="S37" s="18" t="n">
        <v>0.15445516</v>
      </c>
      <c r="T37" s="20" t="n">
        <v>0.16385883</v>
      </c>
      <c r="U37" s="18" t="n">
        <v>0</v>
      </c>
      <c r="V37" s="20" t="n">
        <v>0</v>
      </c>
      <c r="W37" s="18" t="n">
        <v>23.15706713</v>
      </c>
      <c r="X37" s="20" t="n">
        <v>1.66798839</v>
      </c>
    </row>
    <row r="38" spans="1:24">
      <c r="A38" s="15" t="s">
        <v>380</v>
      </c>
      <c r="B38" s="17" t="n">
        <v>5860</v>
      </c>
      <c r="C38" s="18">
        <f>(4916.0/B38*100)</f>
        <v/>
      </c>
      <c r="D38" s="19" t="n">
        <v>944</v>
      </c>
      <c r="E38" s="18" t="n">
        <v>41.79653004</v>
      </c>
      <c r="F38" s="20" t="n">
        <v>2.07337523</v>
      </c>
      <c r="G38" s="18" t="n">
        <v>19.20470447</v>
      </c>
      <c r="H38" s="20" t="n">
        <v>1.47990911</v>
      </c>
      <c r="I38" s="18" t="n">
        <v>1.79808538</v>
      </c>
      <c r="J38" s="20" t="n">
        <v>0.51746517</v>
      </c>
      <c r="K38" s="18" t="n">
        <v>8.22364615</v>
      </c>
      <c r="L38" s="20" t="n">
        <v>0.95113809</v>
      </c>
      <c r="M38" s="18" t="n">
        <v>4.50440268</v>
      </c>
      <c r="N38" s="20" t="n">
        <v>0.7155711300000001</v>
      </c>
      <c r="O38" s="18" t="s">
        <v>349</v>
      </c>
      <c r="P38" s="20" t="s">
        <v>349</v>
      </c>
      <c r="Q38" s="18" t="n">
        <v>3.93769061</v>
      </c>
      <c r="R38" s="20" t="n">
        <v>0.89776895</v>
      </c>
      <c r="S38" s="18" t="n">
        <v>0</v>
      </c>
      <c r="T38" s="20" t="n">
        <v>0</v>
      </c>
      <c r="U38" s="18" t="n">
        <v>0</v>
      </c>
      <c r="V38" s="20" t="n">
        <v>0</v>
      </c>
      <c r="W38" s="18" t="n">
        <v>20.53494068</v>
      </c>
      <c r="X38" s="20" t="n">
        <v>1.54714419</v>
      </c>
    </row>
    <row r="39" spans="1:24">
      <c r="A39" s="15" t="s">
        <v>381</v>
      </c>
      <c r="B39" s="17" t="n">
        <v>5895</v>
      </c>
      <c r="C39" s="18">
        <f>(5257.0/B39*100)</f>
        <v/>
      </c>
      <c r="D39" s="19" t="n">
        <v>638</v>
      </c>
      <c r="E39" s="18" t="n">
        <v>28.85332954</v>
      </c>
      <c r="F39" s="20" t="n">
        <v>2.08751678</v>
      </c>
      <c r="G39" s="18" t="n">
        <v>22.40531783</v>
      </c>
      <c r="H39" s="20" t="n">
        <v>1.8665053</v>
      </c>
      <c r="I39" s="18" t="n">
        <v>7.71805462</v>
      </c>
      <c r="J39" s="20" t="n">
        <v>1.35299476</v>
      </c>
      <c r="K39" s="18" t="n">
        <v>4.17726507</v>
      </c>
      <c r="L39" s="20" t="n">
        <v>0.89852555</v>
      </c>
      <c r="M39" s="18" t="n">
        <v>14.8295813</v>
      </c>
      <c r="N39" s="20" t="n">
        <v>1.63333871</v>
      </c>
      <c r="O39" s="18" t="s">
        <v>349</v>
      </c>
      <c r="P39" s="20" t="s">
        <v>349</v>
      </c>
      <c r="Q39" s="18" t="n">
        <v>2.74054748</v>
      </c>
      <c r="R39" s="20" t="n">
        <v>0.66694409</v>
      </c>
      <c r="S39" s="18" t="n">
        <v>0</v>
      </c>
      <c r="T39" s="20" t="n">
        <v>0</v>
      </c>
      <c r="U39" s="18" t="n">
        <v>0</v>
      </c>
      <c r="V39" s="20" t="n">
        <v>0</v>
      </c>
      <c r="W39" s="18" t="n">
        <v>19.27590416</v>
      </c>
      <c r="X39" s="20" t="n">
        <v>1.78748699</v>
      </c>
    </row>
    <row r="40" spans="1:24">
      <c r="A40" s="15" t="s">
        <v>382</v>
      </c>
      <c r="B40" s="17" t="n">
        <v>14157</v>
      </c>
      <c r="C40" s="18">
        <f>(12413.0/B40*100)</f>
        <v/>
      </c>
      <c r="D40" s="19" t="n">
        <v>1744</v>
      </c>
      <c r="E40" s="18" t="n">
        <v>49.19629931</v>
      </c>
      <c r="F40" s="20" t="n">
        <v>1.90475726</v>
      </c>
      <c r="G40" s="18" t="n">
        <v>16.94149874</v>
      </c>
      <c r="H40" s="20" t="n">
        <v>1.18830538</v>
      </c>
      <c r="I40" s="18" t="n">
        <v>0.7327700700000001</v>
      </c>
      <c r="J40" s="20" t="n">
        <v>0.3630825</v>
      </c>
      <c r="K40" s="18" t="n">
        <v>1.59077879</v>
      </c>
      <c r="L40" s="20" t="n">
        <v>0.44315301</v>
      </c>
      <c r="M40" s="18" t="n">
        <v>1.59914373</v>
      </c>
      <c r="N40" s="20" t="n">
        <v>0.4905466</v>
      </c>
      <c r="O40" s="18" t="s">
        <v>349</v>
      </c>
      <c r="P40" s="20" t="s">
        <v>349</v>
      </c>
      <c r="Q40" s="18" t="n">
        <v>2.17342076</v>
      </c>
      <c r="R40" s="20" t="n">
        <v>0.51514764</v>
      </c>
      <c r="S40" s="18" t="n">
        <v>0.0444504</v>
      </c>
      <c r="T40" s="20" t="n">
        <v>0.04283149</v>
      </c>
      <c r="U40" s="18" t="n">
        <v>0</v>
      </c>
      <c r="V40" s="20" t="n">
        <v>0</v>
      </c>
      <c r="W40" s="18" t="n">
        <v>27.72163821</v>
      </c>
      <c r="X40" s="20" t="n">
        <v>1.6823933</v>
      </c>
    </row>
    <row r="41" spans="1:24">
      <c r="A41" s="15" t="s">
        <v>383</v>
      </c>
      <c r="B41" s="17" t="n">
        <v>5712</v>
      </c>
      <c r="C41" s="18">
        <f>(5061.0/B41*100)</f>
        <v/>
      </c>
      <c r="D41" s="19" t="n">
        <v>651</v>
      </c>
      <c r="E41" s="18" t="n">
        <v>51.04286832</v>
      </c>
      <c r="F41" s="20" t="n">
        <v>1.86199163</v>
      </c>
      <c r="G41" s="18" t="n">
        <v>28.71603831</v>
      </c>
      <c r="H41" s="20" t="n">
        <v>1.57223788</v>
      </c>
      <c r="I41" s="18" t="n">
        <v>1.35997715</v>
      </c>
      <c r="J41" s="20" t="n">
        <v>0.48913407</v>
      </c>
      <c r="K41" s="18" t="n">
        <v>3.67012539</v>
      </c>
      <c r="L41" s="20" t="n">
        <v>0.78587615</v>
      </c>
      <c r="M41" s="18" t="n">
        <v>3.95944901</v>
      </c>
      <c r="N41" s="20" t="n">
        <v>0.82630014</v>
      </c>
      <c r="O41" s="18" t="s">
        <v>349</v>
      </c>
      <c r="P41" s="20" t="s">
        <v>349</v>
      </c>
      <c r="Q41" s="18" t="n">
        <v>1.34003362</v>
      </c>
      <c r="R41" s="20" t="n">
        <v>0.61375605</v>
      </c>
      <c r="S41" s="18" t="n">
        <v>0</v>
      </c>
      <c r="T41" s="20" t="n">
        <v>0</v>
      </c>
      <c r="U41" s="18" t="n">
        <v>0</v>
      </c>
      <c r="V41" s="20" t="n">
        <v>0</v>
      </c>
      <c r="W41" s="18" t="n">
        <v>9.9115082</v>
      </c>
      <c r="X41" s="20" t="n">
        <v>1.08423216</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c r="W44" s="18" t="s">
        <v>349</v>
      </c>
      <c r="X44" s="20" t="s">
        <v>349</v>
      </c>
    </row>
    <row r="45" spans="1:24">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23141</v>
      </c>
      <c r="C46" s="18">
        <f>(20968.0/B46*100)</f>
        <v/>
      </c>
      <c r="D46" s="19" t="n">
        <v>2173</v>
      </c>
      <c r="E46" s="18" t="n">
        <v>42.58383001</v>
      </c>
      <c r="F46" s="20" t="n">
        <v>1.37267454</v>
      </c>
      <c r="G46" s="18" t="n">
        <v>27.7660243</v>
      </c>
      <c r="H46" s="20" t="n">
        <v>1.57112353</v>
      </c>
      <c r="I46" s="18" t="n">
        <v>0.01698213</v>
      </c>
      <c r="J46" s="20" t="n">
        <v>0.01608432</v>
      </c>
      <c r="K46" s="18" t="n">
        <v>0.6092169</v>
      </c>
      <c r="L46" s="20" t="n">
        <v>0.26262557</v>
      </c>
      <c r="M46" s="18" t="n">
        <v>0.36928106</v>
      </c>
      <c r="N46" s="20" t="n">
        <v>0.15648598</v>
      </c>
      <c r="O46" s="18" t="s">
        <v>349</v>
      </c>
      <c r="P46" s="20" t="s">
        <v>349</v>
      </c>
      <c r="Q46" s="18" t="n">
        <v>8.310868210000001</v>
      </c>
      <c r="R46" s="20" t="n">
        <v>0.76642091</v>
      </c>
      <c r="S46" s="18" t="n">
        <v>0.2380715</v>
      </c>
      <c r="T46" s="20" t="n">
        <v>0.15775776</v>
      </c>
      <c r="U46" s="18" t="n">
        <v>0</v>
      </c>
      <c r="V46" s="20" t="n">
        <v>0</v>
      </c>
      <c r="W46" s="18" t="n">
        <v>20.10572589</v>
      </c>
      <c r="X46" s="20" t="n">
        <v>1.14369312</v>
      </c>
    </row>
    <row r="47" spans="1:24">
      <c r="A47" s="15" t="s">
        <v>389</v>
      </c>
      <c r="B47" s="17" t="n">
        <v>5928</v>
      </c>
      <c r="C47" s="18">
        <f>(5234.0/B47*100)</f>
        <v/>
      </c>
      <c r="D47" s="19" t="n">
        <v>694</v>
      </c>
      <c r="E47" s="18" t="n">
        <v>28.05088977</v>
      </c>
      <c r="F47" s="20" t="n">
        <v>1.66235456</v>
      </c>
      <c r="G47" s="18" t="n">
        <v>18.86981172</v>
      </c>
      <c r="H47" s="20" t="n">
        <v>1.39078106</v>
      </c>
      <c r="I47" s="18" t="n">
        <v>2.29214709</v>
      </c>
      <c r="J47" s="20" t="n">
        <v>0.58968727</v>
      </c>
      <c r="K47" s="18" t="n">
        <v>7.15349652</v>
      </c>
      <c r="L47" s="20" t="n">
        <v>1.08370866</v>
      </c>
      <c r="M47" s="18" t="n">
        <v>4.94791154</v>
      </c>
      <c r="N47" s="20" t="n">
        <v>0.9592585</v>
      </c>
      <c r="O47" s="18" t="s">
        <v>349</v>
      </c>
      <c r="P47" s="20" t="s">
        <v>349</v>
      </c>
      <c r="Q47" s="18" t="n">
        <v>3.18512202</v>
      </c>
      <c r="R47" s="20" t="n">
        <v>0.71108799</v>
      </c>
      <c r="S47" s="18" t="n">
        <v>0</v>
      </c>
      <c r="T47" s="20" t="n">
        <v>0</v>
      </c>
      <c r="U47" s="18" t="n">
        <v>0</v>
      </c>
      <c r="V47" s="20" t="n">
        <v>0</v>
      </c>
      <c r="W47" s="18" t="n">
        <v>35.50062134</v>
      </c>
      <c r="X47" s="20" t="n">
        <v>1.59117168</v>
      </c>
    </row>
    <row r="48" spans="1:24">
      <c r="A48" s="15" t="s">
        <v>390</v>
      </c>
      <c r="B48" s="17" t="n">
        <v>9841</v>
      </c>
      <c r="C48" s="18">
        <f>(8613.0/B48*100)</f>
        <v/>
      </c>
      <c r="D48" s="19" t="n">
        <v>1228</v>
      </c>
      <c r="E48" s="18" t="n">
        <v>19.77396271</v>
      </c>
      <c r="F48" s="20" t="n">
        <v>1.36028533</v>
      </c>
      <c r="G48" s="18" t="n">
        <v>13.02457125</v>
      </c>
      <c r="H48" s="20" t="n">
        <v>1.24854</v>
      </c>
      <c r="I48" s="18" t="n">
        <v>3.76095023</v>
      </c>
      <c r="J48" s="20" t="n">
        <v>0.68645685</v>
      </c>
      <c r="K48" s="18" t="n">
        <v>7.00324057</v>
      </c>
      <c r="L48" s="20" t="n">
        <v>0.9311152700000001</v>
      </c>
      <c r="M48" s="18" t="n">
        <v>44.2285379</v>
      </c>
      <c r="N48" s="20" t="n">
        <v>2.05882817</v>
      </c>
      <c r="O48" s="18" t="s">
        <v>349</v>
      </c>
      <c r="P48" s="20" t="s">
        <v>349</v>
      </c>
      <c r="Q48" s="18" t="n">
        <v>1.15507777</v>
      </c>
      <c r="R48" s="20" t="n">
        <v>0.4576406</v>
      </c>
      <c r="S48" s="18" t="n">
        <v>0.0593516</v>
      </c>
      <c r="T48" s="20" t="n">
        <v>0.05936</v>
      </c>
      <c r="U48" s="18" t="n">
        <v>0</v>
      </c>
      <c r="V48" s="20" t="n">
        <v>0</v>
      </c>
      <c r="W48" s="18" t="n">
        <v>10.99430798</v>
      </c>
      <c r="X48" s="20" t="n">
        <v>1.44185396</v>
      </c>
    </row>
    <row r="49" spans="1:24">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11795</v>
      </c>
      <c r="C50" s="18">
        <f>(10413.0/B50*100)</f>
        <v/>
      </c>
      <c r="D50" s="19" t="n">
        <v>1382</v>
      </c>
      <c r="E50" s="18" t="n">
        <v>47.78096024</v>
      </c>
      <c r="F50" s="20" t="n">
        <v>1.78516733</v>
      </c>
      <c r="G50" s="18" t="n">
        <v>32.65165084</v>
      </c>
      <c r="H50" s="20" t="n">
        <v>1.47346628</v>
      </c>
      <c r="I50" s="18" t="n">
        <v>0.12530183</v>
      </c>
      <c r="J50" s="20" t="n">
        <v>0.06134379</v>
      </c>
      <c r="K50" s="18" t="n">
        <v>1.5305346</v>
      </c>
      <c r="L50" s="20" t="n">
        <v>0.45072338</v>
      </c>
      <c r="M50" s="18" t="n">
        <v>0.1233913</v>
      </c>
      <c r="N50" s="20" t="n">
        <v>0.12306192</v>
      </c>
      <c r="O50" s="18" t="s">
        <v>349</v>
      </c>
      <c r="P50" s="20" t="s">
        <v>349</v>
      </c>
      <c r="Q50" s="18" t="n">
        <v>3.28852437</v>
      </c>
      <c r="R50" s="20" t="n">
        <v>0.58288594</v>
      </c>
      <c r="S50" s="18" t="n">
        <v>1.85243806</v>
      </c>
      <c r="T50" s="20" t="n">
        <v>0.4112695</v>
      </c>
      <c r="U50" s="18" t="n">
        <v>0</v>
      </c>
      <c r="V50" s="20" t="n">
        <v>0</v>
      </c>
      <c r="W50" s="18" t="n">
        <v>12.64719876</v>
      </c>
      <c r="X50" s="20" t="n">
        <v>1.24297574</v>
      </c>
    </row>
    <row r="51" spans="1:24">
      <c r="A51" s="15" t="s">
        <v>393</v>
      </c>
      <c r="B51" s="17" t="n">
        <v>6866</v>
      </c>
      <c r="C51" s="18">
        <f>(6158.0/B51*100)</f>
        <v/>
      </c>
      <c r="D51" s="19" t="n">
        <v>708</v>
      </c>
      <c r="E51" s="18" t="n">
        <v>49.36264109</v>
      </c>
      <c r="F51" s="20" t="n">
        <v>2.16703552</v>
      </c>
      <c r="G51" s="18" t="n">
        <v>27.45119843</v>
      </c>
      <c r="H51" s="20" t="n">
        <v>1.89765872</v>
      </c>
      <c r="I51" s="18" t="n">
        <v>0.48548726</v>
      </c>
      <c r="J51" s="20" t="n">
        <v>0.12971113</v>
      </c>
      <c r="K51" s="18" t="n">
        <v>0.35731479</v>
      </c>
      <c r="L51" s="20" t="n">
        <v>0.21714363</v>
      </c>
      <c r="M51" s="18" t="n">
        <v>0.03114915</v>
      </c>
      <c r="N51" s="20" t="n">
        <v>0.03104249</v>
      </c>
      <c r="O51" s="18" t="s">
        <v>349</v>
      </c>
      <c r="P51" s="20" t="s">
        <v>349</v>
      </c>
      <c r="Q51" s="18" t="n">
        <v>3.31592372</v>
      </c>
      <c r="R51" s="20" t="n">
        <v>0.80259512</v>
      </c>
      <c r="S51" s="18" t="n">
        <v>0.19093279</v>
      </c>
      <c r="T51" s="20" t="n">
        <v>0.15851027</v>
      </c>
      <c r="U51" s="18" t="n">
        <v>0</v>
      </c>
      <c r="V51" s="20" t="n">
        <v>0</v>
      </c>
      <c r="W51" s="18" t="n">
        <v>18.80535278</v>
      </c>
      <c r="X51" s="20" t="n">
        <v>1.93121051</v>
      </c>
    </row>
    <row r="52" spans="1:24">
      <c r="A52" s="15" t="s">
        <v>394</v>
      </c>
      <c r="B52" s="17" t="n">
        <v>5809</v>
      </c>
      <c r="C52" s="18">
        <f>(5100.0/B52*100)</f>
        <v/>
      </c>
      <c r="D52" s="19" t="n">
        <v>709</v>
      </c>
      <c r="E52" s="18" t="n">
        <v>38.13929114</v>
      </c>
      <c r="F52" s="20" t="n">
        <v>1.81508062</v>
      </c>
      <c r="G52" s="18" t="n">
        <v>20.4668362</v>
      </c>
      <c r="H52" s="20" t="n">
        <v>1.49058744</v>
      </c>
      <c r="I52" s="18" t="n">
        <v>0.75406566</v>
      </c>
      <c r="J52" s="20" t="n">
        <v>0.3420187</v>
      </c>
      <c r="K52" s="18" t="n">
        <v>8.811699470000001</v>
      </c>
      <c r="L52" s="20" t="n">
        <v>1.07856062</v>
      </c>
      <c r="M52" s="18" t="n">
        <v>3.10488442</v>
      </c>
      <c r="N52" s="20" t="n">
        <v>0.74887453</v>
      </c>
      <c r="O52" s="18" t="s">
        <v>349</v>
      </c>
      <c r="P52" s="20" t="s">
        <v>349</v>
      </c>
      <c r="Q52" s="18" t="n">
        <v>2.54854828</v>
      </c>
      <c r="R52" s="20" t="n">
        <v>0.59161226</v>
      </c>
      <c r="S52" s="18" t="n">
        <v>0.13409249</v>
      </c>
      <c r="T52" s="20" t="n">
        <v>0.18990117</v>
      </c>
      <c r="U52" s="18" t="n">
        <v>0</v>
      </c>
      <c r="V52" s="20" t="n">
        <v>0</v>
      </c>
      <c r="W52" s="18" t="n">
        <v>26.04058232</v>
      </c>
      <c r="X52" s="20" t="n">
        <v>1.54640253</v>
      </c>
    </row>
    <row r="53" spans="1:24">
      <c r="A53" s="15" t="s">
        <v>395</v>
      </c>
      <c r="B53" s="17" t="n">
        <v>5571</v>
      </c>
      <c r="C53" s="18">
        <f>(4874.0/B53*100)</f>
        <v/>
      </c>
      <c r="D53" s="19" t="n">
        <v>697</v>
      </c>
      <c r="E53" s="18" t="n">
        <v>42.36444935</v>
      </c>
      <c r="F53" s="20" t="n">
        <v>1.83862913</v>
      </c>
      <c r="G53" s="18" t="n">
        <v>22.28668508</v>
      </c>
      <c r="H53" s="20" t="n">
        <v>1.71760544</v>
      </c>
      <c r="I53" s="18" t="n">
        <v>0.56385363</v>
      </c>
      <c r="J53" s="20" t="n">
        <v>0.33290595</v>
      </c>
      <c r="K53" s="18" t="n">
        <v>5.62847853</v>
      </c>
      <c r="L53" s="20" t="n">
        <v>0.96558214</v>
      </c>
      <c r="M53" s="18" t="n">
        <v>2.19990415</v>
      </c>
      <c r="N53" s="20" t="n">
        <v>0.70753053</v>
      </c>
      <c r="O53" s="18" t="s">
        <v>349</v>
      </c>
      <c r="P53" s="20" t="s">
        <v>349</v>
      </c>
      <c r="Q53" s="18" t="n">
        <v>3.33598638</v>
      </c>
      <c r="R53" s="20" t="n">
        <v>0.68865637</v>
      </c>
      <c r="S53" s="18" t="n">
        <v>0</v>
      </c>
      <c r="T53" s="20" t="n">
        <v>0</v>
      </c>
      <c r="U53" s="18" t="n">
        <v>0</v>
      </c>
      <c r="V53" s="20" t="n">
        <v>0</v>
      </c>
      <c r="W53" s="18" t="n">
        <v>23.62064287</v>
      </c>
      <c r="X53" s="20" t="n">
        <v>1.66860727</v>
      </c>
    </row>
    <row r="54" spans="1:24">
      <c r="A54" s="15" t="s">
        <v>396</v>
      </c>
      <c r="B54" s="17" t="n">
        <v>4740</v>
      </c>
      <c r="C54" s="18">
        <f>(3952.0/B54*100)</f>
        <v/>
      </c>
      <c r="D54" s="19" t="n">
        <v>788</v>
      </c>
      <c r="E54" s="18" t="n">
        <v>20.21503599</v>
      </c>
      <c r="F54" s="20" t="n">
        <v>1.37578831</v>
      </c>
      <c r="G54" s="18" t="n">
        <v>27.18215082</v>
      </c>
      <c r="H54" s="20" t="n">
        <v>1.77494959</v>
      </c>
      <c r="I54" s="18" t="n">
        <v>0</v>
      </c>
      <c r="J54" s="20" t="n">
        <v>0</v>
      </c>
      <c r="K54" s="18" t="n">
        <v>0</v>
      </c>
      <c r="L54" s="20" t="n">
        <v>0</v>
      </c>
      <c r="M54" s="18" t="n">
        <v>0.09455317000000001</v>
      </c>
      <c r="N54" s="20" t="n">
        <v>0.09471016</v>
      </c>
      <c r="O54" s="18" t="s">
        <v>349</v>
      </c>
      <c r="P54" s="20" t="s">
        <v>349</v>
      </c>
      <c r="Q54" s="18" t="n">
        <v>20.91303095</v>
      </c>
      <c r="R54" s="20" t="n">
        <v>1.61180906</v>
      </c>
      <c r="S54" s="18" t="n">
        <v>0.66326316</v>
      </c>
      <c r="T54" s="20" t="n">
        <v>0.59333017</v>
      </c>
      <c r="U54" s="18" t="n">
        <v>0</v>
      </c>
      <c r="V54" s="20" t="n">
        <v>0</v>
      </c>
      <c r="W54" s="18" t="n">
        <v>30.9319659</v>
      </c>
      <c r="X54" s="20" t="n">
        <v>1.84164956</v>
      </c>
    </row>
    <row r="55" spans="1:24">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c r="W55" s="18" t="s">
        <v>349</v>
      </c>
      <c r="X55" s="20" t="s">
        <v>349</v>
      </c>
    </row>
    <row r="56" spans="1:24">
      <c r="A56" s="15" t="s">
        <v>398</v>
      </c>
      <c r="B56" s="17" t="n">
        <v>5359</v>
      </c>
      <c r="C56" s="18">
        <f>(4683.0/B56*100)</f>
        <v/>
      </c>
      <c r="D56" s="19" t="n">
        <v>676</v>
      </c>
      <c r="E56" s="18" t="n">
        <v>41.75920607</v>
      </c>
      <c r="F56" s="20" t="n">
        <v>2.22058379</v>
      </c>
      <c r="G56" s="18" t="n">
        <v>24.69830342</v>
      </c>
      <c r="H56" s="20" t="n">
        <v>1.66232727</v>
      </c>
      <c r="I56" s="18" t="n">
        <v>1.18619165</v>
      </c>
      <c r="J56" s="20" t="n">
        <v>0.3344003</v>
      </c>
      <c r="K56" s="18" t="n">
        <v>8.161344830000001</v>
      </c>
      <c r="L56" s="20" t="n">
        <v>1.00626327</v>
      </c>
      <c r="M56" s="18" t="n">
        <v>7.57468853</v>
      </c>
      <c r="N56" s="20" t="n">
        <v>1.25980166</v>
      </c>
      <c r="O56" s="18" t="s">
        <v>349</v>
      </c>
      <c r="P56" s="20" t="s">
        <v>349</v>
      </c>
      <c r="Q56" s="18" t="n">
        <v>0.42560983</v>
      </c>
      <c r="R56" s="20" t="n">
        <v>0.21710578</v>
      </c>
      <c r="S56" s="18" t="n">
        <v>0</v>
      </c>
      <c r="T56" s="20" t="n">
        <v>0</v>
      </c>
      <c r="U56" s="18" t="n">
        <v>0</v>
      </c>
      <c r="V56" s="20" t="n">
        <v>0</v>
      </c>
      <c r="W56" s="18" t="n">
        <v>16.19465567</v>
      </c>
      <c r="X56" s="20" t="n">
        <v>1.65382865</v>
      </c>
    </row>
    <row r="57" spans="1:24">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c r="W57" s="18" t="s">
        <v>349</v>
      </c>
      <c r="X57" s="20" t="s">
        <v>349</v>
      </c>
    </row>
    <row r="58" spans="1:24">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6525</v>
      </c>
      <c r="C61" s="18">
        <f>(5722.0/B61*100)</f>
        <v/>
      </c>
      <c r="D61" s="19" t="n">
        <v>803</v>
      </c>
      <c r="E61" s="18" t="n">
        <v>44.92320714</v>
      </c>
      <c r="F61" s="20" t="n">
        <v>2.02831983</v>
      </c>
      <c r="G61" s="18" t="n">
        <v>18.35592412</v>
      </c>
      <c r="H61" s="20" t="n">
        <v>1.70429136</v>
      </c>
      <c r="I61" s="18" t="n">
        <v>0.86477312</v>
      </c>
      <c r="J61" s="20" t="n">
        <v>0.37789361</v>
      </c>
      <c r="K61" s="18" t="n">
        <v>3.04123334</v>
      </c>
      <c r="L61" s="20" t="n">
        <v>0.61623587</v>
      </c>
      <c r="M61" s="18" t="n">
        <v>1.17814817</v>
      </c>
      <c r="N61" s="20" t="n">
        <v>0.41726705</v>
      </c>
      <c r="O61" s="18" t="s">
        <v>349</v>
      </c>
      <c r="P61" s="20" t="s">
        <v>349</v>
      </c>
      <c r="Q61" s="18" t="n">
        <v>2.02659339</v>
      </c>
      <c r="R61" s="20" t="n">
        <v>0.41645754</v>
      </c>
      <c r="S61" s="18" t="n">
        <v>0</v>
      </c>
      <c r="T61" s="20" t="n">
        <v>0</v>
      </c>
      <c r="U61" s="18" t="n">
        <v>0</v>
      </c>
      <c r="V61" s="20" t="n">
        <v>0</v>
      </c>
      <c r="W61" s="18" t="n">
        <v>29.61012072</v>
      </c>
      <c r="X61" s="20" t="n">
        <v>1.78584804</v>
      </c>
    </row>
    <row r="62" spans="1:24">
      <c r="A62" s="15" t="s">
        <v>404</v>
      </c>
      <c r="B62" s="17" t="n">
        <v>4476</v>
      </c>
      <c r="C62" s="18">
        <f>(3939.0/B62*100)</f>
        <v/>
      </c>
      <c r="D62" s="19" t="n">
        <v>537</v>
      </c>
      <c r="E62" s="18" t="n">
        <v>40.04556392</v>
      </c>
      <c r="F62" s="20" t="n">
        <v>2.1555462</v>
      </c>
      <c r="G62" s="18" t="n">
        <v>14.73281717</v>
      </c>
      <c r="H62" s="20" t="n">
        <v>1.55407651</v>
      </c>
      <c r="I62" s="18" t="n">
        <v>1.67476268</v>
      </c>
      <c r="J62" s="20" t="n">
        <v>0.47826716</v>
      </c>
      <c r="K62" s="18" t="n">
        <v>14.84514627</v>
      </c>
      <c r="L62" s="20" t="n">
        <v>1.53660582</v>
      </c>
      <c r="M62" s="18" t="n">
        <v>19.74248889</v>
      </c>
      <c r="N62" s="20" t="n">
        <v>1.58289357</v>
      </c>
      <c r="O62" s="18" t="s">
        <v>349</v>
      </c>
      <c r="P62" s="20" t="s">
        <v>349</v>
      </c>
      <c r="Q62" s="18" t="n">
        <v>0.18487647</v>
      </c>
      <c r="R62" s="20" t="n">
        <v>0.18529928</v>
      </c>
      <c r="S62" s="18" t="n">
        <v>0</v>
      </c>
      <c r="T62" s="20" t="n">
        <v>0</v>
      </c>
      <c r="U62" s="18" t="n">
        <v>0</v>
      </c>
      <c r="V62" s="20" t="n">
        <v>0</v>
      </c>
      <c r="W62" s="18" t="n">
        <v>8.774344599999999</v>
      </c>
      <c r="X62" s="20" t="n">
        <v>1.17058635</v>
      </c>
    </row>
    <row r="63" spans="1:24">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c r="W64" s="18" t="s">
        <v>349</v>
      </c>
      <c r="X64" s="20" t="s">
        <v>349</v>
      </c>
    </row>
    <row r="65" spans="1:24">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5665</v>
      </c>
      <c r="C66" s="18">
        <f>(4979.0/B66*100)</f>
        <v/>
      </c>
      <c r="D66" s="19" t="n">
        <v>686</v>
      </c>
      <c r="E66" s="18" t="n">
        <v>34.87468988</v>
      </c>
      <c r="F66" s="20" t="n">
        <v>1.67684759</v>
      </c>
      <c r="G66" s="18" t="n">
        <v>22.37632571</v>
      </c>
      <c r="H66" s="20" t="n">
        <v>1.51010593</v>
      </c>
      <c r="I66" s="18" t="n">
        <v>0.82576867</v>
      </c>
      <c r="J66" s="20" t="n">
        <v>0.33088854</v>
      </c>
      <c r="K66" s="18" t="n">
        <v>3.72784841</v>
      </c>
      <c r="L66" s="20" t="n">
        <v>0.7035275600000001</v>
      </c>
      <c r="M66" s="18" t="n">
        <v>3.01560418</v>
      </c>
      <c r="N66" s="20" t="n">
        <v>0.64989683</v>
      </c>
      <c r="O66" s="18" t="s">
        <v>349</v>
      </c>
      <c r="P66" s="20" t="s">
        <v>349</v>
      </c>
      <c r="Q66" s="18" t="n">
        <v>5.70946979</v>
      </c>
      <c r="R66" s="20" t="n">
        <v>0.78546198</v>
      </c>
      <c r="S66" s="18" t="n">
        <v>0.25588651</v>
      </c>
      <c r="T66" s="20" t="n">
        <v>0.17999625</v>
      </c>
      <c r="U66" s="18" t="n">
        <v>0</v>
      </c>
      <c r="V66" s="20" t="n">
        <v>0</v>
      </c>
      <c r="W66" s="18" t="n">
        <v>29.21440685</v>
      </c>
      <c r="X66" s="20" t="n">
        <v>1.85252846</v>
      </c>
    </row>
    <row r="67" spans="1:24">
      <c r="A67" s="15" t="s">
        <v>409</v>
      </c>
      <c r="B67" s="17" t="n">
        <v>6971</v>
      </c>
      <c r="C67" s="18">
        <f>(6250.0/B67*100)</f>
        <v/>
      </c>
      <c r="D67" s="19" t="n">
        <v>721</v>
      </c>
      <c r="E67" s="18" t="n">
        <v>43.60873532</v>
      </c>
      <c r="F67" s="20" t="n">
        <v>2.08274779</v>
      </c>
      <c r="G67" s="18" t="n">
        <v>23.07315548</v>
      </c>
      <c r="H67" s="20" t="n">
        <v>1.48975858</v>
      </c>
      <c r="I67" s="18" t="n">
        <v>0.11967582</v>
      </c>
      <c r="J67" s="20" t="n">
        <v>0.12026891</v>
      </c>
      <c r="K67" s="18" t="n">
        <v>1.13743793</v>
      </c>
      <c r="L67" s="20" t="n">
        <v>0.52930776</v>
      </c>
      <c r="M67" s="18" t="n">
        <v>2.98644429</v>
      </c>
      <c r="N67" s="20" t="n">
        <v>0.91974954</v>
      </c>
      <c r="O67" s="18" t="s">
        <v>349</v>
      </c>
      <c r="P67" s="20" t="s">
        <v>349</v>
      </c>
      <c r="Q67" s="18" t="n">
        <v>2.615095</v>
      </c>
      <c r="R67" s="20" t="n">
        <v>0.60022167</v>
      </c>
      <c r="S67" s="18" t="n">
        <v>0.82610702</v>
      </c>
      <c r="T67" s="20" t="n">
        <v>0.39165308</v>
      </c>
      <c r="U67" s="18" t="n">
        <v>0</v>
      </c>
      <c r="V67" s="20" t="n">
        <v>0</v>
      </c>
      <c r="W67" s="18" t="n">
        <v>25.63334914</v>
      </c>
      <c r="X67" s="20" t="n">
        <v>1.46775371</v>
      </c>
    </row>
    <row r="68" spans="1:24">
      <c r="A68" s="15" t="s">
        <v>410</v>
      </c>
      <c r="B68" s="17" t="n">
        <v>12083</v>
      </c>
      <c r="C68" s="18">
        <f>(10063.0/B68*100)</f>
        <v/>
      </c>
      <c r="D68" s="19" t="n">
        <v>2020</v>
      </c>
      <c r="E68" s="18" t="n">
        <v>33.88893899</v>
      </c>
      <c r="F68" s="20" t="n">
        <v>1.22234987</v>
      </c>
      <c r="G68" s="18" t="n">
        <v>40.05012826</v>
      </c>
      <c r="H68" s="20" t="n">
        <v>1.09600651</v>
      </c>
      <c r="I68" s="18" t="n">
        <v>0.35822185</v>
      </c>
      <c r="J68" s="20" t="n">
        <v>0.13603732</v>
      </c>
      <c r="K68" s="18" t="n">
        <v>2.1830623</v>
      </c>
      <c r="L68" s="20" t="n">
        <v>0.34026409</v>
      </c>
      <c r="M68" s="18" t="n">
        <v>0.90916831</v>
      </c>
      <c r="N68" s="20" t="n">
        <v>0.20301738</v>
      </c>
      <c r="O68" s="18" t="s">
        <v>349</v>
      </c>
      <c r="P68" s="20" t="s">
        <v>349</v>
      </c>
      <c r="Q68" s="18" t="n">
        <v>6.95617108</v>
      </c>
      <c r="R68" s="20" t="n">
        <v>0.5103757</v>
      </c>
      <c r="S68" s="18" t="n">
        <v>0</v>
      </c>
      <c r="T68" s="20" t="n">
        <v>0</v>
      </c>
      <c r="U68" s="18" t="n">
        <v>0</v>
      </c>
      <c r="V68" s="20" t="n">
        <v>0</v>
      </c>
      <c r="W68" s="18" t="n">
        <v>15.65430922</v>
      </c>
      <c r="X68" s="20" t="n">
        <v>0.81565603</v>
      </c>
    </row>
    <row r="69" spans="1:24">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6036</v>
      </c>
      <c r="C70" s="18">
        <f>(5322.0/B70*100)</f>
        <v/>
      </c>
      <c r="D70" s="19" t="n">
        <v>714</v>
      </c>
      <c r="E70" s="18" t="n">
        <v>37.07690296</v>
      </c>
      <c r="F70" s="20" t="n">
        <v>2.67291579</v>
      </c>
      <c r="G70" s="18" t="n">
        <v>16.72759409</v>
      </c>
      <c r="H70" s="20" t="n">
        <v>1.57390141</v>
      </c>
      <c r="I70" s="18" t="n">
        <v>4.7683718</v>
      </c>
      <c r="J70" s="20" t="n">
        <v>0.82654172</v>
      </c>
      <c r="K70" s="18" t="n">
        <v>15.21930868</v>
      </c>
      <c r="L70" s="20" t="n">
        <v>1.57986926</v>
      </c>
      <c r="M70" s="18" t="n">
        <v>7.04300189</v>
      </c>
      <c r="N70" s="20" t="n">
        <v>1.20287294</v>
      </c>
      <c r="O70" s="18" t="s">
        <v>349</v>
      </c>
      <c r="P70" s="20" t="s">
        <v>349</v>
      </c>
      <c r="Q70" s="18" t="n">
        <v>2.70040881</v>
      </c>
      <c r="R70" s="20" t="n">
        <v>0.63900921</v>
      </c>
      <c r="S70" s="18" t="n">
        <v>0.96524868</v>
      </c>
      <c r="T70" s="20" t="n">
        <v>0.30308192</v>
      </c>
      <c r="U70" s="18" t="n">
        <v>0</v>
      </c>
      <c r="V70" s="20" t="n">
        <v>0</v>
      </c>
      <c r="W70" s="18" t="n">
        <v>15.4991631</v>
      </c>
      <c r="X70" s="20" t="n">
        <v>1.89331686</v>
      </c>
    </row>
    <row r="71" spans="1:24">
      <c r="A71" s="15" t="s">
        <v>413</v>
      </c>
      <c r="B71" s="17" t="n">
        <v>6115</v>
      </c>
      <c r="C71" s="18">
        <f>(5370.0/B71*100)</f>
        <v/>
      </c>
      <c r="D71" s="19" t="n">
        <v>745</v>
      </c>
      <c r="E71" s="18" t="n">
        <v>49.34174343</v>
      </c>
      <c r="F71" s="20" t="n">
        <v>1.73608034</v>
      </c>
      <c r="G71" s="18" t="n">
        <v>21.98564694</v>
      </c>
      <c r="H71" s="20" t="n">
        <v>1.53568712</v>
      </c>
      <c r="I71" s="18" t="n">
        <v>1.03406116</v>
      </c>
      <c r="J71" s="20" t="n">
        <v>0.39985984</v>
      </c>
      <c r="K71" s="18" t="n">
        <v>6.99072548</v>
      </c>
      <c r="L71" s="20" t="n">
        <v>1.07471975</v>
      </c>
      <c r="M71" s="18" t="n">
        <v>7.99098372</v>
      </c>
      <c r="N71" s="20" t="n">
        <v>1.07118125</v>
      </c>
      <c r="O71" s="18" t="s">
        <v>349</v>
      </c>
      <c r="P71" s="20" t="s">
        <v>349</v>
      </c>
      <c r="Q71" s="18" t="n">
        <v>0.81749208</v>
      </c>
      <c r="R71" s="20" t="n">
        <v>0.26464468</v>
      </c>
      <c r="S71" s="18" t="n">
        <v>0</v>
      </c>
      <c r="T71" s="20" t="n">
        <v>0</v>
      </c>
      <c r="U71" s="18" t="n">
        <v>0</v>
      </c>
      <c r="V71" s="20" t="n">
        <v>0</v>
      </c>
      <c r="W71" s="18" t="n">
        <v>11.83934718</v>
      </c>
      <c r="X71" s="20" t="n">
        <v>1.27905672</v>
      </c>
    </row>
    <row r="72" spans="1:24">
      <c r="A72" s="15" t="s">
        <v>414</v>
      </c>
      <c r="B72" s="17" t="n">
        <v>7708</v>
      </c>
      <c r="C72" s="18">
        <f>(6767.0/B72*100)</f>
        <v/>
      </c>
      <c r="D72" s="19" t="n">
        <v>941</v>
      </c>
      <c r="E72" s="18" t="n">
        <v>24.54159573</v>
      </c>
      <c r="F72" s="20" t="n">
        <v>1.42514108</v>
      </c>
      <c r="G72" s="18" t="n">
        <v>16.46095129</v>
      </c>
      <c r="H72" s="20" t="n">
        <v>1.23144836</v>
      </c>
      <c r="I72" s="18" t="n">
        <v>5.67607503</v>
      </c>
      <c r="J72" s="20" t="n">
        <v>0.82326181</v>
      </c>
      <c r="K72" s="18" t="n">
        <v>10.11114558</v>
      </c>
      <c r="L72" s="20" t="n">
        <v>0.99665192</v>
      </c>
      <c r="M72" s="18" t="n">
        <v>29.84892439</v>
      </c>
      <c r="N72" s="20" t="n">
        <v>1.52068539</v>
      </c>
      <c r="O72" s="18" t="s">
        <v>349</v>
      </c>
      <c r="P72" s="20" t="s">
        <v>349</v>
      </c>
      <c r="Q72" s="18" t="n">
        <v>0.52737125</v>
      </c>
      <c r="R72" s="20" t="n">
        <v>0.22045567</v>
      </c>
      <c r="S72" s="18" t="n">
        <v>0</v>
      </c>
      <c r="T72" s="20" t="n">
        <v>0</v>
      </c>
      <c r="U72" s="18" t="n">
        <v>0</v>
      </c>
      <c r="V72" s="20" t="n">
        <v>0</v>
      </c>
      <c r="W72" s="18" t="n">
        <v>12.83393672</v>
      </c>
      <c r="X72" s="20" t="n">
        <v>1.24067676</v>
      </c>
    </row>
    <row r="73" spans="1:24">
      <c r="A73" s="15" t="s">
        <v>415</v>
      </c>
      <c r="B73" s="17" t="n">
        <v>8249</v>
      </c>
      <c r="C73" s="18">
        <f>(7326.0/B73*100)</f>
        <v/>
      </c>
      <c r="D73" s="19" t="n">
        <v>923</v>
      </c>
      <c r="E73" s="18" t="n">
        <v>39.19118448</v>
      </c>
      <c r="F73" s="20" t="n">
        <v>1.64444539</v>
      </c>
      <c r="G73" s="18" t="n">
        <v>49.16411142</v>
      </c>
      <c r="H73" s="20" t="n">
        <v>1.74748215</v>
      </c>
      <c r="I73" s="18" t="n">
        <v>0.3166665</v>
      </c>
      <c r="J73" s="20" t="n">
        <v>0.30034882</v>
      </c>
      <c r="K73" s="18" t="n">
        <v>1.30013498</v>
      </c>
      <c r="L73" s="20" t="n">
        <v>0.45716318</v>
      </c>
      <c r="M73" s="18" t="n">
        <v>0.63121476</v>
      </c>
      <c r="N73" s="20" t="n">
        <v>0.3717083</v>
      </c>
      <c r="O73" s="18" t="s">
        <v>349</v>
      </c>
      <c r="P73" s="20" t="s">
        <v>349</v>
      </c>
      <c r="Q73" s="18" t="n">
        <v>0.55302918</v>
      </c>
      <c r="R73" s="20" t="n">
        <v>0.29176917</v>
      </c>
      <c r="S73" s="18" t="n">
        <v>0.00457203</v>
      </c>
      <c r="T73" s="20" t="n">
        <v>0.00454781</v>
      </c>
      <c r="U73" s="18" t="n">
        <v>0</v>
      </c>
      <c r="V73" s="20" t="n">
        <v>0</v>
      </c>
      <c r="W73" s="18" t="n">
        <v>8.83908664</v>
      </c>
      <c r="X73" s="20" t="n">
        <v>1.05790954</v>
      </c>
    </row>
    <row r="74" spans="1:24">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5375</v>
      </c>
      <c r="C75" s="18">
        <f>(4783.0/B75*100)</f>
        <v/>
      </c>
      <c r="D75" s="19" t="n">
        <v>592</v>
      </c>
      <c r="E75" s="18" t="n">
        <v>38.51471822</v>
      </c>
      <c r="F75" s="20" t="n">
        <v>2.29943343</v>
      </c>
      <c r="G75" s="18" t="n">
        <v>29.48162063</v>
      </c>
      <c r="H75" s="20" t="n">
        <v>2.02731128</v>
      </c>
      <c r="I75" s="18" t="n">
        <v>0.20186006</v>
      </c>
      <c r="J75" s="20" t="n">
        <v>0.14121482</v>
      </c>
      <c r="K75" s="18" t="n">
        <v>0.17775646</v>
      </c>
      <c r="L75" s="20" t="n">
        <v>0.17764345</v>
      </c>
      <c r="M75" s="18" t="n">
        <v>0</v>
      </c>
      <c r="N75" s="20" t="n">
        <v>0</v>
      </c>
      <c r="O75" s="18" t="s">
        <v>349</v>
      </c>
      <c r="P75" s="20" t="s">
        <v>349</v>
      </c>
      <c r="Q75" s="18" t="n">
        <v>9.526060449999999</v>
      </c>
      <c r="R75" s="20" t="n">
        <v>1.42362612</v>
      </c>
      <c r="S75" s="18" t="n">
        <v>0.31640362</v>
      </c>
      <c r="T75" s="20" t="n">
        <v>0.19578339</v>
      </c>
      <c r="U75" s="18" t="n">
        <v>0</v>
      </c>
      <c r="V75" s="20" t="n">
        <v>0</v>
      </c>
      <c r="W75" s="18" t="n">
        <v>21.78158056</v>
      </c>
      <c r="X75" s="20" t="n">
        <v>1.96841037</v>
      </c>
    </row>
    <row r="76" spans="1:24">
      <c r="A76" s="15" t="s">
        <v>418</v>
      </c>
      <c r="B76" s="17" t="n">
        <v>14167</v>
      </c>
      <c r="C76" s="18">
        <f>(12423.0/B76*100)</f>
        <v/>
      </c>
      <c r="D76" s="19" t="n">
        <v>1744</v>
      </c>
      <c r="E76" s="18" t="n">
        <v>41.45239975</v>
      </c>
      <c r="F76" s="20" t="n">
        <v>1.49234145</v>
      </c>
      <c r="G76" s="18" t="n">
        <v>40.55367418</v>
      </c>
      <c r="H76" s="20" t="n">
        <v>1.41829592</v>
      </c>
      <c r="I76" s="18" t="n">
        <v>0.16251933</v>
      </c>
      <c r="J76" s="20" t="n">
        <v>0.09892619</v>
      </c>
      <c r="K76" s="18" t="n">
        <v>2.09861259</v>
      </c>
      <c r="L76" s="20" t="n">
        <v>0.41946115</v>
      </c>
      <c r="M76" s="18" t="n">
        <v>1.62714967</v>
      </c>
      <c r="N76" s="20" t="n">
        <v>0.3730745</v>
      </c>
      <c r="O76" s="18" t="s">
        <v>349</v>
      </c>
      <c r="P76" s="20" t="s">
        <v>349</v>
      </c>
      <c r="Q76" s="18" t="n">
        <v>2.84132738</v>
      </c>
      <c r="R76" s="20" t="n">
        <v>0.49887612</v>
      </c>
      <c r="S76" s="18" t="n">
        <v>0.11431862</v>
      </c>
      <c r="T76" s="20" t="n">
        <v>0.0628548</v>
      </c>
      <c r="U76" s="18" t="n">
        <v>0</v>
      </c>
      <c r="V76" s="20" t="n">
        <v>0</v>
      </c>
      <c r="W76" s="18" t="n">
        <v>11.14999848</v>
      </c>
      <c r="X76" s="20" t="n">
        <v>0.94310854</v>
      </c>
    </row>
    <row r="77" spans="1:24">
      <c r="A77" s="15" t="s">
        <v>419</v>
      </c>
      <c r="B77" s="17" t="n">
        <v>6062</v>
      </c>
      <c r="C77" s="18">
        <f>(5385.0/B77*100)</f>
        <v/>
      </c>
      <c r="D77" s="19" t="n">
        <v>677</v>
      </c>
      <c r="E77" s="18" t="n">
        <v>36.24740591</v>
      </c>
      <c r="F77" s="20" t="n">
        <v>2.11082557</v>
      </c>
      <c r="G77" s="18" t="n">
        <v>18.04797022</v>
      </c>
      <c r="H77" s="20" t="n">
        <v>1.55692701</v>
      </c>
      <c r="I77" s="18" t="n">
        <v>0.62674361</v>
      </c>
      <c r="J77" s="20" t="n">
        <v>0.33360804</v>
      </c>
      <c r="K77" s="18" t="n">
        <v>4.54548918</v>
      </c>
      <c r="L77" s="20" t="n">
        <v>0.7021434</v>
      </c>
      <c r="M77" s="18" t="n">
        <v>0.5738032</v>
      </c>
      <c r="N77" s="20" t="n">
        <v>0.30171658</v>
      </c>
      <c r="O77" s="18" t="s">
        <v>349</v>
      </c>
      <c r="P77" s="20" t="s">
        <v>349</v>
      </c>
      <c r="Q77" s="18" t="n">
        <v>6.36575266</v>
      </c>
      <c r="R77" s="20" t="n">
        <v>0.98792252</v>
      </c>
      <c r="S77" s="18" t="n">
        <v>5.86642709</v>
      </c>
      <c r="T77" s="20" t="n">
        <v>1.06241118</v>
      </c>
      <c r="U77" s="18" t="n">
        <v>0</v>
      </c>
      <c r="V77" s="20" t="n">
        <v>0</v>
      </c>
      <c r="W77" s="18" t="n">
        <v>27.72640813</v>
      </c>
      <c r="X77" s="20" t="n">
        <v>1.79973471</v>
      </c>
    </row>
    <row r="78" spans="1:24">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8861</v>
      </c>
      <c r="C81" s="18">
        <f>(7801.0/B81*100)</f>
        <v/>
      </c>
      <c r="D81" s="19" t="n">
        <v>1060</v>
      </c>
      <c r="E81" s="18" t="n">
        <v>48.57752352</v>
      </c>
      <c r="F81" s="20" t="n">
        <v>2.21766342</v>
      </c>
      <c r="G81" s="18" t="n">
        <v>41.87924909</v>
      </c>
      <c r="H81" s="20" t="n">
        <v>2.23922328</v>
      </c>
      <c r="I81" s="18" t="n">
        <v>0.00516274</v>
      </c>
      <c r="J81" s="20" t="n">
        <v>0.00514851</v>
      </c>
      <c r="K81" s="18" t="n">
        <v>0.60946526</v>
      </c>
      <c r="L81" s="20" t="n">
        <v>0.28855041</v>
      </c>
      <c r="M81" s="18" t="n">
        <v>0.46757253</v>
      </c>
      <c r="N81" s="20" t="n">
        <v>0.26468614</v>
      </c>
      <c r="O81" s="18" t="s">
        <v>349</v>
      </c>
      <c r="P81" s="20" t="s">
        <v>349</v>
      </c>
      <c r="Q81" s="18" t="n">
        <v>1.15810778</v>
      </c>
      <c r="R81" s="20" t="n">
        <v>0.40153156</v>
      </c>
      <c r="S81" s="18" t="n">
        <v>0</v>
      </c>
      <c r="T81" s="20" t="n">
        <v>0</v>
      </c>
      <c r="U81" s="18" t="n">
        <v>0</v>
      </c>
      <c r="V81" s="20" t="n">
        <v>0</v>
      </c>
      <c r="W81" s="18" t="n">
        <v>7.30291908</v>
      </c>
      <c r="X81" s="20" t="n">
        <v>0.9136196599999999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(12751.0/B7*100)</f>
        <v/>
      </c>
      <c r="D7" s="19" t="n">
        <v>1779</v>
      </c>
      <c r="E7" s="18" t="n">
        <v>59.06944095</v>
      </c>
      <c r="F7" s="20" t="n">
        <v>1.26459741</v>
      </c>
      <c r="G7" s="18" t="n">
        <v>38.1835591</v>
      </c>
      <c r="H7" s="20" t="n">
        <v>1.16536773</v>
      </c>
      <c r="I7" s="18" t="s">
        <v>349</v>
      </c>
      <c r="J7" s="20" t="s">
        <v>349</v>
      </c>
      <c r="K7" s="18" t="n">
        <v>2.74699995</v>
      </c>
      <c r="L7" s="20" t="n">
        <v>0.42036152</v>
      </c>
      <c r="M7" s="18" t="n">
        <v>0</v>
      </c>
      <c r="N7" s="20" t="n">
        <v>0</v>
      </c>
      <c r="O7" s="18" t="n">
        <v>0</v>
      </c>
      <c r="P7" s="20" t="n">
        <v>0</v>
      </c>
      <c r="Q7" s="18" t="n">
        <v>0</v>
      </c>
      <c r="R7" s="20" t="n">
        <v>0</v>
      </c>
    </row>
    <row r="8" spans="1:18">
      <c r="A8" s="15" t="s">
        <v>350</v>
      </c>
      <c r="B8" s="17" t="n">
        <v>7007</v>
      </c>
      <c r="C8" s="18">
        <f>(6176.0/B8*100)</f>
        <v/>
      </c>
      <c r="D8" s="19" t="n">
        <v>831</v>
      </c>
      <c r="E8" s="18" t="n">
        <v>57.52357413</v>
      </c>
      <c r="F8" s="20" t="n">
        <v>1.74035189</v>
      </c>
      <c r="G8" s="18" t="n">
        <v>38.87307732</v>
      </c>
      <c r="H8" s="20" t="n">
        <v>1.89584002</v>
      </c>
      <c r="I8" s="18" t="s">
        <v>349</v>
      </c>
      <c r="J8" s="20" t="s">
        <v>349</v>
      </c>
      <c r="K8" s="18" t="n">
        <v>3.60334856</v>
      </c>
      <c r="L8" s="20" t="n">
        <v>0.88347968</v>
      </c>
      <c r="M8" s="18" t="n">
        <v>0</v>
      </c>
      <c r="N8" s="20" t="n">
        <v>0</v>
      </c>
      <c r="O8" s="18" t="n">
        <v>0</v>
      </c>
      <c r="P8" s="20" t="n">
        <v>0</v>
      </c>
      <c r="Q8" s="18" t="n">
        <v>0</v>
      </c>
      <c r="R8" s="20" t="n">
        <v>0</v>
      </c>
    </row>
    <row r="9" spans="1:18">
      <c r="A9" s="15" t="s">
        <v>351</v>
      </c>
      <c r="B9" s="17" t="n">
        <v>9651</v>
      </c>
      <c r="C9" s="18">
        <f>(8547.0/B9*100)</f>
        <v/>
      </c>
      <c r="D9" s="19" t="n">
        <v>1104</v>
      </c>
      <c r="E9" s="18" t="n">
        <v>55.31401956</v>
      </c>
      <c r="F9" s="20" t="n">
        <v>1.55506666</v>
      </c>
      <c r="G9" s="18" t="n">
        <v>41.89441629</v>
      </c>
      <c r="H9" s="20" t="n">
        <v>1.55200554</v>
      </c>
      <c r="I9" s="18" t="s">
        <v>349</v>
      </c>
      <c r="J9" s="20" t="s">
        <v>349</v>
      </c>
      <c r="K9" s="18" t="n">
        <v>2.79156415</v>
      </c>
      <c r="L9" s="20" t="n">
        <v>0.50887063</v>
      </c>
      <c r="M9" s="18" t="n">
        <v>0</v>
      </c>
      <c r="N9" s="20" t="n">
        <v>0</v>
      </c>
      <c r="O9" s="18" t="n">
        <v>0</v>
      </c>
      <c r="P9" s="20" t="n">
        <v>0</v>
      </c>
      <c r="Q9" s="18" t="n">
        <v>0</v>
      </c>
      <c r="R9" s="20" t="n">
        <v>0</v>
      </c>
    </row>
    <row r="10" spans="1:18">
      <c r="A10" s="15" t="s">
        <v>352</v>
      </c>
      <c r="B10" s="17" t="n">
        <v>20058</v>
      </c>
      <c r="C10" s="18">
        <f>(17673.0/B10*100)</f>
        <v/>
      </c>
      <c r="D10" s="19" t="n">
        <v>2385</v>
      </c>
      <c r="E10" s="18" t="n">
        <v>54.66181102</v>
      </c>
      <c r="F10" s="20" t="n">
        <v>1.28706957</v>
      </c>
      <c r="G10" s="18" t="n">
        <v>42.63674576</v>
      </c>
      <c r="H10" s="20" t="n">
        <v>1.25144113</v>
      </c>
      <c r="I10" s="18" t="s">
        <v>349</v>
      </c>
      <c r="J10" s="20" t="s">
        <v>349</v>
      </c>
      <c r="K10" s="18" t="n">
        <v>2.70144322</v>
      </c>
      <c r="L10" s="20" t="n">
        <v>0.47902559</v>
      </c>
      <c r="M10" s="18" t="n">
        <v>0</v>
      </c>
      <c r="N10" s="20" t="n">
        <v>0</v>
      </c>
      <c r="O10" s="18" t="n">
        <v>0</v>
      </c>
      <c r="P10" s="20" t="n">
        <v>0</v>
      </c>
      <c r="Q10" s="18" t="n">
        <v>0</v>
      </c>
      <c r="R10" s="20" t="n">
        <v>0</v>
      </c>
    </row>
    <row r="11" spans="1:18">
      <c r="A11" s="15" t="s">
        <v>353</v>
      </c>
      <c r="B11" s="17" t="n">
        <v>7053</v>
      </c>
      <c r="C11" s="18">
        <f>(6229.0/B11*100)</f>
        <v/>
      </c>
      <c r="D11" s="19" t="n">
        <v>824</v>
      </c>
      <c r="E11" s="18" t="n">
        <v>69.875275</v>
      </c>
      <c r="F11" s="20" t="n">
        <v>1.5707534</v>
      </c>
      <c r="G11" s="18" t="n">
        <v>21.304642</v>
      </c>
      <c r="H11" s="20" t="n">
        <v>1.54837441</v>
      </c>
      <c r="I11" s="18" t="s">
        <v>349</v>
      </c>
      <c r="J11" s="20" t="s">
        <v>349</v>
      </c>
      <c r="K11" s="18" t="n">
        <v>8.820083009999999</v>
      </c>
      <c r="L11" s="20" t="n">
        <v>1.0462389</v>
      </c>
      <c r="M11" s="18" t="n">
        <v>0</v>
      </c>
      <c r="N11" s="20" t="n">
        <v>0</v>
      </c>
      <c r="O11" s="18" t="n">
        <v>0</v>
      </c>
      <c r="P11" s="20" t="n">
        <v>0</v>
      </c>
      <c r="Q11" s="18" t="n">
        <v>0</v>
      </c>
      <c r="R11" s="20" t="n">
        <v>0</v>
      </c>
    </row>
    <row r="12" spans="1:18">
      <c r="A12" s="15" t="s">
        <v>354</v>
      </c>
      <c r="B12" s="17" t="n">
        <v>6894</v>
      </c>
      <c r="C12" s="18">
        <f>(6087.0/B12*100)</f>
        <v/>
      </c>
      <c r="D12" s="19" t="n">
        <v>807</v>
      </c>
      <c r="E12" s="18" t="n">
        <v>53.07006836</v>
      </c>
      <c r="F12" s="20" t="n">
        <v>2.18333598</v>
      </c>
      <c r="G12" s="18" t="n">
        <v>42.22389932</v>
      </c>
      <c r="H12" s="20" t="n">
        <v>2.01117755</v>
      </c>
      <c r="I12" s="18" t="s">
        <v>349</v>
      </c>
      <c r="J12" s="20" t="s">
        <v>349</v>
      </c>
      <c r="K12" s="18" t="n">
        <v>4.70603232</v>
      </c>
      <c r="L12" s="20" t="n">
        <v>0.85017106</v>
      </c>
      <c r="M12" s="18" t="n">
        <v>0</v>
      </c>
      <c r="N12" s="20" t="n">
        <v>0</v>
      </c>
      <c r="O12" s="18" t="n">
        <v>0</v>
      </c>
      <c r="P12" s="20" t="n">
        <v>0</v>
      </c>
      <c r="Q12" s="18" t="n">
        <v>0</v>
      </c>
      <c r="R12" s="20" t="n">
        <v>0</v>
      </c>
    </row>
    <row r="13" spans="1:18">
      <c r="A13" s="15" t="s">
        <v>355</v>
      </c>
      <c r="B13" s="17" t="n">
        <v>7161</v>
      </c>
      <c r="C13" s="18">
        <f>(6352.0/B13*100)</f>
        <v/>
      </c>
      <c r="D13" s="19" t="n">
        <v>809</v>
      </c>
      <c r="E13" s="18" t="n">
        <v>53.06115211</v>
      </c>
      <c r="F13" s="20" t="n">
        <v>2.10177531</v>
      </c>
      <c r="G13" s="18" t="n">
        <v>43.53946007</v>
      </c>
      <c r="H13" s="20" t="n">
        <v>2.14025456</v>
      </c>
      <c r="I13" s="18" t="s">
        <v>349</v>
      </c>
      <c r="J13" s="20" t="s">
        <v>349</v>
      </c>
      <c r="K13" s="18" t="n">
        <v>3.39938782</v>
      </c>
      <c r="L13" s="20" t="n">
        <v>0.81489177</v>
      </c>
      <c r="M13" s="18" t="n">
        <v>0</v>
      </c>
      <c r="N13" s="20" t="n">
        <v>0</v>
      </c>
      <c r="O13" s="18" t="n">
        <v>0</v>
      </c>
      <c r="P13" s="20" t="n">
        <v>0</v>
      </c>
      <c r="Q13" s="18" t="n">
        <v>0</v>
      </c>
      <c r="R13" s="20" t="n">
        <v>0</v>
      </c>
    </row>
    <row r="14" spans="1:18">
      <c r="A14" s="15" t="s">
        <v>356</v>
      </c>
      <c r="B14" s="17" t="n">
        <v>5587</v>
      </c>
      <c r="C14" s="18">
        <f>(4895.0/B14*100)</f>
        <v/>
      </c>
      <c r="D14" s="19" t="n">
        <v>692</v>
      </c>
      <c r="E14" s="18" t="n">
        <v>50.74856973</v>
      </c>
      <c r="F14" s="20" t="n">
        <v>2.01731882</v>
      </c>
      <c r="G14" s="18" t="n">
        <v>47.32803084</v>
      </c>
      <c r="H14" s="20" t="n">
        <v>1.967285</v>
      </c>
      <c r="I14" s="18" t="s">
        <v>349</v>
      </c>
      <c r="J14" s="20" t="s">
        <v>349</v>
      </c>
      <c r="K14" s="18" t="n">
        <v>1.92339943</v>
      </c>
      <c r="L14" s="20" t="n">
        <v>0.60917359</v>
      </c>
      <c r="M14" s="18" t="n">
        <v>0</v>
      </c>
      <c r="N14" s="20" t="n">
        <v>0</v>
      </c>
      <c r="O14" s="18" t="n">
        <v>0</v>
      </c>
      <c r="P14" s="20" t="n">
        <v>0</v>
      </c>
      <c r="Q14" s="18" t="n">
        <v>0</v>
      </c>
      <c r="R14" s="20" t="n">
        <v>0</v>
      </c>
    </row>
    <row r="15" spans="1:18">
      <c r="A15" s="15" t="s">
        <v>357</v>
      </c>
      <c r="B15" s="17" t="n">
        <v>5882</v>
      </c>
      <c r="C15" s="18">
        <f>(5178.0/B15*100)</f>
        <v/>
      </c>
      <c r="D15" s="19" t="n">
        <v>704</v>
      </c>
      <c r="E15" s="18" t="n">
        <v>48.27086354</v>
      </c>
      <c r="F15" s="20" t="n">
        <v>2.0825175</v>
      </c>
      <c r="G15" s="18" t="n">
        <v>49.39122965</v>
      </c>
      <c r="H15" s="20" t="n">
        <v>2.17037142</v>
      </c>
      <c r="I15" s="18" t="s">
        <v>349</v>
      </c>
      <c r="J15" s="20" t="s">
        <v>349</v>
      </c>
      <c r="K15" s="18" t="n">
        <v>2.33790681</v>
      </c>
      <c r="L15" s="20" t="n">
        <v>0.61216412</v>
      </c>
      <c r="M15" s="18" t="n">
        <v>0</v>
      </c>
      <c r="N15" s="20" t="n">
        <v>0</v>
      </c>
      <c r="O15" s="18" t="n">
        <v>0</v>
      </c>
      <c r="P15" s="20" t="n">
        <v>0</v>
      </c>
      <c r="Q15" s="18" t="n">
        <v>0</v>
      </c>
      <c r="R15" s="20" t="n">
        <v>0</v>
      </c>
    </row>
    <row r="16" spans="1:18">
      <c r="A16" s="15" t="s">
        <v>358</v>
      </c>
      <c r="B16" s="17" t="n">
        <v>6108</v>
      </c>
      <c r="C16" s="18">
        <f>(5359.0/B16*100)</f>
        <v/>
      </c>
      <c r="D16" s="19" t="n">
        <v>749</v>
      </c>
      <c r="E16" s="18" t="n">
        <v>57.49100708</v>
      </c>
      <c r="F16" s="20" t="n">
        <v>1.88570656</v>
      </c>
      <c r="G16" s="18" t="n">
        <v>36.2596296</v>
      </c>
      <c r="H16" s="20" t="n">
        <v>1.78196052</v>
      </c>
      <c r="I16" s="18" t="s">
        <v>349</v>
      </c>
      <c r="J16" s="20" t="s">
        <v>349</v>
      </c>
      <c r="K16" s="18" t="n">
        <v>6.24936333</v>
      </c>
      <c r="L16" s="20" t="n">
        <v>0.94741477</v>
      </c>
      <c r="M16" s="18" t="n">
        <v>0</v>
      </c>
      <c r="N16" s="20" t="n">
        <v>0</v>
      </c>
      <c r="O16" s="18" t="n">
        <v>0</v>
      </c>
      <c r="P16" s="20" t="n">
        <v>0</v>
      </c>
      <c r="Q16" s="18" t="n">
        <v>0</v>
      </c>
      <c r="R16" s="20" t="n">
        <v>0</v>
      </c>
    </row>
    <row r="17" spans="1:18">
      <c r="A17" s="15" t="s">
        <v>359</v>
      </c>
      <c r="B17" s="17" t="n">
        <v>6504</v>
      </c>
      <c r="C17" s="18">
        <f>(5739.0/B17*100)</f>
        <v/>
      </c>
      <c r="D17" s="19" t="n">
        <v>765</v>
      </c>
      <c r="E17" s="18" t="n">
        <v>52.712322</v>
      </c>
      <c r="F17" s="20" t="n">
        <v>1.91892976</v>
      </c>
      <c r="G17" s="18" t="n">
        <v>44.00544206</v>
      </c>
      <c r="H17" s="20" t="n">
        <v>1.95231953</v>
      </c>
      <c r="I17" s="18" t="s">
        <v>349</v>
      </c>
      <c r="J17" s="20" t="s">
        <v>349</v>
      </c>
      <c r="K17" s="18" t="n">
        <v>3.28223594</v>
      </c>
      <c r="L17" s="20" t="n">
        <v>0.6791728</v>
      </c>
      <c r="M17" s="18" t="n">
        <v>0</v>
      </c>
      <c r="N17" s="20" t="n">
        <v>0</v>
      </c>
      <c r="O17" s="18" t="n">
        <v>0</v>
      </c>
      <c r="P17" s="20" t="n">
        <v>0</v>
      </c>
      <c r="Q17" s="18" t="n">
        <v>0</v>
      </c>
      <c r="R17" s="20" t="n">
        <v>0</v>
      </c>
    </row>
    <row r="18" spans="1:18">
      <c r="A18" s="15" t="s">
        <v>360</v>
      </c>
      <c r="B18" s="17" t="n">
        <v>5532</v>
      </c>
      <c r="C18" s="18">
        <f>(4877.0/B18*100)</f>
        <v/>
      </c>
      <c r="D18" s="19" t="n">
        <v>655</v>
      </c>
      <c r="E18" s="18" t="n">
        <v>74.25515091</v>
      </c>
      <c r="F18" s="20" t="n">
        <v>1.79930289</v>
      </c>
      <c r="G18" s="18" t="n">
        <v>20.34005703</v>
      </c>
      <c r="H18" s="20" t="n">
        <v>1.69223044</v>
      </c>
      <c r="I18" s="18" t="s">
        <v>349</v>
      </c>
      <c r="J18" s="20" t="s">
        <v>349</v>
      </c>
      <c r="K18" s="18" t="n">
        <v>5.40479206</v>
      </c>
      <c r="L18" s="20" t="n">
        <v>0.7683845500000001</v>
      </c>
      <c r="M18" s="18" t="n">
        <v>0</v>
      </c>
      <c r="N18" s="20" t="n">
        <v>0</v>
      </c>
      <c r="O18" s="18" t="n">
        <v>0</v>
      </c>
      <c r="P18" s="20" t="n">
        <v>0</v>
      </c>
      <c r="Q18" s="18" t="n">
        <v>0</v>
      </c>
      <c r="R18" s="20" t="n">
        <v>0</v>
      </c>
    </row>
    <row r="19" spans="1:18">
      <c r="A19" s="15" t="s">
        <v>361</v>
      </c>
      <c r="B19" s="17" t="n">
        <v>5658</v>
      </c>
      <c r="C19" s="18">
        <f>(4987.0/B19*100)</f>
        <v/>
      </c>
      <c r="D19" s="19" t="n">
        <v>671</v>
      </c>
      <c r="E19" s="18" t="n">
        <v>60.29248311</v>
      </c>
      <c r="F19" s="20" t="n">
        <v>2.11693298</v>
      </c>
      <c r="G19" s="18" t="n">
        <v>33.43520039</v>
      </c>
      <c r="H19" s="20" t="n">
        <v>1.84896697</v>
      </c>
      <c r="I19" s="18" t="s">
        <v>349</v>
      </c>
      <c r="J19" s="20" t="s">
        <v>349</v>
      </c>
      <c r="K19" s="18" t="n">
        <v>6.2723165</v>
      </c>
      <c r="L19" s="20" t="n">
        <v>1.24969507</v>
      </c>
      <c r="M19" s="18" t="n">
        <v>0</v>
      </c>
      <c r="N19" s="20" t="n">
        <v>0</v>
      </c>
      <c r="O19" s="18" t="n">
        <v>0</v>
      </c>
      <c r="P19" s="20" t="n">
        <v>0</v>
      </c>
      <c r="Q19" s="18" t="n">
        <v>0</v>
      </c>
      <c r="R19" s="20" t="n">
        <v>0</v>
      </c>
    </row>
    <row r="20" spans="1:18">
      <c r="A20" s="15" t="s">
        <v>362</v>
      </c>
      <c r="B20" s="17" t="n">
        <v>3371</v>
      </c>
      <c r="C20" s="18">
        <f>(2955.0/B20*100)</f>
        <v/>
      </c>
      <c r="D20" s="19" t="n">
        <v>416</v>
      </c>
      <c r="E20" s="18" t="n">
        <v>57.26500498</v>
      </c>
      <c r="F20" s="20" t="n">
        <v>2.64320239</v>
      </c>
      <c r="G20" s="18" t="n">
        <v>38.33550144</v>
      </c>
      <c r="H20" s="20" t="n">
        <v>2.47159533</v>
      </c>
      <c r="I20" s="18" t="s">
        <v>349</v>
      </c>
      <c r="J20" s="20" t="s">
        <v>349</v>
      </c>
      <c r="K20" s="18" t="n">
        <v>4.39949358</v>
      </c>
      <c r="L20" s="20" t="n">
        <v>1.13307172</v>
      </c>
      <c r="M20" s="18" t="n">
        <v>0</v>
      </c>
      <c r="N20" s="20" t="n">
        <v>0</v>
      </c>
      <c r="O20" s="18" t="n">
        <v>0</v>
      </c>
      <c r="P20" s="20" t="n">
        <v>0</v>
      </c>
      <c r="Q20" s="18" t="n">
        <v>0</v>
      </c>
      <c r="R20" s="20" t="n">
        <v>0</v>
      </c>
    </row>
    <row r="21" spans="1:18">
      <c r="A21" s="15" t="s">
        <v>363</v>
      </c>
      <c r="B21" s="17" t="n">
        <v>5741</v>
      </c>
      <c r="C21" s="18">
        <f>(4824.0/B21*100)</f>
        <v/>
      </c>
      <c r="D21" s="19" t="n">
        <v>917</v>
      </c>
      <c r="E21" s="18" t="n">
        <v>61.79415251</v>
      </c>
      <c r="F21" s="20" t="n">
        <v>1.77366255</v>
      </c>
      <c r="G21" s="18" t="n">
        <v>35.66790661</v>
      </c>
      <c r="H21" s="20" t="n">
        <v>1.74748901</v>
      </c>
      <c r="I21" s="18" t="s">
        <v>349</v>
      </c>
      <c r="J21" s="20" t="s">
        <v>349</v>
      </c>
      <c r="K21" s="18" t="n">
        <v>2.53794089</v>
      </c>
      <c r="L21" s="20" t="n">
        <v>0.52845276</v>
      </c>
      <c r="M21" s="18" t="n">
        <v>0</v>
      </c>
      <c r="N21" s="20" t="n">
        <v>0</v>
      </c>
      <c r="O21" s="18" t="n">
        <v>0</v>
      </c>
      <c r="P21" s="20" t="n">
        <v>0</v>
      </c>
      <c r="Q21" s="18" t="n">
        <v>0</v>
      </c>
      <c r="R21" s="20" t="n">
        <v>0</v>
      </c>
    </row>
    <row r="22" spans="1:18">
      <c r="A22" s="15" t="s">
        <v>364</v>
      </c>
      <c r="B22" s="17" t="n">
        <v>6598</v>
      </c>
      <c r="C22" s="18">
        <f>(5809.0/B22*100)</f>
        <v/>
      </c>
      <c r="D22" s="19" t="n">
        <v>789</v>
      </c>
      <c r="E22" s="18" t="n">
        <v>64.21312082</v>
      </c>
      <c r="F22" s="20" t="n">
        <v>2.0308765</v>
      </c>
      <c r="G22" s="18" t="n">
        <v>28.13351831</v>
      </c>
      <c r="H22" s="20" t="n">
        <v>1.86908739</v>
      </c>
      <c r="I22" s="18" t="s">
        <v>349</v>
      </c>
      <c r="J22" s="20" t="s">
        <v>349</v>
      </c>
      <c r="K22" s="18" t="n">
        <v>7.65336087</v>
      </c>
      <c r="L22" s="20" t="n">
        <v>1.00433806</v>
      </c>
      <c r="M22" s="18" t="n">
        <v>0</v>
      </c>
      <c r="N22" s="20" t="n">
        <v>0</v>
      </c>
      <c r="O22" s="18" t="n">
        <v>0</v>
      </c>
      <c r="P22" s="20" t="n">
        <v>0</v>
      </c>
      <c r="Q22" s="18" t="n">
        <v>0</v>
      </c>
      <c r="R22" s="20" t="n">
        <v>0</v>
      </c>
    </row>
    <row r="23" spans="1:18">
      <c r="A23" s="15" t="s">
        <v>365</v>
      </c>
      <c r="B23" s="17" t="n">
        <v>11583</v>
      </c>
      <c r="C23" s="18">
        <f>(10183.0/B23*100)</f>
        <v/>
      </c>
      <c r="D23" s="19" t="n">
        <v>1400</v>
      </c>
      <c r="E23" s="18" t="n">
        <v>63.43403611</v>
      </c>
      <c r="F23" s="20" t="n">
        <v>1.82178747</v>
      </c>
      <c r="G23" s="18" t="n">
        <v>31.07181665</v>
      </c>
      <c r="H23" s="20" t="n">
        <v>2.000523</v>
      </c>
      <c r="I23" s="18" t="s">
        <v>349</v>
      </c>
      <c r="J23" s="20" t="s">
        <v>349</v>
      </c>
      <c r="K23" s="18" t="n">
        <v>5.49414724</v>
      </c>
      <c r="L23" s="20" t="n">
        <v>0.98809186</v>
      </c>
      <c r="M23" s="18" t="n">
        <v>0</v>
      </c>
      <c r="N23" s="20" t="n">
        <v>0</v>
      </c>
      <c r="O23" s="18" t="n">
        <v>0</v>
      </c>
      <c r="P23" s="20" t="n">
        <v>0</v>
      </c>
      <c r="Q23" s="18" t="n">
        <v>0</v>
      </c>
      <c r="R23" s="20" t="n">
        <v>0</v>
      </c>
    </row>
    <row r="24" spans="1:18">
      <c r="A24" s="15" t="s">
        <v>366</v>
      </c>
      <c r="B24" s="17" t="n">
        <v>6647</v>
      </c>
      <c r="C24" s="18">
        <f>(5829.0/B24*100)</f>
        <v/>
      </c>
      <c r="D24" s="19" t="n">
        <v>818</v>
      </c>
      <c r="E24" s="18" t="n">
        <v>45.71594259</v>
      </c>
      <c r="F24" s="20" t="n">
        <v>1.84324216</v>
      </c>
      <c r="G24" s="18" t="n">
        <v>51.7310026</v>
      </c>
      <c r="H24" s="20" t="n">
        <v>1.76870906</v>
      </c>
      <c r="I24" s="18" t="s">
        <v>349</v>
      </c>
      <c r="J24" s="20" t="s">
        <v>349</v>
      </c>
      <c r="K24" s="18" t="n">
        <v>2.55305481</v>
      </c>
      <c r="L24" s="20" t="n">
        <v>0.7166081399999999</v>
      </c>
      <c r="M24" s="18" t="n">
        <v>0</v>
      </c>
      <c r="N24" s="20" t="n">
        <v>0</v>
      </c>
      <c r="O24" s="18" t="n">
        <v>0</v>
      </c>
      <c r="P24" s="20" t="n">
        <v>0</v>
      </c>
      <c r="Q24" s="18" t="n">
        <v>0</v>
      </c>
      <c r="R24" s="20" t="n">
        <v>0</v>
      </c>
    </row>
    <row r="25" spans="1:18">
      <c r="A25" s="15" t="s">
        <v>367</v>
      </c>
      <c r="B25" s="17" t="n">
        <v>5581</v>
      </c>
      <c r="C25" s="18">
        <f>(4887.0/B25*100)</f>
        <v/>
      </c>
      <c r="D25" s="19" t="n">
        <v>694</v>
      </c>
      <c r="E25" s="18" t="n">
        <v>54.14025263</v>
      </c>
      <c r="F25" s="20" t="n">
        <v>1.79092238</v>
      </c>
      <c r="G25" s="18" t="n">
        <v>43.52233929</v>
      </c>
      <c r="H25" s="20" t="n">
        <v>1.78037166</v>
      </c>
      <c r="I25" s="18" t="s">
        <v>349</v>
      </c>
      <c r="J25" s="20" t="s">
        <v>349</v>
      </c>
      <c r="K25" s="18" t="n">
        <v>2.33740807</v>
      </c>
      <c r="L25" s="20" t="n">
        <v>0.57426539</v>
      </c>
      <c r="M25" s="18" t="n">
        <v>0</v>
      </c>
      <c r="N25" s="20" t="n">
        <v>0</v>
      </c>
      <c r="O25" s="18" t="n">
        <v>0</v>
      </c>
      <c r="P25" s="20" t="n">
        <v>0</v>
      </c>
      <c r="Q25" s="18" t="n">
        <v>0</v>
      </c>
      <c r="R25" s="20" t="n">
        <v>0</v>
      </c>
    </row>
    <row r="26" spans="1:18">
      <c r="A26" s="15" t="s">
        <v>368</v>
      </c>
      <c r="B26" s="17" t="n">
        <v>4869</v>
      </c>
      <c r="C26" s="18">
        <f>(4295.0/B26*100)</f>
        <v/>
      </c>
      <c r="D26" s="19" t="n">
        <v>574</v>
      </c>
      <c r="E26" s="18" t="n">
        <v>60.44463034</v>
      </c>
      <c r="F26" s="20" t="n">
        <v>2.16829486</v>
      </c>
      <c r="G26" s="18" t="n">
        <v>38.53346955</v>
      </c>
      <c r="H26" s="20" t="n">
        <v>2.13365164</v>
      </c>
      <c r="I26" s="18" t="s">
        <v>349</v>
      </c>
      <c r="J26" s="20" t="s">
        <v>349</v>
      </c>
      <c r="K26" s="18" t="n">
        <v>1.02190011</v>
      </c>
      <c r="L26" s="20" t="n">
        <v>0.38321391</v>
      </c>
      <c r="M26" s="18" t="n">
        <v>0</v>
      </c>
      <c r="N26" s="20" t="n">
        <v>0</v>
      </c>
      <c r="O26" s="18" t="n">
        <v>0</v>
      </c>
      <c r="P26" s="20" t="n">
        <v>0</v>
      </c>
      <c r="Q26" s="18" t="n">
        <v>0</v>
      </c>
      <c r="R26" s="20" t="n">
        <v>0</v>
      </c>
    </row>
    <row r="27" spans="1:18">
      <c r="A27" s="15" t="s">
        <v>369</v>
      </c>
      <c r="B27" s="17" t="n">
        <v>5299</v>
      </c>
      <c r="C27" s="18">
        <f>(4690.0/B27*100)</f>
        <v/>
      </c>
      <c r="D27" s="19" t="n">
        <v>609</v>
      </c>
      <c r="E27" s="18" t="n">
        <v>60.15719484</v>
      </c>
      <c r="F27" s="20" t="n">
        <v>1.92152312</v>
      </c>
      <c r="G27" s="18" t="n">
        <v>36.5508415</v>
      </c>
      <c r="H27" s="20" t="n">
        <v>1.88056374</v>
      </c>
      <c r="I27" s="18" t="s">
        <v>349</v>
      </c>
      <c r="J27" s="20" t="s">
        <v>349</v>
      </c>
      <c r="K27" s="18" t="n">
        <v>3.29196367</v>
      </c>
      <c r="L27" s="20" t="n">
        <v>0.70904147</v>
      </c>
      <c r="M27" s="18" t="n">
        <v>0</v>
      </c>
      <c r="N27" s="20" t="n">
        <v>0</v>
      </c>
      <c r="O27" s="18" t="n">
        <v>0</v>
      </c>
      <c r="P27" s="20" t="n">
        <v>0</v>
      </c>
      <c r="Q27" s="18" t="n">
        <v>0</v>
      </c>
      <c r="R27" s="20" t="n">
        <v>0</v>
      </c>
    </row>
    <row r="28" spans="1:18">
      <c r="A28" s="15" t="s">
        <v>370</v>
      </c>
      <c r="B28" s="17" t="n">
        <v>7568</v>
      </c>
      <c r="C28" s="18">
        <f>(6778.0/B28*100)</f>
        <v/>
      </c>
      <c r="D28" s="19" t="n">
        <v>790</v>
      </c>
      <c r="E28" s="18" t="n">
        <v>80.78936751000001</v>
      </c>
      <c r="F28" s="20" t="n">
        <v>1.31088845</v>
      </c>
      <c r="G28" s="18" t="n">
        <v>17.52907619</v>
      </c>
      <c r="H28" s="20" t="n">
        <v>1.31333604</v>
      </c>
      <c r="I28" s="18" t="s">
        <v>349</v>
      </c>
      <c r="J28" s="20" t="s">
        <v>349</v>
      </c>
      <c r="K28" s="18" t="n">
        <v>1.6815563</v>
      </c>
      <c r="L28" s="20" t="n">
        <v>0.45504172</v>
      </c>
      <c r="M28" s="18" t="n">
        <v>0</v>
      </c>
      <c r="N28" s="20" t="n">
        <v>0</v>
      </c>
      <c r="O28" s="18" t="n">
        <v>0</v>
      </c>
      <c r="P28" s="20" t="n">
        <v>0</v>
      </c>
      <c r="Q28" s="18" t="n">
        <v>0</v>
      </c>
      <c r="R28" s="20" t="n">
        <v>0</v>
      </c>
    </row>
    <row r="29" spans="1:18">
      <c r="A29" s="15" t="s">
        <v>371</v>
      </c>
      <c r="B29" s="17" t="n">
        <v>5385</v>
      </c>
      <c r="C29" s="18">
        <f>(4744.0/B29*100)</f>
        <v/>
      </c>
      <c r="D29" s="19" t="n">
        <v>641</v>
      </c>
      <c r="E29" s="18" t="n">
        <v>52.28951354</v>
      </c>
      <c r="F29" s="20" t="n">
        <v>1.78976017</v>
      </c>
      <c r="G29" s="18" t="n">
        <v>46.00007237</v>
      </c>
      <c r="H29" s="20" t="n">
        <v>1.75547426</v>
      </c>
      <c r="I29" s="18" t="s">
        <v>349</v>
      </c>
      <c r="J29" s="20" t="s">
        <v>349</v>
      </c>
      <c r="K29" s="18" t="n">
        <v>1.71041409</v>
      </c>
      <c r="L29" s="20" t="n">
        <v>0.57303717</v>
      </c>
      <c r="M29" s="18" t="n">
        <v>0</v>
      </c>
      <c r="N29" s="20" t="n">
        <v>0</v>
      </c>
      <c r="O29" s="18" t="n">
        <v>0</v>
      </c>
      <c r="P29" s="20" t="n">
        <v>0</v>
      </c>
      <c r="Q29" s="18" t="n">
        <v>0</v>
      </c>
      <c r="R29" s="20" t="n">
        <v>0</v>
      </c>
    </row>
    <row r="30" spans="1:18">
      <c r="A30" s="15" t="s">
        <v>372</v>
      </c>
      <c r="B30" s="17" t="n">
        <v>4520</v>
      </c>
      <c r="C30" s="18">
        <f>(3972.0/B30*100)</f>
        <v/>
      </c>
      <c r="D30" s="19" t="n">
        <v>548</v>
      </c>
      <c r="E30" s="18" t="n">
        <v>56.87730165</v>
      </c>
      <c r="F30" s="20" t="n">
        <v>1.79336452</v>
      </c>
      <c r="G30" s="18" t="n">
        <v>38.80260424</v>
      </c>
      <c r="H30" s="20" t="n">
        <v>1.89012502</v>
      </c>
      <c r="I30" s="18" t="s">
        <v>349</v>
      </c>
      <c r="J30" s="20" t="s">
        <v>349</v>
      </c>
      <c r="K30" s="18" t="n">
        <v>4.32009411</v>
      </c>
      <c r="L30" s="20" t="n">
        <v>0.85047797</v>
      </c>
      <c r="M30" s="18" t="n">
        <v>0</v>
      </c>
      <c r="N30" s="20" t="n">
        <v>0</v>
      </c>
      <c r="O30" s="18" t="n">
        <v>0</v>
      </c>
      <c r="P30" s="20" t="n">
        <v>0</v>
      </c>
      <c r="Q30" s="18" t="n">
        <v>0</v>
      </c>
      <c r="R30" s="20" t="n">
        <v>0</v>
      </c>
    </row>
    <row r="31" spans="1:18">
      <c r="A31" s="15" t="s">
        <v>373</v>
      </c>
      <c r="B31" s="17" t="n">
        <v>5456</v>
      </c>
      <c r="C31" s="18">
        <f>(4785.0/B31*100)</f>
        <v/>
      </c>
      <c r="D31" s="19" t="n">
        <v>671</v>
      </c>
      <c r="E31" s="18" t="n">
        <v>57.67294268</v>
      </c>
      <c r="F31" s="20" t="n">
        <v>1.95131945</v>
      </c>
      <c r="G31" s="18" t="n">
        <v>36.76911123</v>
      </c>
      <c r="H31" s="20" t="n">
        <v>1.93329502</v>
      </c>
      <c r="I31" s="18" t="s">
        <v>349</v>
      </c>
      <c r="J31" s="20" t="s">
        <v>349</v>
      </c>
      <c r="K31" s="18" t="n">
        <v>5.55794609</v>
      </c>
      <c r="L31" s="20" t="n">
        <v>0.90872091</v>
      </c>
      <c r="M31" s="18" t="n">
        <v>0</v>
      </c>
      <c r="N31" s="20" t="n">
        <v>0</v>
      </c>
      <c r="O31" s="18" t="n">
        <v>0</v>
      </c>
      <c r="P31" s="20" t="n">
        <v>0</v>
      </c>
      <c r="Q31" s="18" t="n">
        <v>0</v>
      </c>
      <c r="R31" s="20" t="n">
        <v>0</v>
      </c>
    </row>
    <row r="32" spans="1:18">
      <c r="A32" s="15" t="s">
        <v>374</v>
      </c>
      <c r="B32" s="17" t="n">
        <v>4478</v>
      </c>
      <c r="C32" s="18">
        <f>(3768.0/B32*100)</f>
        <v/>
      </c>
      <c r="D32" s="19" t="n">
        <v>710</v>
      </c>
      <c r="E32" s="18" t="n">
        <v>60.19703902</v>
      </c>
      <c r="F32" s="20" t="n">
        <v>1.96902465</v>
      </c>
      <c r="G32" s="18" t="n">
        <v>37.81762933</v>
      </c>
      <c r="H32" s="20" t="n">
        <v>1.89867114</v>
      </c>
      <c r="I32" s="18" t="s">
        <v>349</v>
      </c>
      <c r="J32" s="20" t="s">
        <v>349</v>
      </c>
      <c r="K32" s="18" t="n">
        <v>1.98533165</v>
      </c>
      <c r="L32" s="20" t="n">
        <v>0.48381615</v>
      </c>
      <c r="M32" s="18" t="n">
        <v>0</v>
      </c>
      <c r="N32" s="20" t="n">
        <v>0</v>
      </c>
      <c r="O32" s="18" t="n">
        <v>0</v>
      </c>
      <c r="P32" s="20" t="n">
        <v>0</v>
      </c>
      <c r="Q32" s="18" t="n">
        <v>0</v>
      </c>
      <c r="R32" s="20" t="n">
        <v>0</v>
      </c>
    </row>
    <row r="33" spans="1:18">
      <c r="A33" s="15" t="s">
        <v>375</v>
      </c>
      <c r="B33" s="17" t="n">
        <v>7325</v>
      </c>
      <c r="C33" s="18">
        <f>(6467.0/B33*100)</f>
        <v/>
      </c>
      <c r="D33" s="19" t="n">
        <v>858</v>
      </c>
      <c r="E33" s="18" t="n">
        <v>61.54728907</v>
      </c>
      <c r="F33" s="20" t="n">
        <v>1.83606728</v>
      </c>
      <c r="G33" s="18" t="n">
        <v>33.55695718</v>
      </c>
      <c r="H33" s="20" t="n">
        <v>1.7458966</v>
      </c>
      <c r="I33" s="18" t="s">
        <v>349</v>
      </c>
      <c r="J33" s="20" t="s">
        <v>349</v>
      </c>
      <c r="K33" s="18" t="n">
        <v>4.89575375</v>
      </c>
      <c r="L33" s="20" t="n">
        <v>1.05555428</v>
      </c>
      <c r="M33" s="18" t="n">
        <v>0</v>
      </c>
      <c r="N33" s="20" t="n">
        <v>0</v>
      </c>
      <c r="O33" s="18" t="n">
        <v>0</v>
      </c>
      <c r="P33" s="20" t="n">
        <v>0</v>
      </c>
      <c r="Q33" s="18" t="n">
        <v>0</v>
      </c>
      <c r="R33" s="20" t="n">
        <v>0</v>
      </c>
    </row>
    <row r="34" spans="1:18">
      <c r="A34" s="15" t="s">
        <v>376</v>
      </c>
      <c r="B34" s="17" t="n">
        <v>6350</v>
      </c>
      <c r="C34" s="18">
        <f>(5604.0/B34*100)</f>
        <v/>
      </c>
      <c r="D34" s="19" t="n">
        <v>746</v>
      </c>
      <c r="E34" s="18" t="n">
        <v>64.99938514999999</v>
      </c>
      <c r="F34" s="20" t="n">
        <v>2.00016245</v>
      </c>
      <c r="G34" s="18" t="n">
        <v>32.12400283</v>
      </c>
      <c r="H34" s="20" t="n">
        <v>2.03795979</v>
      </c>
      <c r="I34" s="18" t="s">
        <v>349</v>
      </c>
      <c r="J34" s="20" t="s">
        <v>349</v>
      </c>
      <c r="K34" s="18" t="n">
        <v>2.87661202</v>
      </c>
      <c r="L34" s="20" t="n">
        <v>0.76315014</v>
      </c>
      <c r="M34" s="18" t="n">
        <v>0</v>
      </c>
      <c r="N34" s="20" t="n">
        <v>0</v>
      </c>
      <c r="O34" s="18" t="n">
        <v>0</v>
      </c>
      <c r="P34" s="20" t="n">
        <v>0</v>
      </c>
      <c r="Q34" s="18" t="n">
        <v>0</v>
      </c>
      <c r="R34" s="20" t="n">
        <v>0</v>
      </c>
    </row>
    <row r="35" spans="1:18">
      <c r="A35" s="15" t="s">
        <v>377</v>
      </c>
      <c r="B35" s="17" t="n">
        <v>6406</v>
      </c>
      <c r="C35" s="18">
        <f>(5644.0/B35*100)</f>
        <v/>
      </c>
      <c r="D35" s="19" t="n">
        <v>762</v>
      </c>
      <c r="E35" s="18" t="n">
        <v>54.49270745</v>
      </c>
      <c r="F35" s="20" t="n">
        <v>2.37667908</v>
      </c>
      <c r="G35" s="18" t="n">
        <v>42.39656662</v>
      </c>
      <c r="H35" s="20" t="n">
        <v>2.27834131</v>
      </c>
      <c r="I35" s="18" t="s">
        <v>349</v>
      </c>
      <c r="J35" s="20" t="s">
        <v>349</v>
      </c>
      <c r="K35" s="18" t="n">
        <v>3.11072593</v>
      </c>
      <c r="L35" s="20" t="n">
        <v>0.82691711</v>
      </c>
      <c r="M35" s="18" t="n">
        <v>0</v>
      </c>
      <c r="N35" s="20" t="n">
        <v>0</v>
      </c>
      <c r="O35" s="18" t="n">
        <v>0</v>
      </c>
      <c r="P35" s="20" t="n">
        <v>0</v>
      </c>
      <c r="Q35" s="18" t="n">
        <v>0</v>
      </c>
      <c r="R35" s="20" t="n">
        <v>0</v>
      </c>
    </row>
    <row r="36" spans="1:18">
      <c r="A36" s="15" t="s">
        <v>378</v>
      </c>
      <c r="B36" s="17" t="n">
        <v>6736</v>
      </c>
      <c r="C36" s="18">
        <f>(5961.0/B36*100)</f>
        <v/>
      </c>
      <c r="D36" s="19" t="n">
        <v>775</v>
      </c>
      <c r="E36" s="18" t="n">
        <v>63.7487998</v>
      </c>
      <c r="F36" s="20" t="n">
        <v>1.93604764</v>
      </c>
      <c r="G36" s="18" t="n">
        <v>31.13622265</v>
      </c>
      <c r="H36" s="20" t="n">
        <v>1.8654178</v>
      </c>
      <c r="I36" s="18" t="s">
        <v>349</v>
      </c>
      <c r="J36" s="20" t="s">
        <v>349</v>
      </c>
      <c r="K36" s="18" t="n">
        <v>5.11497755</v>
      </c>
      <c r="L36" s="20" t="n">
        <v>0.90011714</v>
      </c>
      <c r="M36" s="18" t="n">
        <v>0</v>
      </c>
      <c r="N36" s="20" t="n">
        <v>0</v>
      </c>
      <c r="O36" s="18" t="n">
        <v>0</v>
      </c>
      <c r="P36" s="20" t="n">
        <v>0</v>
      </c>
      <c r="Q36" s="18" t="n">
        <v>0</v>
      </c>
      <c r="R36" s="20" t="n">
        <v>0</v>
      </c>
    </row>
    <row r="37" spans="1:18">
      <c r="A37" s="15" t="s">
        <v>379</v>
      </c>
      <c r="B37" s="17" t="n">
        <v>5458</v>
      </c>
      <c r="C37" s="18">
        <f>(4873.0/B37*100)</f>
        <v/>
      </c>
      <c r="D37" s="19" t="n">
        <v>585</v>
      </c>
      <c r="E37" s="18" t="n">
        <v>57.72326625</v>
      </c>
      <c r="F37" s="20" t="n">
        <v>2.2445597</v>
      </c>
      <c r="G37" s="18" t="n">
        <v>34.15209545</v>
      </c>
      <c r="H37" s="20" t="n">
        <v>2.27746388</v>
      </c>
      <c r="I37" s="18" t="s">
        <v>349</v>
      </c>
      <c r="J37" s="20" t="s">
        <v>349</v>
      </c>
      <c r="K37" s="18" t="n">
        <v>8.124638300000001</v>
      </c>
      <c r="L37" s="20" t="n">
        <v>1.24421142</v>
      </c>
      <c r="M37" s="18" t="n">
        <v>0</v>
      </c>
      <c r="N37" s="20" t="n">
        <v>0</v>
      </c>
      <c r="O37" s="18" t="n">
        <v>0</v>
      </c>
      <c r="P37" s="20" t="n">
        <v>0</v>
      </c>
      <c r="Q37" s="18" t="n">
        <v>0</v>
      </c>
      <c r="R37" s="20" t="n">
        <v>0</v>
      </c>
    </row>
    <row r="38" spans="1:18">
      <c r="A38" s="15" t="s">
        <v>380</v>
      </c>
      <c r="B38" s="17" t="n">
        <v>5860</v>
      </c>
      <c r="C38" s="18">
        <f>(4919.0/B38*100)</f>
        <v/>
      </c>
      <c r="D38" s="19" t="n">
        <v>941</v>
      </c>
      <c r="E38" s="18" t="n">
        <v>51.7121107</v>
      </c>
      <c r="F38" s="20" t="n">
        <v>1.89621565</v>
      </c>
      <c r="G38" s="18" t="n">
        <v>43.35559201</v>
      </c>
      <c r="H38" s="20" t="n">
        <v>1.72020502</v>
      </c>
      <c r="I38" s="18" t="s">
        <v>349</v>
      </c>
      <c r="J38" s="20" t="s">
        <v>349</v>
      </c>
      <c r="K38" s="18" t="n">
        <v>4.93229729</v>
      </c>
      <c r="L38" s="20" t="n">
        <v>0.96692315</v>
      </c>
      <c r="M38" s="18" t="n">
        <v>0</v>
      </c>
      <c r="N38" s="20" t="n">
        <v>0</v>
      </c>
      <c r="O38" s="18" t="n">
        <v>0</v>
      </c>
      <c r="P38" s="20" t="n">
        <v>0</v>
      </c>
      <c r="Q38" s="18" t="n">
        <v>0</v>
      </c>
      <c r="R38" s="20" t="n">
        <v>0</v>
      </c>
    </row>
    <row r="39" spans="1:18">
      <c r="A39" s="15" t="s">
        <v>381</v>
      </c>
      <c r="B39" s="17" t="n">
        <v>5895</v>
      </c>
      <c r="C39" s="18">
        <f>(5172.0/B39*100)</f>
        <v/>
      </c>
      <c r="D39" s="19" t="n">
        <v>723</v>
      </c>
      <c r="E39" s="18" t="n">
        <v>75.72258232999999</v>
      </c>
      <c r="F39" s="20" t="n">
        <v>2.16365953</v>
      </c>
      <c r="G39" s="18" t="n">
        <v>19.76549057</v>
      </c>
      <c r="H39" s="20" t="n">
        <v>1.99259728</v>
      </c>
      <c r="I39" s="18" t="s">
        <v>349</v>
      </c>
      <c r="J39" s="20" t="s">
        <v>349</v>
      </c>
      <c r="K39" s="18" t="n">
        <v>4.51192711</v>
      </c>
      <c r="L39" s="20" t="n">
        <v>0.71374971</v>
      </c>
      <c r="M39" s="18" t="n">
        <v>0</v>
      </c>
      <c r="N39" s="20" t="n">
        <v>0</v>
      </c>
      <c r="O39" s="18" t="n">
        <v>0</v>
      </c>
      <c r="P39" s="20" t="n">
        <v>0</v>
      </c>
      <c r="Q39" s="18" t="n">
        <v>0</v>
      </c>
      <c r="R39" s="20" t="n">
        <v>0</v>
      </c>
    </row>
    <row r="40" spans="1:18">
      <c r="A40" s="15" t="s">
        <v>382</v>
      </c>
      <c r="B40" s="17" t="n">
        <v>14157</v>
      </c>
      <c r="C40" s="18">
        <f>(12415.0/B40*100)</f>
        <v/>
      </c>
      <c r="D40" s="19" t="n">
        <v>1742</v>
      </c>
      <c r="E40" s="18" t="n">
        <v>61.58595933</v>
      </c>
      <c r="F40" s="20" t="n">
        <v>1.70406721</v>
      </c>
      <c r="G40" s="18" t="n">
        <v>35.21660691</v>
      </c>
      <c r="H40" s="20" t="n">
        <v>1.69359653</v>
      </c>
      <c r="I40" s="18" t="s">
        <v>349</v>
      </c>
      <c r="J40" s="20" t="s">
        <v>349</v>
      </c>
      <c r="K40" s="18" t="n">
        <v>3.19743376</v>
      </c>
      <c r="L40" s="20" t="n">
        <v>0.64237491</v>
      </c>
      <c r="M40" s="18" t="n">
        <v>0</v>
      </c>
      <c r="N40" s="20" t="n">
        <v>0</v>
      </c>
      <c r="O40" s="18" t="n">
        <v>0</v>
      </c>
      <c r="P40" s="20" t="n">
        <v>0</v>
      </c>
      <c r="Q40" s="18" t="n">
        <v>0</v>
      </c>
      <c r="R40" s="20" t="n">
        <v>0</v>
      </c>
    </row>
    <row r="41" spans="1:18">
      <c r="A41" s="15" t="s">
        <v>383</v>
      </c>
      <c r="B41" s="17" t="n">
        <v>5712</v>
      </c>
      <c r="C41" s="18">
        <f>(5068.0/B41*100)</f>
        <v/>
      </c>
      <c r="D41" s="19" t="n">
        <v>644</v>
      </c>
      <c r="E41" s="18" t="n">
        <v>66.37442923</v>
      </c>
      <c r="F41" s="20" t="n">
        <v>2.01657074</v>
      </c>
      <c r="G41" s="18" t="n">
        <v>32.0506121</v>
      </c>
      <c r="H41" s="20" t="n">
        <v>1.82494264</v>
      </c>
      <c r="I41" s="18" t="s">
        <v>349</v>
      </c>
      <c r="J41" s="20" t="s">
        <v>349</v>
      </c>
      <c r="K41" s="18" t="n">
        <v>1.57495868</v>
      </c>
      <c r="L41" s="20" t="n">
        <v>0.55868689</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(21031.0/B46*100)</f>
        <v/>
      </c>
      <c r="D46" s="19" t="n">
        <v>2110</v>
      </c>
      <c r="E46" s="18" t="n">
        <v>79.39536538999999</v>
      </c>
      <c r="F46" s="20" t="n">
        <v>1.09713955</v>
      </c>
      <c r="G46" s="18" t="n">
        <v>8.71670254</v>
      </c>
      <c r="H46" s="20" t="n">
        <v>0.72020833</v>
      </c>
      <c r="I46" s="18" t="s">
        <v>349</v>
      </c>
      <c r="J46" s="20" t="s">
        <v>349</v>
      </c>
      <c r="K46" s="18" t="n">
        <v>11.88793207</v>
      </c>
      <c r="L46" s="20" t="n">
        <v>0.97067658</v>
      </c>
      <c r="M46" s="18" t="n">
        <v>0</v>
      </c>
      <c r="N46" s="20" t="n">
        <v>0</v>
      </c>
      <c r="O46" s="18" t="n">
        <v>0</v>
      </c>
      <c r="P46" s="20" t="n">
        <v>0</v>
      </c>
      <c r="Q46" s="18" t="n">
        <v>0</v>
      </c>
      <c r="R46" s="20" t="n">
        <v>0</v>
      </c>
    </row>
    <row r="47" spans="1:18">
      <c r="A47" s="15" t="s">
        <v>389</v>
      </c>
      <c r="B47" s="17" t="n">
        <v>5928</v>
      </c>
      <c r="C47" s="18">
        <f>(5238.0/B47*100)</f>
        <v/>
      </c>
      <c r="D47" s="19" t="n">
        <v>690</v>
      </c>
      <c r="E47" s="18" t="n">
        <v>72.49420395</v>
      </c>
      <c r="F47" s="20" t="n">
        <v>1.91556914</v>
      </c>
      <c r="G47" s="18" t="n">
        <v>23.16280409</v>
      </c>
      <c r="H47" s="20" t="n">
        <v>1.89182389</v>
      </c>
      <c r="I47" s="18" t="s">
        <v>349</v>
      </c>
      <c r="J47" s="20" t="s">
        <v>349</v>
      </c>
      <c r="K47" s="18" t="n">
        <v>4.34299196</v>
      </c>
      <c r="L47" s="20" t="n">
        <v>0.85886555</v>
      </c>
      <c r="M47" s="18" t="n">
        <v>0</v>
      </c>
      <c r="N47" s="20" t="n">
        <v>0</v>
      </c>
      <c r="O47" s="18" t="n">
        <v>0</v>
      </c>
      <c r="P47" s="20" t="n">
        <v>0</v>
      </c>
      <c r="Q47" s="18" t="n">
        <v>0</v>
      </c>
      <c r="R47" s="20" t="n">
        <v>0</v>
      </c>
    </row>
    <row r="48" spans="1:18">
      <c r="A48" s="15" t="s">
        <v>390</v>
      </c>
      <c r="B48" s="17" t="n">
        <v>9841</v>
      </c>
      <c r="C48" s="18">
        <f>(8615.0/B48*100)</f>
        <v/>
      </c>
      <c r="D48" s="19" t="n">
        <v>1226</v>
      </c>
      <c r="E48" s="18" t="n">
        <v>62.09999497</v>
      </c>
      <c r="F48" s="20" t="n">
        <v>2.25805889</v>
      </c>
      <c r="G48" s="18" t="n">
        <v>36.74106299</v>
      </c>
      <c r="H48" s="20" t="n">
        <v>2.25496778</v>
      </c>
      <c r="I48" s="18" t="s">
        <v>349</v>
      </c>
      <c r="J48" s="20" t="s">
        <v>349</v>
      </c>
      <c r="K48" s="18" t="n">
        <v>1.15894204</v>
      </c>
      <c r="L48" s="20" t="n">
        <v>0.45893422</v>
      </c>
      <c r="M48" s="18" t="n">
        <v>0</v>
      </c>
      <c r="N48" s="20" t="n">
        <v>0</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(10431.0/B50*100)</f>
        <v/>
      </c>
      <c r="D50" s="19" t="n">
        <v>1364</v>
      </c>
      <c r="E50" s="18" t="n">
        <v>82.26063997</v>
      </c>
      <c r="F50" s="20" t="n">
        <v>1.40795169</v>
      </c>
      <c r="G50" s="18" t="n">
        <v>13.22278984</v>
      </c>
      <c r="H50" s="20" t="n">
        <v>1.27390579</v>
      </c>
      <c r="I50" s="18" t="s">
        <v>349</v>
      </c>
      <c r="J50" s="20" t="s">
        <v>349</v>
      </c>
      <c r="K50" s="18" t="n">
        <v>4.51657019</v>
      </c>
      <c r="L50" s="20" t="n">
        <v>0.7037907</v>
      </c>
      <c r="M50" s="18" t="n">
        <v>0</v>
      </c>
      <c r="N50" s="20" t="n">
        <v>0</v>
      </c>
      <c r="O50" s="18" t="n">
        <v>0</v>
      </c>
      <c r="P50" s="20" t="n">
        <v>0</v>
      </c>
      <c r="Q50" s="18" t="n">
        <v>0</v>
      </c>
      <c r="R50" s="20" t="n">
        <v>0</v>
      </c>
    </row>
    <row r="51" spans="1:18">
      <c r="A51" s="15" t="s">
        <v>393</v>
      </c>
      <c r="B51" s="17" t="n">
        <v>6866</v>
      </c>
      <c r="C51" s="18">
        <f>(6169.0/B51*100)</f>
        <v/>
      </c>
      <c r="D51" s="19" t="n">
        <v>697</v>
      </c>
      <c r="E51" s="18" t="n">
        <v>81.67014281</v>
      </c>
      <c r="F51" s="20" t="n">
        <v>1.54964765</v>
      </c>
      <c r="G51" s="18" t="n">
        <v>13.65251356</v>
      </c>
      <c r="H51" s="20" t="n">
        <v>1.20120462</v>
      </c>
      <c r="I51" s="18" t="s">
        <v>349</v>
      </c>
      <c r="J51" s="20" t="s">
        <v>349</v>
      </c>
      <c r="K51" s="18" t="n">
        <v>4.67734363</v>
      </c>
      <c r="L51" s="20" t="n">
        <v>0.89468974</v>
      </c>
      <c r="M51" s="18" t="n">
        <v>0</v>
      </c>
      <c r="N51" s="20" t="n">
        <v>0</v>
      </c>
      <c r="O51" s="18" t="n">
        <v>0</v>
      </c>
      <c r="P51" s="20" t="n">
        <v>0</v>
      </c>
      <c r="Q51" s="18" t="n">
        <v>0</v>
      </c>
      <c r="R51" s="20" t="n">
        <v>0</v>
      </c>
    </row>
    <row r="52" spans="1:18">
      <c r="A52" s="15" t="s">
        <v>394</v>
      </c>
      <c r="B52" s="17" t="n">
        <v>5809</v>
      </c>
      <c r="C52" s="18">
        <f>(5104.0/B52*100)</f>
        <v/>
      </c>
      <c r="D52" s="19" t="n">
        <v>705</v>
      </c>
      <c r="E52" s="18" t="n">
        <v>66.26195489</v>
      </c>
      <c r="F52" s="20" t="n">
        <v>1.87361378</v>
      </c>
      <c r="G52" s="18" t="n">
        <v>29.68461733</v>
      </c>
      <c r="H52" s="20" t="n">
        <v>1.73722521</v>
      </c>
      <c r="I52" s="18" t="s">
        <v>349</v>
      </c>
      <c r="J52" s="20" t="s">
        <v>349</v>
      </c>
      <c r="K52" s="18" t="n">
        <v>4.05342778</v>
      </c>
      <c r="L52" s="20" t="n">
        <v>0.8605262299999999</v>
      </c>
      <c r="M52" s="18" t="n">
        <v>0</v>
      </c>
      <c r="N52" s="20" t="n">
        <v>0</v>
      </c>
      <c r="O52" s="18" t="n">
        <v>0</v>
      </c>
      <c r="P52" s="20" t="n">
        <v>0</v>
      </c>
      <c r="Q52" s="18" t="n">
        <v>0</v>
      </c>
      <c r="R52" s="20" t="n">
        <v>0</v>
      </c>
    </row>
    <row r="53" spans="1:18">
      <c r="A53" s="15" t="s">
        <v>395</v>
      </c>
      <c r="B53" s="17" t="n">
        <v>5571</v>
      </c>
      <c r="C53" s="18">
        <f>(4878.0/B53*100)</f>
        <v/>
      </c>
      <c r="D53" s="19" t="n">
        <v>693</v>
      </c>
      <c r="E53" s="18" t="n">
        <v>70.4315241</v>
      </c>
      <c r="F53" s="20" t="n">
        <v>1.91934517</v>
      </c>
      <c r="G53" s="18" t="n">
        <v>24.44480979</v>
      </c>
      <c r="H53" s="20" t="n">
        <v>1.81129721</v>
      </c>
      <c r="I53" s="18" t="s">
        <v>349</v>
      </c>
      <c r="J53" s="20" t="s">
        <v>349</v>
      </c>
      <c r="K53" s="18" t="n">
        <v>5.12366611</v>
      </c>
      <c r="L53" s="20" t="n">
        <v>0.81036094</v>
      </c>
      <c r="M53" s="18" t="n">
        <v>0</v>
      </c>
      <c r="N53" s="20" t="n">
        <v>0</v>
      </c>
      <c r="O53" s="18" t="n">
        <v>0</v>
      </c>
      <c r="P53" s="20" t="n">
        <v>0</v>
      </c>
      <c r="Q53" s="18" t="n">
        <v>0</v>
      </c>
      <c r="R53" s="20" t="n">
        <v>0</v>
      </c>
    </row>
    <row r="54" spans="1:18">
      <c r="A54" s="15" t="s">
        <v>396</v>
      </c>
      <c r="B54" s="17" t="n">
        <v>4740</v>
      </c>
      <c r="C54" s="18">
        <f>(3954.0/B54*100)</f>
        <v/>
      </c>
      <c r="D54" s="19" t="n">
        <v>786</v>
      </c>
      <c r="E54" s="18" t="n">
        <v>72.15751557999999</v>
      </c>
      <c r="F54" s="20" t="n">
        <v>1.85139998</v>
      </c>
      <c r="G54" s="18" t="n">
        <v>4.00988771</v>
      </c>
      <c r="H54" s="20" t="n">
        <v>0.71670473</v>
      </c>
      <c r="I54" s="18" t="s">
        <v>349</v>
      </c>
      <c r="J54" s="20" t="s">
        <v>349</v>
      </c>
      <c r="K54" s="18" t="n">
        <v>23.83259671</v>
      </c>
      <c r="L54" s="20" t="n">
        <v>1.62765989</v>
      </c>
      <c r="M54" s="18" t="n">
        <v>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(4683.0/B56*100)</f>
        <v/>
      </c>
      <c r="D56" s="19" t="n">
        <v>676</v>
      </c>
      <c r="E56" s="18" t="n">
        <v>52.14764938</v>
      </c>
      <c r="F56" s="20" t="n">
        <v>2.43228866</v>
      </c>
      <c r="G56" s="18" t="n">
        <v>47.09695397</v>
      </c>
      <c r="H56" s="20" t="n">
        <v>2.35442768</v>
      </c>
      <c r="I56" s="18" t="s">
        <v>349</v>
      </c>
      <c r="J56" s="20" t="s">
        <v>349</v>
      </c>
      <c r="K56" s="18" t="n">
        <v>0.75539665</v>
      </c>
      <c r="L56" s="20" t="n">
        <v>0.34915463</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(5727.0/B61*100)</f>
        <v/>
      </c>
      <c r="D61" s="19" t="n">
        <v>798</v>
      </c>
      <c r="E61" s="18" t="n">
        <v>65.00506858999999</v>
      </c>
      <c r="F61" s="20" t="n">
        <v>2.21616695</v>
      </c>
      <c r="G61" s="18" t="n">
        <v>32.73466437</v>
      </c>
      <c r="H61" s="20" t="n">
        <v>2.22994913</v>
      </c>
      <c r="I61" s="18" t="s">
        <v>349</v>
      </c>
      <c r="J61" s="20" t="s">
        <v>349</v>
      </c>
      <c r="K61" s="18" t="n">
        <v>2.26026704</v>
      </c>
      <c r="L61" s="20" t="n">
        <v>0.44513015</v>
      </c>
      <c r="M61" s="18" t="n">
        <v>0</v>
      </c>
      <c r="N61" s="20" t="n">
        <v>0</v>
      </c>
      <c r="O61" s="18" t="n">
        <v>0</v>
      </c>
      <c r="P61" s="20" t="n">
        <v>0</v>
      </c>
      <c r="Q61" s="18" t="n">
        <v>0</v>
      </c>
      <c r="R61" s="20" t="n">
        <v>0</v>
      </c>
    </row>
    <row r="62" spans="1:18">
      <c r="A62" s="15" t="s">
        <v>404</v>
      </c>
      <c r="B62" s="17" t="n">
        <v>4476</v>
      </c>
      <c r="C62" s="18">
        <f>(3943.0/B62*100)</f>
        <v/>
      </c>
      <c r="D62" s="19" t="n">
        <v>533</v>
      </c>
      <c r="E62" s="18" t="n">
        <v>42.62594593</v>
      </c>
      <c r="F62" s="20" t="n">
        <v>2.43057939</v>
      </c>
      <c r="G62" s="18" t="n">
        <v>56.06371726</v>
      </c>
      <c r="H62" s="20" t="n">
        <v>2.46615937</v>
      </c>
      <c r="I62" s="18" t="s">
        <v>349</v>
      </c>
      <c r="J62" s="20" t="s">
        <v>349</v>
      </c>
      <c r="K62" s="18" t="n">
        <v>1.31033681</v>
      </c>
      <c r="L62" s="20" t="n">
        <v>0.48529413</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(4982.0/B66*100)</f>
        <v/>
      </c>
      <c r="D66" s="19" t="n">
        <v>683</v>
      </c>
      <c r="E66" s="18" t="n">
        <v>74.82178605</v>
      </c>
      <c r="F66" s="20" t="n">
        <v>1.67072369</v>
      </c>
      <c r="G66" s="18" t="n">
        <v>17.10426625</v>
      </c>
      <c r="H66" s="20" t="n">
        <v>1.35903888</v>
      </c>
      <c r="I66" s="18" t="s">
        <v>349</v>
      </c>
      <c r="J66" s="20" t="s">
        <v>349</v>
      </c>
      <c r="K66" s="18" t="n">
        <v>8.073947710000001</v>
      </c>
      <c r="L66" s="20" t="n">
        <v>0.96111665</v>
      </c>
      <c r="M66" s="18" t="n">
        <v>0</v>
      </c>
      <c r="N66" s="20" t="n">
        <v>0</v>
      </c>
      <c r="O66" s="18" t="n">
        <v>0</v>
      </c>
      <c r="P66" s="20" t="n">
        <v>0</v>
      </c>
      <c r="Q66" s="18" t="n">
        <v>0</v>
      </c>
      <c r="R66" s="20" t="n">
        <v>0</v>
      </c>
    </row>
    <row r="67" spans="1:18">
      <c r="A67" s="15" t="s">
        <v>409</v>
      </c>
      <c r="B67" s="17" t="n">
        <v>6971</v>
      </c>
      <c r="C67" s="18">
        <f>(6272.0/B67*100)</f>
        <v/>
      </c>
      <c r="D67" s="19" t="n">
        <v>699</v>
      </c>
      <c r="E67" s="18" t="n">
        <v>77.66767384000001</v>
      </c>
      <c r="F67" s="20" t="n">
        <v>1.74002569</v>
      </c>
      <c r="G67" s="18" t="n">
        <v>17.88071346</v>
      </c>
      <c r="H67" s="20" t="n">
        <v>1.73812623</v>
      </c>
      <c r="I67" s="18" t="s">
        <v>349</v>
      </c>
      <c r="J67" s="20" t="s">
        <v>349</v>
      </c>
      <c r="K67" s="18" t="n">
        <v>4.4516127</v>
      </c>
      <c r="L67" s="20" t="n">
        <v>0.74834231</v>
      </c>
      <c r="M67" s="18" t="n">
        <v>0</v>
      </c>
      <c r="N67" s="20" t="n">
        <v>0</v>
      </c>
      <c r="O67" s="18" t="n">
        <v>0</v>
      </c>
      <c r="P67" s="20" t="n">
        <v>0</v>
      </c>
      <c r="Q67" s="18" t="n">
        <v>0</v>
      </c>
      <c r="R67" s="20" t="n">
        <v>0</v>
      </c>
    </row>
    <row r="68" spans="1:18">
      <c r="A68" s="15" t="s">
        <v>410</v>
      </c>
      <c r="B68" s="17" t="n">
        <v>12083</v>
      </c>
      <c r="C68" s="18">
        <f>(10066.0/B68*100)</f>
        <v/>
      </c>
      <c r="D68" s="19" t="n">
        <v>2017</v>
      </c>
      <c r="E68" s="18" t="n">
        <v>77.14449264</v>
      </c>
      <c r="F68" s="20" t="n">
        <v>0.8610271</v>
      </c>
      <c r="G68" s="18" t="n">
        <v>13.71797713</v>
      </c>
      <c r="H68" s="20" t="n">
        <v>0.84204875</v>
      </c>
      <c r="I68" s="18" t="s">
        <v>349</v>
      </c>
      <c r="J68" s="20" t="s">
        <v>349</v>
      </c>
      <c r="K68" s="18" t="n">
        <v>9.137530229999999</v>
      </c>
      <c r="L68" s="20" t="n">
        <v>0.52850562</v>
      </c>
      <c r="M68" s="18" t="n">
        <v>0</v>
      </c>
      <c r="N68" s="20" t="n">
        <v>0</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(5331.0/B70*100)</f>
        <v/>
      </c>
      <c r="D70" s="19" t="n">
        <v>705</v>
      </c>
      <c r="E70" s="18" t="n">
        <v>61.22711217</v>
      </c>
      <c r="F70" s="20" t="n">
        <v>1.56810942</v>
      </c>
      <c r="G70" s="18" t="n">
        <v>35.04252641</v>
      </c>
      <c r="H70" s="20" t="n">
        <v>1.66804787</v>
      </c>
      <c r="I70" s="18" t="s">
        <v>349</v>
      </c>
      <c r="J70" s="20" t="s">
        <v>349</v>
      </c>
      <c r="K70" s="18" t="n">
        <v>3.73036142</v>
      </c>
      <c r="L70" s="20" t="n">
        <v>0.79993644</v>
      </c>
      <c r="M70" s="18" t="n">
        <v>0</v>
      </c>
      <c r="N70" s="20" t="n">
        <v>0</v>
      </c>
      <c r="O70" s="18" t="n">
        <v>0</v>
      </c>
      <c r="P70" s="20" t="n">
        <v>0</v>
      </c>
      <c r="Q70" s="18" t="n">
        <v>0</v>
      </c>
      <c r="R70" s="20" t="n">
        <v>0</v>
      </c>
    </row>
    <row r="71" spans="1:18">
      <c r="A71" s="15" t="s">
        <v>413</v>
      </c>
      <c r="B71" s="17" t="n">
        <v>6115</v>
      </c>
      <c r="C71" s="18">
        <f>(5370.0/B71*100)</f>
        <v/>
      </c>
      <c r="D71" s="19" t="n">
        <v>745</v>
      </c>
      <c r="E71" s="18" t="n">
        <v>47.82443494</v>
      </c>
      <c r="F71" s="20" t="n">
        <v>1.78038563</v>
      </c>
      <c r="G71" s="18" t="n">
        <v>51.18590901</v>
      </c>
      <c r="H71" s="20" t="n">
        <v>1.81451881</v>
      </c>
      <c r="I71" s="18" t="s">
        <v>349</v>
      </c>
      <c r="J71" s="20" t="s">
        <v>349</v>
      </c>
      <c r="K71" s="18" t="n">
        <v>0.9896560599999999</v>
      </c>
      <c r="L71" s="20" t="n">
        <v>0.31168482</v>
      </c>
      <c r="M71" s="18" t="n">
        <v>0</v>
      </c>
      <c r="N71" s="20" t="n">
        <v>0</v>
      </c>
      <c r="O71" s="18" t="n">
        <v>0</v>
      </c>
      <c r="P71" s="20" t="n">
        <v>0</v>
      </c>
      <c r="Q71" s="18" t="n">
        <v>0</v>
      </c>
      <c r="R71" s="20" t="n">
        <v>0</v>
      </c>
    </row>
    <row r="72" spans="1:18">
      <c r="A72" s="15" t="s">
        <v>414</v>
      </c>
      <c r="B72" s="17" t="n">
        <v>7708</v>
      </c>
      <c r="C72" s="18">
        <f>(6768.0/B72*100)</f>
        <v/>
      </c>
      <c r="D72" s="19" t="n">
        <v>940</v>
      </c>
      <c r="E72" s="18" t="n">
        <v>50.41434441</v>
      </c>
      <c r="F72" s="20" t="n">
        <v>1.69363354</v>
      </c>
      <c r="G72" s="18" t="n">
        <v>48.62656196</v>
      </c>
      <c r="H72" s="20" t="n">
        <v>1.73099878</v>
      </c>
      <c r="I72" s="18" t="s">
        <v>349</v>
      </c>
      <c r="J72" s="20" t="s">
        <v>349</v>
      </c>
      <c r="K72" s="18" t="n">
        <v>0.95909363</v>
      </c>
      <c r="L72" s="20" t="n">
        <v>0.34277717</v>
      </c>
      <c r="M72" s="18" t="n">
        <v>0</v>
      </c>
      <c r="N72" s="20" t="n">
        <v>0</v>
      </c>
      <c r="O72" s="18" t="n">
        <v>0</v>
      </c>
      <c r="P72" s="20" t="n">
        <v>0</v>
      </c>
      <c r="Q72" s="18" t="n">
        <v>0</v>
      </c>
      <c r="R72" s="20" t="n">
        <v>0</v>
      </c>
    </row>
    <row r="73" spans="1:18">
      <c r="A73" s="15" t="s">
        <v>415</v>
      </c>
      <c r="B73" s="17" t="n">
        <v>8249</v>
      </c>
      <c r="C73" s="18">
        <f>(7335.0/B73*100)</f>
        <v/>
      </c>
      <c r="D73" s="19" t="n">
        <v>914</v>
      </c>
      <c r="E73" s="18" t="n">
        <v>80.19306826</v>
      </c>
      <c r="F73" s="20" t="n">
        <v>1.66388569</v>
      </c>
      <c r="G73" s="18" t="n">
        <v>19.09581063</v>
      </c>
      <c r="H73" s="20" t="n">
        <v>1.62681352</v>
      </c>
      <c r="I73" s="18" t="s">
        <v>349</v>
      </c>
      <c r="J73" s="20" t="s">
        <v>349</v>
      </c>
      <c r="K73" s="18" t="n">
        <v>0.7111211</v>
      </c>
      <c r="L73" s="20" t="n">
        <v>0.33130212</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(4791.0/B75*100)</f>
        <v/>
      </c>
      <c r="D75" s="19" t="n">
        <v>584</v>
      </c>
      <c r="E75" s="18" t="n">
        <v>79.97893168</v>
      </c>
      <c r="F75" s="20" t="n">
        <v>1.66447331</v>
      </c>
      <c r="G75" s="18" t="n">
        <v>5.87900641</v>
      </c>
      <c r="H75" s="20" t="n">
        <v>1.18068962</v>
      </c>
      <c r="I75" s="18" t="s">
        <v>349</v>
      </c>
      <c r="J75" s="20" t="s">
        <v>349</v>
      </c>
      <c r="K75" s="18" t="n">
        <v>14.14206192</v>
      </c>
      <c r="L75" s="20" t="n">
        <v>1.65675185</v>
      </c>
      <c r="M75" s="18" t="n">
        <v>0</v>
      </c>
      <c r="N75" s="20" t="n">
        <v>0</v>
      </c>
      <c r="O75" s="18" t="n">
        <v>0</v>
      </c>
      <c r="P75" s="20" t="n">
        <v>0</v>
      </c>
      <c r="Q75" s="18" t="n">
        <v>0</v>
      </c>
      <c r="R75" s="20" t="n">
        <v>0</v>
      </c>
    </row>
    <row r="76" spans="1:18">
      <c r="A76" s="15" t="s">
        <v>418</v>
      </c>
      <c r="B76" s="17" t="n">
        <v>14167</v>
      </c>
      <c r="C76" s="18">
        <f>(12429.0/B76*100)</f>
        <v/>
      </c>
      <c r="D76" s="19" t="n">
        <v>1738</v>
      </c>
      <c r="E76" s="18" t="n">
        <v>77.179377</v>
      </c>
      <c r="F76" s="20" t="n">
        <v>1.14439143</v>
      </c>
      <c r="G76" s="18" t="n">
        <v>18.58461485</v>
      </c>
      <c r="H76" s="20" t="n">
        <v>1.09271792</v>
      </c>
      <c r="I76" s="18" t="s">
        <v>349</v>
      </c>
      <c r="J76" s="20" t="s">
        <v>349</v>
      </c>
      <c r="K76" s="18" t="n">
        <v>4.23600815</v>
      </c>
      <c r="L76" s="20" t="n">
        <v>0.69552513</v>
      </c>
      <c r="M76" s="18" t="n">
        <v>0</v>
      </c>
      <c r="N76" s="20" t="n">
        <v>0</v>
      </c>
      <c r="O76" s="18" t="n">
        <v>0</v>
      </c>
      <c r="P76" s="20" t="n">
        <v>0</v>
      </c>
      <c r="Q76" s="18" t="n">
        <v>0</v>
      </c>
      <c r="R76" s="20" t="n">
        <v>0</v>
      </c>
    </row>
    <row r="77" spans="1:18">
      <c r="A77" s="15" t="s">
        <v>419</v>
      </c>
      <c r="B77" s="17" t="n">
        <v>6062</v>
      </c>
      <c r="C77" s="18">
        <f>(5395.0/B77*100)</f>
        <v/>
      </c>
      <c r="D77" s="19" t="n">
        <v>667</v>
      </c>
      <c r="E77" s="18" t="n">
        <v>71.03280311</v>
      </c>
      <c r="F77" s="20" t="n">
        <v>1.91706838</v>
      </c>
      <c r="G77" s="18" t="n">
        <v>20.96531761</v>
      </c>
      <c r="H77" s="20" t="n">
        <v>1.72708407</v>
      </c>
      <c r="I77" s="18" t="s">
        <v>349</v>
      </c>
      <c r="J77" s="20" t="s">
        <v>349</v>
      </c>
      <c r="K77" s="18" t="n">
        <v>8.001879280000001</v>
      </c>
      <c r="L77" s="20" t="n">
        <v>1.05624033</v>
      </c>
      <c r="M77" s="18" t="n">
        <v>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(7804.0/B81*100)</f>
        <v/>
      </c>
      <c r="D81" s="19" t="n">
        <v>1057</v>
      </c>
      <c r="E81" s="18" t="n">
        <v>76.60580600999999</v>
      </c>
      <c r="F81" s="20" t="n">
        <v>1.69029497</v>
      </c>
      <c r="G81" s="18" t="n">
        <v>22.08094494</v>
      </c>
      <c r="H81" s="20" t="n">
        <v>1.65979813</v>
      </c>
      <c r="I81" s="18" t="s">
        <v>349</v>
      </c>
      <c r="J81" s="20" t="s">
        <v>349</v>
      </c>
      <c r="K81" s="18" t="n">
        <v>1.31324905</v>
      </c>
      <c r="L81" s="20" t="n">
        <v>0.43121125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(12821.0/B7*100)</f>
        <v/>
      </c>
      <c r="D7" s="19" t="n">
        <v>1709</v>
      </c>
      <c r="E7" s="18" t="n">
        <v>54.46865602</v>
      </c>
      <c r="F7" s="20" t="n">
        <v>1.47462444</v>
      </c>
      <c r="G7" s="18" t="n">
        <v>44.641457</v>
      </c>
      <c r="H7" s="20" t="n">
        <v>1.47779834</v>
      </c>
      <c r="I7" s="18" t="s">
        <v>349</v>
      </c>
      <c r="J7" s="20" t="s">
        <v>349</v>
      </c>
      <c r="K7" s="18" t="n">
        <v>0.09269276</v>
      </c>
      <c r="L7" s="20" t="n">
        <v>0.08850503</v>
      </c>
      <c r="M7" s="18" t="n">
        <v>0</v>
      </c>
      <c r="N7" s="20" t="n">
        <v>0</v>
      </c>
      <c r="O7" s="18" t="n">
        <v>0</v>
      </c>
      <c r="P7" s="20" t="n">
        <v>0</v>
      </c>
      <c r="Q7" s="18" t="n">
        <v>0.79719423</v>
      </c>
      <c r="R7" s="20" t="n">
        <v>0.23426033</v>
      </c>
    </row>
    <row r="8" spans="1:18">
      <c r="A8" s="15" t="s">
        <v>350</v>
      </c>
      <c r="B8" s="17" t="n">
        <v>7007</v>
      </c>
      <c r="C8" s="18">
        <f>(6169.0/B8*100)</f>
        <v/>
      </c>
      <c r="D8" s="19" t="n">
        <v>838</v>
      </c>
      <c r="E8" s="18" t="n">
        <v>56.39954564</v>
      </c>
      <c r="F8" s="20" t="n">
        <v>1.95391629</v>
      </c>
      <c r="G8" s="18" t="n">
        <v>42.8090163</v>
      </c>
      <c r="H8" s="20" t="n">
        <v>1.98689192</v>
      </c>
      <c r="I8" s="18" t="s">
        <v>349</v>
      </c>
      <c r="J8" s="20" t="s">
        <v>349</v>
      </c>
      <c r="K8" s="18" t="n">
        <v>0</v>
      </c>
      <c r="L8" s="20" t="n">
        <v>0</v>
      </c>
      <c r="M8" s="18" t="n">
        <v>0</v>
      </c>
      <c r="N8" s="20" t="n">
        <v>0</v>
      </c>
      <c r="O8" s="18" t="n">
        <v>0</v>
      </c>
      <c r="P8" s="20" t="n">
        <v>0</v>
      </c>
      <c r="Q8" s="18" t="n">
        <v>0.7914380600000001</v>
      </c>
      <c r="R8" s="20" t="n">
        <v>0.27079643</v>
      </c>
    </row>
    <row r="9" spans="1:18">
      <c r="A9" s="15" t="s">
        <v>351</v>
      </c>
      <c r="B9" s="17" t="n">
        <v>9651</v>
      </c>
      <c r="C9" s="18">
        <f>(8498.0/B9*100)</f>
        <v/>
      </c>
      <c r="D9" s="19" t="n">
        <v>1153</v>
      </c>
      <c r="E9" s="18" t="n">
        <v>53.93213759</v>
      </c>
      <c r="F9" s="20" t="n">
        <v>1.72720969</v>
      </c>
      <c r="G9" s="18" t="n">
        <v>45.52566321</v>
      </c>
      <c r="H9" s="20" t="n">
        <v>1.69173572</v>
      </c>
      <c r="I9" s="18" t="s">
        <v>349</v>
      </c>
      <c r="J9" s="20" t="s">
        <v>349</v>
      </c>
      <c r="K9" s="18" t="n">
        <v>0</v>
      </c>
      <c r="L9" s="20" t="n">
        <v>0</v>
      </c>
      <c r="M9" s="18" t="n">
        <v>0</v>
      </c>
      <c r="N9" s="20" t="n">
        <v>0</v>
      </c>
      <c r="O9" s="18" t="n">
        <v>0</v>
      </c>
      <c r="P9" s="20" t="n">
        <v>0</v>
      </c>
      <c r="Q9" s="18" t="n">
        <v>0.5421991900000001</v>
      </c>
      <c r="R9" s="20" t="n">
        <v>0.22385559</v>
      </c>
    </row>
    <row r="10" spans="1:18">
      <c r="A10" s="15" t="s">
        <v>352</v>
      </c>
      <c r="B10" s="17" t="n">
        <v>20058</v>
      </c>
      <c r="C10" s="18">
        <f>(17586.0/B10*100)</f>
        <v/>
      </c>
      <c r="D10" s="19" t="n">
        <v>2472</v>
      </c>
      <c r="E10" s="18" t="n">
        <v>57.13268431</v>
      </c>
      <c r="F10" s="20" t="n">
        <v>1.47073595</v>
      </c>
      <c r="G10" s="18" t="n">
        <v>42.17578419</v>
      </c>
      <c r="H10" s="20" t="n">
        <v>1.42367306</v>
      </c>
      <c r="I10" s="18" t="s">
        <v>349</v>
      </c>
      <c r="J10" s="20" t="s">
        <v>349</v>
      </c>
      <c r="K10" s="18" t="n">
        <v>0.13083807</v>
      </c>
      <c r="L10" s="20" t="n">
        <v>0.10432173</v>
      </c>
      <c r="M10" s="18" t="n">
        <v>0</v>
      </c>
      <c r="N10" s="20" t="n">
        <v>0</v>
      </c>
      <c r="O10" s="18" t="n">
        <v>0</v>
      </c>
      <c r="P10" s="20" t="n">
        <v>0</v>
      </c>
      <c r="Q10" s="18" t="n">
        <v>0.56069343</v>
      </c>
      <c r="R10" s="20" t="n">
        <v>0.14310693</v>
      </c>
    </row>
    <row r="11" spans="1:18">
      <c r="A11" s="15" t="s">
        <v>353</v>
      </c>
      <c r="B11" s="17" t="n">
        <v>7053</v>
      </c>
      <c r="C11" s="18">
        <f>(6202.0/B11*100)</f>
        <v/>
      </c>
      <c r="D11" s="19" t="n">
        <v>851</v>
      </c>
      <c r="E11" s="18" t="n">
        <v>65.39088497</v>
      </c>
      <c r="F11" s="20" t="n">
        <v>1.84594413</v>
      </c>
      <c r="G11" s="18" t="n">
        <v>33.09788408</v>
      </c>
      <c r="H11" s="20" t="n">
        <v>1.80919683</v>
      </c>
      <c r="I11" s="18" t="s">
        <v>349</v>
      </c>
      <c r="J11" s="20" t="s">
        <v>349</v>
      </c>
      <c r="K11" s="18" t="n">
        <v>0.13971905</v>
      </c>
      <c r="L11" s="20" t="n">
        <v>0.12045836</v>
      </c>
      <c r="M11" s="18" t="n">
        <v>0</v>
      </c>
      <c r="N11" s="20" t="n">
        <v>0</v>
      </c>
      <c r="O11" s="18" t="n">
        <v>0</v>
      </c>
      <c r="P11" s="20" t="n">
        <v>0</v>
      </c>
      <c r="Q11" s="18" t="n">
        <v>1.3715119</v>
      </c>
      <c r="R11" s="20" t="n">
        <v>0.42834868</v>
      </c>
    </row>
    <row r="12" spans="1:18">
      <c r="A12" s="15" t="s">
        <v>354</v>
      </c>
      <c r="B12" s="17" t="n">
        <v>6894</v>
      </c>
      <c r="C12" s="18">
        <f>(6059.0/B12*100)</f>
        <v/>
      </c>
      <c r="D12" s="19" t="n">
        <v>835</v>
      </c>
      <c r="E12" s="18" t="n">
        <v>56.15347917</v>
      </c>
      <c r="F12" s="20" t="n">
        <v>1.97052005</v>
      </c>
      <c r="G12" s="18" t="n">
        <v>43.34960296</v>
      </c>
      <c r="H12" s="20" t="n">
        <v>1.97066688</v>
      </c>
      <c r="I12" s="18" t="s">
        <v>349</v>
      </c>
      <c r="J12" s="20" t="s">
        <v>349</v>
      </c>
      <c r="K12" s="18" t="n">
        <v>0</v>
      </c>
      <c r="L12" s="20" t="n">
        <v>0</v>
      </c>
      <c r="M12" s="18" t="n">
        <v>0</v>
      </c>
      <c r="N12" s="20" t="n">
        <v>0</v>
      </c>
      <c r="O12" s="18" t="n">
        <v>0</v>
      </c>
      <c r="P12" s="20" t="n">
        <v>0</v>
      </c>
      <c r="Q12" s="18" t="n">
        <v>0.49691787</v>
      </c>
      <c r="R12" s="20" t="n">
        <v>0.26665466</v>
      </c>
    </row>
    <row r="13" spans="1:18">
      <c r="A13" s="15" t="s">
        <v>355</v>
      </c>
      <c r="B13" s="17" t="n">
        <v>7161</v>
      </c>
      <c r="C13" s="18">
        <f>(6332.0/B13*100)</f>
        <v/>
      </c>
      <c r="D13" s="19" t="n">
        <v>829</v>
      </c>
      <c r="E13" s="18" t="n">
        <v>52.46103828</v>
      </c>
      <c r="F13" s="20" t="n">
        <v>2.09402352</v>
      </c>
      <c r="G13" s="18" t="n">
        <v>46.62681879</v>
      </c>
      <c r="H13" s="20" t="n">
        <v>2.15309165</v>
      </c>
      <c r="I13" s="18" t="s">
        <v>349</v>
      </c>
      <c r="J13" s="20" t="s">
        <v>349</v>
      </c>
      <c r="K13" s="18" t="n">
        <v>0.33885255</v>
      </c>
      <c r="L13" s="20" t="n">
        <v>0.19581607</v>
      </c>
      <c r="M13" s="18" t="n">
        <v>0</v>
      </c>
      <c r="N13" s="20" t="n">
        <v>0</v>
      </c>
      <c r="O13" s="18" t="n">
        <v>0</v>
      </c>
      <c r="P13" s="20" t="n">
        <v>0</v>
      </c>
      <c r="Q13" s="18" t="n">
        <v>0.57329038</v>
      </c>
      <c r="R13" s="20" t="n">
        <v>0.30624833</v>
      </c>
    </row>
    <row r="14" spans="1:18">
      <c r="A14" s="15" t="s">
        <v>356</v>
      </c>
      <c r="B14" s="17" t="n">
        <v>5587</v>
      </c>
      <c r="C14" s="18">
        <f>(4884.0/B14*100)</f>
        <v/>
      </c>
      <c r="D14" s="19" t="n">
        <v>703</v>
      </c>
      <c r="E14" s="18" t="n">
        <v>51.99506281</v>
      </c>
      <c r="F14" s="20" t="n">
        <v>2.03041657</v>
      </c>
      <c r="G14" s="18" t="n">
        <v>47.5531668</v>
      </c>
      <c r="H14" s="20" t="n">
        <v>2.02032173</v>
      </c>
      <c r="I14" s="18" t="s">
        <v>349</v>
      </c>
      <c r="J14" s="20" t="s">
        <v>349</v>
      </c>
      <c r="K14" s="18" t="n">
        <v>0.11634611</v>
      </c>
      <c r="L14" s="20" t="n">
        <v>0.11599952</v>
      </c>
      <c r="M14" s="18" t="n">
        <v>0</v>
      </c>
      <c r="N14" s="20" t="n">
        <v>0</v>
      </c>
      <c r="O14" s="18" t="n">
        <v>0</v>
      </c>
      <c r="P14" s="20" t="n">
        <v>0</v>
      </c>
      <c r="Q14" s="18" t="n">
        <v>0.33542428</v>
      </c>
      <c r="R14" s="20" t="n">
        <v>0.1913381</v>
      </c>
    </row>
    <row r="15" spans="1:18">
      <c r="A15" s="15" t="s">
        <v>357</v>
      </c>
      <c r="B15" s="17" t="n">
        <v>5882</v>
      </c>
      <c r="C15" s="18">
        <f>(5151.0/B15*100)</f>
        <v/>
      </c>
      <c r="D15" s="19" t="n">
        <v>731</v>
      </c>
      <c r="E15" s="18" t="n">
        <v>51.20989842</v>
      </c>
      <c r="F15" s="20" t="n">
        <v>1.64383919</v>
      </c>
      <c r="G15" s="18" t="n">
        <v>48.45290913</v>
      </c>
      <c r="H15" s="20" t="n">
        <v>1.62854386</v>
      </c>
      <c r="I15" s="18" t="s">
        <v>349</v>
      </c>
      <c r="J15" s="20" t="s">
        <v>349</v>
      </c>
      <c r="K15" s="18" t="n">
        <v>0.13268279</v>
      </c>
      <c r="L15" s="20" t="n">
        <v>0.13033695</v>
      </c>
      <c r="M15" s="18" t="n">
        <v>0</v>
      </c>
      <c r="N15" s="20" t="n">
        <v>0</v>
      </c>
      <c r="O15" s="18" t="n">
        <v>0</v>
      </c>
      <c r="P15" s="20" t="n">
        <v>0</v>
      </c>
      <c r="Q15" s="18" t="n">
        <v>0.20450967</v>
      </c>
      <c r="R15" s="20" t="n">
        <v>0.15838903</v>
      </c>
    </row>
    <row r="16" spans="1:18">
      <c r="A16" s="15" t="s">
        <v>358</v>
      </c>
      <c r="B16" s="17" t="n">
        <v>6108</v>
      </c>
      <c r="C16" s="18">
        <f>(5342.0/B16*100)</f>
        <v/>
      </c>
      <c r="D16" s="19" t="n">
        <v>766</v>
      </c>
      <c r="E16" s="18" t="n">
        <v>59.45184495</v>
      </c>
      <c r="F16" s="20" t="n">
        <v>1.55341994</v>
      </c>
      <c r="G16" s="18" t="n">
        <v>39.63048138</v>
      </c>
      <c r="H16" s="20" t="n">
        <v>1.57447882</v>
      </c>
      <c r="I16" s="18" t="s">
        <v>349</v>
      </c>
      <c r="J16" s="20" t="s">
        <v>349</v>
      </c>
      <c r="K16" s="18" t="n">
        <v>0.12964838</v>
      </c>
      <c r="L16" s="20" t="n">
        <v>0.15335149</v>
      </c>
      <c r="M16" s="18" t="n">
        <v>0</v>
      </c>
      <c r="N16" s="20" t="n">
        <v>0</v>
      </c>
      <c r="O16" s="18" t="n">
        <v>0</v>
      </c>
      <c r="P16" s="20" t="n">
        <v>0</v>
      </c>
      <c r="Q16" s="18" t="n">
        <v>0.78802529</v>
      </c>
      <c r="R16" s="20" t="n">
        <v>0.32259791</v>
      </c>
    </row>
    <row r="17" spans="1:18">
      <c r="A17" s="15" t="s">
        <v>359</v>
      </c>
      <c r="B17" s="17" t="n">
        <v>6504</v>
      </c>
      <c r="C17" s="18">
        <f>(5736.0/B17*100)</f>
        <v/>
      </c>
      <c r="D17" s="19" t="n">
        <v>768</v>
      </c>
      <c r="E17" s="18" t="n">
        <v>53.33333296</v>
      </c>
      <c r="F17" s="20" t="n">
        <v>1.9524197</v>
      </c>
      <c r="G17" s="18" t="n">
        <v>45.56600248</v>
      </c>
      <c r="H17" s="20" t="n">
        <v>1.9686501</v>
      </c>
      <c r="I17" s="18" t="s">
        <v>349</v>
      </c>
      <c r="J17" s="20" t="s">
        <v>349</v>
      </c>
      <c r="K17" s="18" t="n">
        <v>0</v>
      </c>
      <c r="L17" s="20" t="n">
        <v>0</v>
      </c>
      <c r="M17" s="18" t="n">
        <v>0</v>
      </c>
      <c r="N17" s="20" t="n">
        <v>0</v>
      </c>
      <c r="O17" s="18" t="n">
        <v>0</v>
      </c>
      <c r="P17" s="20" t="n">
        <v>0</v>
      </c>
      <c r="Q17" s="18" t="n">
        <v>1.10066457</v>
      </c>
      <c r="R17" s="20" t="n">
        <v>0.36286789</v>
      </c>
    </row>
    <row r="18" spans="1:18">
      <c r="A18" s="15" t="s">
        <v>360</v>
      </c>
      <c r="B18" s="17" t="n">
        <v>5532</v>
      </c>
      <c r="C18" s="18">
        <f>(4837.0/B18*100)</f>
        <v/>
      </c>
      <c r="D18" s="19" t="n">
        <v>695</v>
      </c>
      <c r="E18" s="18" t="n">
        <v>63.98777231</v>
      </c>
      <c r="F18" s="20" t="n">
        <v>1.97368209</v>
      </c>
      <c r="G18" s="18" t="n">
        <v>34.58727143</v>
      </c>
      <c r="H18" s="20" t="n">
        <v>1.92934511</v>
      </c>
      <c r="I18" s="18" t="s">
        <v>349</v>
      </c>
      <c r="J18" s="20" t="s">
        <v>349</v>
      </c>
      <c r="K18" s="18" t="n">
        <v>0.37141554</v>
      </c>
      <c r="L18" s="20" t="n">
        <v>0.36750703</v>
      </c>
      <c r="M18" s="18" t="n">
        <v>0</v>
      </c>
      <c r="N18" s="20" t="n">
        <v>0</v>
      </c>
      <c r="O18" s="18" t="n">
        <v>0</v>
      </c>
      <c r="P18" s="20" t="n">
        <v>0</v>
      </c>
      <c r="Q18" s="18" t="n">
        <v>1.05354072</v>
      </c>
      <c r="R18" s="20" t="n">
        <v>0.40179557</v>
      </c>
    </row>
    <row r="19" spans="1:18">
      <c r="A19" s="15" t="s">
        <v>361</v>
      </c>
      <c r="B19" s="17" t="n">
        <v>5658</v>
      </c>
      <c r="C19" s="18">
        <f>(4958.0/B19*100)</f>
        <v/>
      </c>
      <c r="D19" s="19" t="n">
        <v>700</v>
      </c>
      <c r="E19" s="18" t="n">
        <v>52.86603499</v>
      </c>
      <c r="F19" s="20" t="n">
        <v>2.21438337</v>
      </c>
      <c r="G19" s="18" t="n">
        <v>46.61934427</v>
      </c>
      <c r="H19" s="20" t="n">
        <v>2.21481739</v>
      </c>
      <c r="I19" s="18" t="s">
        <v>349</v>
      </c>
      <c r="J19" s="20" t="s">
        <v>349</v>
      </c>
      <c r="K19" s="18" t="n">
        <v>0</v>
      </c>
      <c r="L19" s="20" t="n">
        <v>0</v>
      </c>
      <c r="M19" s="18" t="n">
        <v>0</v>
      </c>
      <c r="N19" s="20" t="n">
        <v>0</v>
      </c>
      <c r="O19" s="18" t="n">
        <v>0</v>
      </c>
      <c r="P19" s="20" t="n">
        <v>0</v>
      </c>
      <c r="Q19" s="18" t="n">
        <v>0.51462074</v>
      </c>
      <c r="R19" s="20" t="n">
        <v>0.26164341</v>
      </c>
    </row>
    <row r="20" spans="1:18">
      <c r="A20" s="15" t="s">
        <v>362</v>
      </c>
      <c r="B20" s="17" t="n">
        <v>3371</v>
      </c>
      <c r="C20" s="18">
        <f>(2951.0/B20*100)</f>
        <v/>
      </c>
      <c r="D20" s="19" t="n">
        <v>420</v>
      </c>
      <c r="E20" s="18" t="n">
        <v>55.27556706</v>
      </c>
      <c r="F20" s="20" t="n">
        <v>2.68821359</v>
      </c>
      <c r="G20" s="18" t="n">
        <v>44.27884436</v>
      </c>
      <c r="H20" s="20" t="n">
        <v>2.66036609</v>
      </c>
      <c r="I20" s="18" t="s">
        <v>349</v>
      </c>
      <c r="J20" s="20" t="s">
        <v>349</v>
      </c>
      <c r="K20" s="18" t="n">
        <v>0.22439682</v>
      </c>
      <c r="L20" s="20" t="n">
        <v>0.22538908</v>
      </c>
      <c r="M20" s="18" t="n">
        <v>0</v>
      </c>
      <c r="N20" s="20" t="n">
        <v>0</v>
      </c>
      <c r="O20" s="18" t="n">
        <v>0</v>
      </c>
      <c r="P20" s="20" t="n">
        <v>0</v>
      </c>
      <c r="Q20" s="18" t="n">
        <v>0.22119176</v>
      </c>
      <c r="R20" s="20" t="n">
        <v>0.22264925</v>
      </c>
    </row>
    <row r="21" spans="1:18">
      <c r="A21" s="15" t="s">
        <v>363</v>
      </c>
      <c r="B21" s="17" t="n">
        <v>5741</v>
      </c>
      <c r="C21" s="18">
        <f>(4781.0/B21*100)</f>
        <v/>
      </c>
      <c r="D21" s="19" t="n">
        <v>960</v>
      </c>
      <c r="E21" s="18" t="n">
        <v>57.79567318</v>
      </c>
      <c r="F21" s="20" t="n">
        <v>1.63278648</v>
      </c>
      <c r="G21" s="18" t="n">
        <v>41.68785159</v>
      </c>
      <c r="H21" s="20" t="n">
        <v>1.61850908</v>
      </c>
      <c r="I21" s="18" t="s">
        <v>349</v>
      </c>
      <c r="J21" s="20" t="s">
        <v>349</v>
      </c>
      <c r="K21" s="18" t="n">
        <v>0</v>
      </c>
      <c r="L21" s="20" t="n">
        <v>0</v>
      </c>
      <c r="M21" s="18" t="n">
        <v>0</v>
      </c>
      <c r="N21" s="20" t="n">
        <v>0</v>
      </c>
      <c r="O21" s="18" t="n">
        <v>0</v>
      </c>
      <c r="P21" s="20" t="n">
        <v>0</v>
      </c>
      <c r="Q21" s="18" t="n">
        <v>0.51647523</v>
      </c>
      <c r="R21" s="20" t="n">
        <v>0.21993782</v>
      </c>
    </row>
    <row r="22" spans="1:18">
      <c r="A22" s="15" t="s">
        <v>364</v>
      </c>
      <c r="B22" s="17" t="n">
        <v>6598</v>
      </c>
      <c r="C22" s="18">
        <f>(5778.0/B22*100)</f>
        <v/>
      </c>
      <c r="D22" s="19" t="n">
        <v>820</v>
      </c>
      <c r="E22" s="18" t="n">
        <v>62.89458626</v>
      </c>
      <c r="F22" s="20" t="n">
        <v>1.73786168</v>
      </c>
      <c r="G22" s="18" t="n">
        <v>34.88158344</v>
      </c>
      <c r="H22" s="20" t="n">
        <v>1.74601864</v>
      </c>
      <c r="I22" s="18" t="s">
        <v>349</v>
      </c>
      <c r="J22" s="20" t="s">
        <v>349</v>
      </c>
      <c r="K22" s="18" t="n">
        <v>0.1093451</v>
      </c>
      <c r="L22" s="20" t="n">
        <v>0.10923685</v>
      </c>
      <c r="M22" s="18" t="n">
        <v>0</v>
      </c>
      <c r="N22" s="20" t="n">
        <v>0</v>
      </c>
      <c r="O22" s="18" t="n">
        <v>0</v>
      </c>
      <c r="P22" s="20" t="n">
        <v>0</v>
      </c>
      <c r="Q22" s="18" t="n">
        <v>2.1144852</v>
      </c>
      <c r="R22" s="20" t="n">
        <v>0.49338045</v>
      </c>
    </row>
    <row r="23" spans="1:18">
      <c r="A23" s="15" t="s">
        <v>365</v>
      </c>
      <c r="B23" s="17" t="n">
        <v>11583</v>
      </c>
      <c r="C23" s="18">
        <f>(10157.0/B23*100)</f>
        <v/>
      </c>
      <c r="D23" s="19" t="n">
        <v>1426</v>
      </c>
      <c r="E23" s="18" t="n">
        <v>56.84704446</v>
      </c>
      <c r="F23" s="20" t="n">
        <v>1.71926011</v>
      </c>
      <c r="G23" s="18" t="n">
        <v>42.41652939</v>
      </c>
      <c r="H23" s="20" t="n">
        <v>1.69058872</v>
      </c>
      <c r="I23" s="18" t="s">
        <v>349</v>
      </c>
      <c r="J23" s="20" t="s">
        <v>349</v>
      </c>
      <c r="K23" s="18" t="n">
        <v>0.00618211</v>
      </c>
      <c r="L23" s="20" t="n">
        <v>0.00622054</v>
      </c>
      <c r="M23" s="18" t="n">
        <v>0</v>
      </c>
      <c r="N23" s="20" t="n">
        <v>0</v>
      </c>
      <c r="O23" s="18" t="n">
        <v>0</v>
      </c>
      <c r="P23" s="20" t="n">
        <v>0</v>
      </c>
      <c r="Q23" s="18" t="n">
        <v>0.73024404</v>
      </c>
      <c r="R23" s="20" t="n">
        <v>0.31972843</v>
      </c>
    </row>
    <row r="24" spans="1:18">
      <c r="A24" s="15" t="s">
        <v>366</v>
      </c>
      <c r="B24" s="17" t="n">
        <v>6647</v>
      </c>
      <c r="C24" s="18">
        <f>(5806.0/B24*100)</f>
        <v/>
      </c>
      <c r="D24" s="19" t="n">
        <v>841</v>
      </c>
      <c r="E24" s="18" t="n">
        <v>50.55773768</v>
      </c>
      <c r="F24" s="20" t="n">
        <v>1.81235039</v>
      </c>
      <c r="G24" s="18" t="n">
        <v>48.27380687</v>
      </c>
      <c r="H24" s="20" t="n">
        <v>1.77605471</v>
      </c>
      <c r="I24" s="18" t="s">
        <v>349</v>
      </c>
      <c r="J24" s="20" t="s">
        <v>349</v>
      </c>
      <c r="K24" s="18" t="n">
        <v>0</v>
      </c>
      <c r="L24" s="20" t="n">
        <v>0</v>
      </c>
      <c r="M24" s="18" t="n">
        <v>0</v>
      </c>
      <c r="N24" s="20" t="n">
        <v>0</v>
      </c>
      <c r="O24" s="18" t="n">
        <v>0</v>
      </c>
      <c r="P24" s="20" t="n">
        <v>0</v>
      </c>
      <c r="Q24" s="18" t="n">
        <v>1.16845544</v>
      </c>
      <c r="R24" s="20" t="n">
        <v>0.40464813</v>
      </c>
    </row>
    <row r="25" spans="1:18">
      <c r="A25" s="15" t="s">
        <v>367</v>
      </c>
      <c r="B25" s="17" t="n">
        <v>5581</v>
      </c>
      <c r="C25" s="18">
        <f>(4905.0/B25*100)</f>
        <v/>
      </c>
      <c r="D25" s="19" t="n">
        <v>676</v>
      </c>
      <c r="E25" s="18" t="n">
        <v>56.96713987</v>
      </c>
      <c r="F25" s="20" t="n">
        <v>1.82914324</v>
      </c>
      <c r="G25" s="18" t="n">
        <v>42.26420417</v>
      </c>
      <c r="H25" s="20" t="n">
        <v>1.93813405</v>
      </c>
      <c r="I25" s="18" t="s">
        <v>349</v>
      </c>
      <c r="J25" s="20" t="s">
        <v>349</v>
      </c>
      <c r="K25" s="18" t="n">
        <v>0</v>
      </c>
      <c r="L25" s="20" t="n">
        <v>0</v>
      </c>
      <c r="M25" s="18" t="n">
        <v>0</v>
      </c>
      <c r="N25" s="20" t="n">
        <v>0</v>
      </c>
      <c r="O25" s="18" t="n">
        <v>0</v>
      </c>
      <c r="P25" s="20" t="n">
        <v>0</v>
      </c>
      <c r="Q25" s="18" t="n">
        <v>0.76865595</v>
      </c>
      <c r="R25" s="20" t="n">
        <v>0.38974098</v>
      </c>
    </row>
    <row r="26" spans="1:18">
      <c r="A26" s="15" t="s">
        <v>368</v>
      </c>
      <c r="B26" s="17" t="n">
        <v>4869</v>
      </c>
      <c r="C26" s="18">
        <f>(4282.0/B26*100)</f>
        <v/>
      </c>
      <c r="D26" s="19" t="n">
        <v>587</v>
      </c>
      <c r="E26" s="18" t="n">
        <v>56.54254127</v>
      </c>
      <c r="F26" s="20" t="n">
        <v>2.42654216</v>
      </c>
      <c r="G26" s="18" t="n">
        <v>43.20094402</v>
      </c>
      <c r="H26" s="20" t="n">
        <v>2.43547115</v>
      </c>
      <c r="I26" s="18" t="s">
        <v>349</v>
      </c>
      <c r="J26" s="20" t="s">
        <v>349</v>
      </c>
      <c r="K26" s="18" t="n">
        <v>0</v>
      </c>
      <c r="L26" s="20" t="n">
        <v>0</v>
      </c>
      <c r="M26" s="18" t="n">
        <v>0</v>
      </c>
      <c r="N26" s="20" t="n">
        <v>0</v>
      </c>
      <c r="O26" s="18" t="n">
        <v>0</v>
      </c>
      <c r="P26" s="20" t="n">
        <v>0</v>
      </c>
      <c r="Q26" s="18" t="n">
        <v>0.25651472</v>
      </c>
      <c r="R26" s="20" t="n">
        <v>0.18423963</v>
      </c>
    </row>
    <row r="27" spans="1:18">
      <c r="A27" s="15" t="s">
        <v>369</v>
      </c>
      <c r="B27" s="17" t="n">
        <v>5299</v>
      </c>
      <c r="C27" s="18">
        <f>(4657.0/B27*100)</f>
        <v/>
      </c>
      <c r="D27" s="19" t="n">
        <v>642</v>
      </c>
      <c r="E27" s="18" t="n">
        <v>59.31341752</v>
      </c>
      <c r="F27" s="20" t="n">
        <v>1.83585678</v>
      </c>
      <c r="G27" s="18" t="n">
        <v>40.06070833</v>
      </c>
      <c r="H27" s="20" t="n">
        <v>1.85934474</v>
      </c>
      <c r="I27" s="18" t="s">
        <v>349</v>
      </c>
      <c r="J27" s="20" t="s">
        <v>349</v>
      </c>
      <c r="K27" s="18" t="n">
        <v>0.15568708</v>
      </c>
      <c r="L27" s="20" t="n">
        <v>0.15627462</v>
      </c>
      <c r="M27" s="18" t="n">
        <v>0</v>
      </c>
      <c r="N27" s="20" t="n">
        <v>0</v>
      </c>
      <c r="O27" s="18" t="n">
        <v>0</v>
      </c>
      <c r="P27" s="20" t="n">
        <v>0</v>
      </c>
      <c r="Q27" s="18" t="n">
        <v>0.47018707</v>
      </c>
      <c r="R27" s="20" t="n">
        <v>0.26993766</v>
      </c>
    </row>
    <row r="28" spans="1:18">
      <c r="A28" s="15" t="s">
        <v>370</v>
      </c>
      <c r="B28" s="17" t="n">
        <v>7568</v>
      </c>
      <c r="C28" s="18">
        <f>(6656.0/B28*100)</f>
        <v/>
      </c>
      <c r="D28" s="19" t="n">
        <v>912</v>
      </c>
      <c r="E28" s="18" t="n">
        <v>65.91151219</v>
      </c>
      <c r="F28" s="20" t="n">
        <v>1.85199085</v>
      </c>
      <c r="G28" s="18" t="n">
        <v>32.67157085</v>
      </c>
      <c r="H28" s="20" t="n">
        <v>1.88686244</v>
      </c>
      <c r="I28" s="18" t="s">
        <v>349</v>
      </c>
      <c r="J28" s="20" t="s">
        <v>349</v>
      </c>
      <c r="K28" s="18" t="n">
        <v>0.3466709</v>
      </c>
      <c r="L28" s="20" t="n">
        <v>0.25607455</v>
      </c>
      <c r="M28" s="18" t="n">
        <v>0</v>
      </c>
      <c r="N28" s="20" t="n">
        <v>0</v>
      </c>
      <c r="O28" s="18" t="n">
        <v>0</v>
      </c>
      <c r="P28" s="20" t="n">
        <v>0</v>
      </c>
      <c r="Q28" s="18" t="n">
        <v>1.07024605</v>
      </c>
      <c r="R28" s="20" t="n">
        <v>0.37000908</v>
      </c>
    </row>
    <row r="29" spans="1:18">
      <c r="A29" s="15" t="s">
        <v>371</v>
      </c>
      <c r="B29" s="17" t="n">
        <v>5385</v>
      </c>
      <c r="C29" s="18">
        <f>(4757.0/B29*100)</f>
        <v/>
      </c>
      <c r="D29" s="19" t="n">
        <v>628</v>
      </c>
      <c r="E29" s="18" t="n">
        <v>56.06415676</v>
      </c>
      <c r="F29" s="20" t="n">
        <v>1.95670894</v>
      </c>
      <c r="G29" s="18" t="n">
        <v>43.47733749</v>
      </c>
      <c r="H29" s="20" t="n">
        <v>2.02634523</v>
      </c>
      <c r="I29" s="18" t="s">
        <v>349</v>
      </c>
      <c r="J29" s="20" t="s">
        <v>349</v>
      </c>
      <c r="K29" s="18" t="n">
        <v>0.16224275</v>
      </c>
      <c r="L29" s="20" t="n">
        <v>0.16084558</v>
      </c>
      <c r="M29" s="18" t="n">
        <v>0</v>
      </c>
      <c r="N29" s="20" t="n">
        <v>0</v>
      </c>
      <c r="O29" s="18" t="n">
        <v>0</v>
      </c>
      <c r="P29" s="20" t="n">
        <v>0</v>
      </c>
      <c r="Q29" s="18" t="n">
        <v>0.296263</v>
      </c>
      <c r="R29" s="20" t="n">
        <v>0.20285916</v>
      </c>
    </row>
    <row r="30" spans="1:18">
      <c r="A30" s="15" t="s">
        <v>372</v>
      </c>
      <c r="B30" s="17" t="n">
        <v>4520</v>
      </c>
      <c r="C30" s="18">
        <f>(3959.0/B30*100)</f>
        <v/>
      </c>
      <c r="D30" s="19" t="n">
        <v>561</v>
      </c>
      <c r="E30" s="18" t="n">
        <v>55.73881271</v>
      </c>
      <c r="F30" s="20" t="n">
        <v>2.33469265</v>
      </c>
      <c r="G30" s="18" t="n">
        <v>43.86946834</v>
      </c>
      <c r="H30" s="20" t="n">
        <v>2.3327042</v>
      </c>
      <c r="I30" s="18" t="s">
        <v>349</v>
      </c>
      <c r="J30" s="20" t="s">
        <v>349</v>
      </c>
      <c r="K30" s="18" t="n">
        <v>0</v>
      </c>
      <c r="L30" s="20" t="n">
        <v>0</v>
      </c>
      <c r="M30" s="18" t="n">
        <v>0</v>
      </c>
      <c r="N30" s="20" t="n">
        <v>0</v>
      </c>
      <c r="O30" s="18" t="n">
        <v>0</v>
      </c>
      <c r="P30" s="20" t="n">
        <v>0</v>
      </c>
      <c r="Q30" s="18" t="n">
        <v>0.39171895</v>
      </c>
      <c r="R30" s="20" t="n">
        <v>0.2547562</v>
      </c>
    </row>
    <row r="31" spans="1:18">
      <c r="A31" s="15" t="s">
        <v>373</v>
      </c>
      <c r="B31" s="17" t="n">
        <v>5456</v>
      </c>
      <c r="C31" s="18">
        <f>(4774.0/B31*100)</f>
        <v/>
      </c>
      <c r="D31" s="19" t="n">
        <v>682</v>
      </c>
      <c r="E31" s="18" t="n">
        <v>54.61766303</v>
      </c>
      <c r="F31" s="20" t="n">
        <v>1.92409153</v>
      </c>
      <c r="G31" s="18" t="n">
        <v>44.35299835</v>
      </c>
      <c r="H31" s="20" t="n">
        <v>1.85450329</v>
      </c>
      <c r="I31" s="18" t="s">
        <v>349</v>
      </c>
      <c r="J31" s="20" t="s">
        <v>349</v>
      </c>
      <c r="K31" s="18" t="n">
        <v>0.14224521</v>
      </c>
      <c r="L31" s="20" t="n">
        <v>0.1369875</v>
      </c>
      <c r="M31" s="18" t="n">
        <v>0</v>
      </c>
      <c r="N31" s="20" t="n">
        <v>0</v>
      </c>
      <c r="O31" s="18" t="n">
        <v>0</v>
      </c>
      <c r="P31" s="20" t="n">
        <v>0</v>
      </c>
      <c r="Q31" s="18" t="n">
        <v>0.88709342</v>
      </c>
      <c r="R31" s="20" t="n">
        <v>0.35927915</v>
      </c>
    </row>
    <row r="32" spans="1:18">
      <c r="A32" s="15" t="s">
        <v>374</v>
      </c>
      <c r="B32" s="17" t="n">
        <v>4478</v>
      </c>
      <c r="C32" s="18">
        <f>(3727.0/B32*100)</f>
        <v/>
      </c>
      <c r="D32" s="19" t="n">
        <v>751</v>
      </c>
      <c r="E32" s="18" t="n">
        <v>59.01453021</v>
      </c>
      <c r="F32" s="20" t="n">
        <v>1.73142685</v>
      </c>
      <c r="G32" s="18" t="n">
        <v>40.22883461</v>
      </c>
      <c r="H32" s="20" t="n">
        <v>1.70769796</v>
      </c>
      <c r="I32" s="18" t="s">
        <v>349</v>
      </c>
      <c r="J32" s="20" t="s">
        <v>349</v>
      </c>
      <c r="K32" s="18" t="n">
        <v>0</v>
      </c>
      <c r="L32" s="20" t="n">
        <v>0</v>
      </c>
      <c r="M32" s="18" t="n">
        <v>0</v>
      </c>
      <c r="N32" s="20" t="n">
        <v>0</v>
      </c>
      <c r="O32" s="18" t="n">
        <v>0</v>
      </c>
      <c r="P32" s="20" t="n">
        <v>0</v>
      </c>
      <c r="Q32" s="18" t="n">
        <v>0.75663518</v>
      </c>
      <c r="R32" s="20" t="n">
        <v>0.30659092</v>
      </c>
    </row>
    <row r="33" spans="1:18">
      <c r="A33" s="15" t="s">
        <v>375</v>
      </c>
      <c r="B33" s="17" t="n">
        <v>7325</v>
      </c>
      <c r="C33" s="18">
        <f>(6425.0/B33*100)</f>
        <v/>
      </c>
      <c r="D33" s="19" t="n">
        <v>900</v>
      </c>
      <c r="E33" s="18" t="n">
        <v>59.69157992</v>
      </c>
      <c r="F33" s="20" t="n">
        <v>1.80899313</v>
      </c>
      <c r="G33" s="18" t="n">
        <v>39.79501134</v>
      </c>
      <c r="H33" s="20" t="n">
        <v>1.82191698</v>
      </c>
      <c r="I33" s="18" t="s">
        <v>349</v>
      </c>
      <c r="J33" s="20" t="s">
        <v>349</v>
      </c>
      <c r="K33" s="18" t="n">
        <v>0.20896484</v>
      </c>
      <c r="L33" s="20" t="n">
        <v>0.21335139</v>
      </c>
      <c r="M33" s="18" t="n">
        <v>0</v>
      </c>
      <c r="N33" s="20" t="n">
        <v>0</v>
      </c>
      <c r="O33" s="18" t="n">
        <v>0</v>
      </c>
      <c r="P33" s="20" t="n">
        <v>0</v>
      </c>
      <c r="Q33" s="18" t="n">
        <v>0.30444389</v>
      </c>
      <c r="R33" s="20" t="n">
        <v>0.09222727</v>
      </c>
    </row>
    <row r="34" spans="1:18">
      <c r="A34" s="15" t="s">
        <v>376</v>
      </c>
      <c r="B34" s="17" t="n">
        <v>6350</v>
      </c>
      <c r="C34" s="18">
        <f>(5588.0/B34*100)</f>
        <v/>
      </c>
      <c r="D34" s="19" t="n">
        <v>762</v>
      </c>
      <c r="E34" s="18" t="n">
        <v>58.38827331</v>
      </c>
      <c r="F34" s="20" t="n">
        <v>1.87634285</v>
      </c>
      <c r="G34" s="18" t="n">
        <v>40.74372953</v>
      </c>
      <c r="H34" s="20" t="n">
        <v>1.86610641</v>
      </c>
      <c r="I34" s="18" t="s">
        <v>349</v>
      </c>
      <c r="J34" s="20" t="s">
        <v>349</v>
      </c>
      <c r="K34" s="18" t="n">
        <v>0</v>
      </c>
      <c r="L34" s="20" t="n">
        <v>0</v>
      </c>
      <c r="M34" s="18" t="n">
        <v>0</v>
      </c>
      <c r="N34" s="20" t="n">
        <v>0</v>
      </c>
      <c r="O34" s="18" t="n">
        <v>0</v>
      </c>
      <c r="P34" s="20" t="n">
        <v>0</v>
      </c>
      <c r="Q34" s="18" t="n">
        <v>0.86799717</v>
      </c>
      <c r="R34" s="20" t="n">
        <v>0.3729558</v>
      </c>
    </row>
    <row r="35" spans="1:18">
      <c r="A35" s="15" t="s">
        <v>377</v>
      </c>
      <c r="B35" s="17" t="n">
        <v>6406</v>
      </c>
      <c r="C35" s="18">
        <f>(5627.0/B35*100)</f>
        <v/>
      </c>
      <c r="D35" s="19" t="n">
        <v>779</v>
      </c>
      <c r="E35" s="18" t="n">
        <v>55.04256749</v>
      </c>
      <c r="F35" s="20" t="n">
        <v>1.9739046</v>
      </c>
      <c r="G35" s="18" t="n">
        <v>43.91537155</v>
      </c>
      <c r="H35" s="20" t="n">
        <v>1.90552456</v>
      </c>
      <c r="I35" s="18" t="s">
        <v>349</v>
      </c>
      <c r="J35" s="20" t="s">
        <v>349</v>
      </c>
      <c r="K35" s="18" t="n">
        <v>0.12150356</v>
      </c>
      <c r="L35" s="20" t="n">
        <v>0.08752351</v>
      </c>
      <c r="M35" s="18" t="n">
        <v>0</v>
      </c>
      <c r="N35" s="20" t="n">
        <v>0</v>
      </c>
      <c r="O35" s="18" t="n">
        <v>0</v>
      </c>
      <c r="P35" s="20" t="n">
        <v>0</v>
      </c>
      <c r="Q35" s="18" t="n">
        <v>0.92055739</v>
      </c>
      <c r="R35" s="20" t="n">
        <v>0.53831591</v>
      </c>
    </row>
    <row r="36" spans="1:18">
      <c r="A36" s="15" t="s">
        <v>378</v>
      </c>
      <c r="B36" s="17" t="n">
        <v>6736</v>
      </c>
      <c r="C36" s="18">
        <f>(5915.0/B36*100)</f>
        <v/>
      </c>
      <c r="D36" s="19" t="n">
        <v>821</v>
      </c>
      <c r="E36" s="18" t="n">
        <v>59.77682282</v>
      </c>
      <c r="F36" s="20" t="n">
        <v>1.80786118</v>
      </c>
      <c r="G36" s="18" t="n">
        <v>38.68635249</v>
      </c>
      <c r="H36" s="20" t="n">
        <v>1.78127429</v>
      </c>
      <c r="I36" s="18" t="s">
        <v>349</v>
      </c>
      <c r="J36" s="20" t="s">
        <v>349</v>
      </c>
      <c r="K36" s="18" t="n">
        <v>0.19516457</v>
      </c>
      <c r="L36" s="20" t="n">
        <v>0.17509446</v>
      </c>
      <c r="M36" s="18" t="n">
        <v>0</v>
      </c>
      <c r="N36" s="20" t="n">
        <v>0</v>
      </c>
      <c r="O36" s="18" t="n">
        <v>0</v>
      </c>
      <c r="P36" s="20" t="n">
        <v>0</v>
      </c>
      <c r="Q36" s="18" t="n">
        <v>1.34166012</v>
      </c>
      <c r="R36" s="20" t="n">
        <v>0.37717258</v>
      </c>
    </row>
    <row r="37" spans="1:18">
      <c r="A37" s="15" t="s">
        <v>379</v>
      </c>
      <c r="B37" s="17" t="n">
        <v>5458</v>
      </c>
      <c r="C37" s="18">
        <f>(4782.0/B37*100)</f>
        <v/>
      </c>
      <c r="D37" s="19" t="n">
        <v>676</v>
      </c>
      <c r="E37" s="18" t="n">
        <v>56.9779702</v>
      </c>
      <c r="F37" s="20" t="n">
        <v>1.99852437</v>
      </c>
      <c r="G37" s="18" t="n">
        <v>41.6499387</v>
      </c>
      <c r="H37" s="20" t="n">
        <v>2.14175648</v>
      </c>
      <c r="I37" s="18" t="s">
        <v>349</v>
      </c>
      <c r="J37" s="20" t="s">
        <v>349</v>
      </c>
      <c r="K37" s="18" t="n">
        <v>0.26752489</v>
      </c>
      <c r="L37" s="20" t="n">
        <v>0.19276141</v>
      </c>
      <c r="M37" s="18" t="n">
        <v>0</v>
      </c>
      <c r="N37" s="20" t="n">
        <v>0</v>
      </c>
      <c r="O37" s="18" t="n">
        <v>0</v>
      </c>
      <c r="P37" s="20" t="n">
        <v>0</v>
      </c>
      <c r="Q37" s="18" t="n">
        <v>1.10456621</v>
      </c>
      <c r="R37" s="20" t="n">
        <v>0.42549803</v>
      </c>
    </row>
    <row r="38" spans="1:18">
      <c r="A38" s="15" t="s">
        <v>380</v>
      </c>
      <c r="B38" s="17" t="n">
        <v>5860</v>
      </c>
      <c r="C38" s="18">
        <f>(4912.0/B38*100)</f>
        <v/>
      </c>
      <c r="D38" s="19" t="n">
        <v>948</v>
      </c>
      <c r="E38" s="18" t="n">
        <v>53.84244653</v>
      </c>
      <c r="F38" s="20" t="n">
        <v>1.62659186</v>
      </c>
      <c r="G38" s="18" t="n">
        <v>44.97645517</v>
      </c>
      <c r="H38" s="20" t="n">
        <v>1.65658202</v>
      </c>
      <c r="I38" s="18" t="s">
        <v>349</v>
      </c>
      <c r="J38" s="20" t="s">
        <v>349</v>
      </c>
      <c r="K38" s="18" t="n">
        <v>0.08874616</v>
      </c>
      <c r="L38" s="20" t="n">
        <v>0.08880958</v>
      </c>
      <c r="M38" s="18" t="n">
        <v>0</v>
      </c>
      <c r="N38" s="20" t="n">
        <v>0</v>
      </c>
      <c r="O38" s="18" t="n">
        <v>0</v>
      </c>
      <c r="P38" s="20" t="n">
        <v>0</v>
      </c>
      <c r="Q38" s="18" t="n">
        <v>1.09235214</v>
      </c>
      <c r="R38" s="20" t="n">
        <v>0.35412758</v>
      </c>
    </row>
    <row r="39" spans="1:18">
      <c r="A39" s="15" t="s">
        <v>381</v>
      </c>
      <c r="B39" s="17" t="n">
        <v>5895</v>
      </c>
      <c r="C39" s="18">
        <f>(5170.0/B39*100)</f>
        <v/>
      </c>
      <c r="D39" s="19" t="n">
        <v>725</v>
      </c>
      <c r="E39" s="18" t="n">
        <v>65.71182669</v>
      </c>
      <c r="F39" s="20" t="n">
        <v>2.30074925</v>
      </c>
      <c r="G39" s="18" t="n">
        <v>31.34160782</v>
      </c>
      <c r="H39" s="20" t="n">
        <v>2.20481637</v>
      </c>
      <c r="I39" s="18" t="s">
        <v>349</v>
      </c>
      <c r="J39" s="20" t="s">
        <v>349</v>
      </c>
      <c r="K39" s="18" t="n">
        <v>0.17098664</v>
      </c>
      <c r="L39" s="20" t="n">
        <v>0.17053738</v>
      </c>
      <c r="M39" s="18" t="n">
        <v>0</v>
      </c>
      <c r="N39" s="20" t="n">
        <v>0</v>
      </c>
      <c r="O39" s="18" t="n">
        <v>0</v>
      </c>
      <c r="P39" s="20" t="n">
        <v>0</v>
      </c>
      <c r="Q39" s="18" t="n">
        <v>2.77557886</v>
      </c>
      <c r="R39" s="20" t="n">
        <v>0.76503334</v>
      </c>
    </row>
    <row r="40" spans="1:18">
      <c r="A40" s="15" t="s">
        <v>382</v>
      </c>
      <c r="B40" s="17" t="n">
        <v>14157</v>
      </c>
      <c r="C40" s="18">
        <f>(12415.0/B40*100)</f>
        <v/>
      </c>
      <c r="D40" s="19" t="n">
        <v>1742</v>
      </c>
      <c r="E40" s="18" t="n">
        <v>58.569061</v>
      </c>
      <c r="F40" s="20" t="n">
        <v>1.48139678</v>
      </c>
      <c r="G40" s="18" t="n">
        <v>41.08804314</v>
      </c>
      <c r="H40" s="20" t="n">
        <v>1.50887734</v>
      </c>
      <c r="I40" s="18" t="s">
        <v>349</v>
      </c>
      <c r="J40" s="20" t="s">
        <v>349</v>
      </c>
      <c r="K40" s="18" t="n">
        <v>0.20974449</v>
      </c>
      <c r="L40" s="20" t="n">
        <v>0.22006194</v>
      </c>
      <c r="M40" s="18" t="n">
        <v>0</v>
      </c>
      <c r="N40" s="20" t="n">
        <v>0</v>
      </c>
      <c r="O40" s="18" t="n">
        <v>0</v>
      </c>
      <c r="P40" s="20" t="n">
        <v>0</v>
      </c>
      <c r="Q40" s="18" t="n">
        <v>0.13315137</v>
      </c>
      <c r="R40" s="20" t="n">
        <v>0.04944791</v>
      </c>
    </row>
    <row r="41" spans="1:18">
      <c r="A41" s="15" t="s">
        <v>383</v>
      </c>
      <c r="B41" s="17" t="n">
        <v>5712</v>
      </c>
      <c r="C41" s="18">
        <f>(5016.0/B41*100)</f>
        <v/>
      </c>
      <c r="D41" s="19" t="n">
        <v>696</v>
      </c>
      <c r="E41" s="18" t="n">
        <v>59.77399903</v>
      </c>
      <c r="F41" s="20" t="n">
        <v>1.750252</v>
      </c>
      <c r="G41" s="18" t="n">
        <v>39.13253065</v>
      </c>
      <c r="H41" s="20" t="n">
        <v>1.76723394</v>
      </c>
      <c r="I41" s="18" t="s">
        <v>349</v>
      </c>
      <c r="J41" s="20" t="s">
        <v>349</v>
      </c>
      <c r="K41" s="18" t="n">
        <v>0.4064037</v>
      </c>
      <c r="L41" s="20" t="n">
        <v>0.41068411</v>
      </c>
      <c r="M41" s="18" t="n">
        <v>0</v>
      </c>
      <c r="N41" s="20" t="n">
        <v>0</v>
      </c>
      <c r="O41" s="18" t="n">
        <v>0</v>
      </c>
      <c r="P41" s="20" t="n">
        <v>0</v>
      </c>
      <c r="Q41" s="18" t="n">
        <v>0.68706661</v>
      </c>
      <c r="R41" s="20" t="n">
        <v>0.27486359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(20441.0/B46*100)</f>
        <v/>
      </c>
      <c r="D46" s="19" t="n">
        <v>2700</v>
      </c>
      <c r="E46" s="18" t="n">
        <v>68.92696864</v>
      </c>
      <c r="F46" s="20" t="n">
        <v>1.20478406</v>
      </c>
      <c r="G46" s="18" t="n">
        <v>28.66772918</v>
      </c>
      <c r="H46" s="20" t="n">
        <v>1.14369953</v>
      </c>
      <c r="I46" s="18" t="s">
        <v>349</v>
      </c>
      <c r="J46" s="20" t="s">
        <v>349</v>
      </c>
      <c r="K46" s="18" t="n">
        <v>0.18967572</v>
      </c>
      <c r="L46" s="20" t="n">
        <v>0.10592803</v>
      </c>
      <c r="M46" s="18" t="n">
        <v>0</v>
      </c>
      <c r="N46" s="20" t="n">
        <v>0</v>
      </c>
      <c r="O46" s="18" t="n">
        <v>0</v>
      </c>
      <c r="P46" s="20" t="n">
        <v>0</v>
      </c>
      <c r="Q46" s="18" t="n">
        <v>2.21562647</v>
      </c>
      <c r="R46" s="20" t="n">
        <v>0.38564802</v>
      </c>
    </row>
    <row r="47" spans="1:18">
      <c r="A47" s="15" t="s">
        <v>389</v>
      </c>
      <c r="B47" s="17" t="n">
        <v>5928</v>
      </c>
      <c r="C47" s="18">
        <f>(5201.0/B47*100)</f>
        <v/>
      </c>
      <c r="D47" s="19" t="n">
        <v>727</v>
      </c>
      <c r="E47" s="18" t="n">
        <v>61.9127995</v>
      </c>
      <c r="F47" s="20" t="n">
        <v>1.85885371</v>
      </c>
      <c r="G47" s="18" t="n">
        <v>37.15389533</v>
      </c>
      <c r="H47" s="20" t="n">
        <v>1.83413275</v>
      </c>
      <c r="I47" s="18" t="s">
        <v>349</v>
      </c>
      <c r="J47" s="20" t="s">
        <v>349</v>
      </c>
      <c r="K47" s="18" t="n">
        <v>0.12634875</v>
      </c>
      <c r="L47" s="20" t="n">
        <v>0.12651692</v>
      </c>
      <c r="M47" s="18" t="n">
        <v>0</v>
      </c>
      <c r="N47" s="20" t="n">
        <v>0</v>
      </c>
      <c r="O47" s="18" t="n">
        <v>0</v>
      </c>
      <c r="P47" s="20" t="n">
        <v>0</v>
      </c>
      <c r="Q47" s="18" t="n">
        <v>0.8069564299999999</v>
      </c>
      <c r="R47" s="20" t="n">
        <v>0.3290959</v>
      </c>
    </row>
    <row r="48" spans="1:18">
      <c r="A48" s="15" t="s">
        <v>390</v>
      </c>
      <c r="B48" s="17" t="n">
        <v>9841</v>
      </c>
      <c r="C48" s="18">
        <f>(8640.0/B48*100)</f>
        <v/>
      </c>
      <c r="D48" s="19" t="n">
        <v>1201</v>
      </c>
      <c r="E48" s="18" t="n">
        <v>52.75211964</v>
      </c>
      <c r="F48" s="20" t="n">
        <v>2.02822936</v>
      </c>
      <c r="G48" s="18" t="n">
        <v>46.9731759</v>
      </c>
      <c r="H48" s="20" t="n">
        <v>2.02486703</v>
      </c>
      <c r="I48" s="18" t="s">
        <v>349</v>
      </c>
      <c r="J48" s="20" t="s">
        <v>349</v>
      </c>
      <c r="K48" s="18" t="n">
        <v>0.0013141</v>
      </c>
      <c r="L48" s="20" t="n">
        <v>0.00093455</v>
      </c>
      <c r="M48" s="18" t="n">
        <v>0</v>
      </c>
      <c r="N48" s="20" t="n">
        <v>0</v>
      </c>
      <c r="O48" s="18" t="n">
        <v>0</v>
      </c>
      <c r="P48" s="20" t="n">
        <v>0</v>
      </c>
      <c r="Q48" s="18" t="n">
        <v>0.27339036</v>
      </c>
      <c r="R48" s="20" t="n">
        <v>0.16434827</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(10333.0/B50*100)</f>
        <v/>
      </c>
      <c r="D50" s="19" t="n">
        <v>1462</v>
      </c>
      <c r="E50" s="18" t="n">
        <v>67.67559391</v>
      </c>
      <c r="F50" s="20" t="n">
        <v>1.62161686</v>
      </c>
      <c r="G50" s="18" t="n">
        <v>31.41939108</v>
      </c>
      <c r="H50" s="20" t="n">
        <v>1.63101956</v>
      </c>
      <c r="I50" s="18" t="s">
        <v>349</v>
      </c>
      <c r="J50" s="20" t="s">
        <v>349</v>
      </c>
      <c r="K50" s="18" t="n">
        <v>0.06189516</v>
      </c>
      <c r="L50" s="20" t="n">
        <v>0.03781913</v>
      </c>
      <c r="M50" s="18" t="n">
        <v>0</v>
      </c>
      <c r="N50" s="20" t="n">
        <v>0</v>
      </c>
      <c r="O50" s="18" t="n">
        <v>0</v>
      </c>
      <c r="P50" s="20" t="n">
        <v>0</v>
      </c>
      <c r="Q50" s="18" t="n">
        <v>0.84311985</v>
      </c>
      <c r="R50" s="20" t="n">
        <v>0.31433542</v>
      </c>
    </row>
    <row r="51" spans="1:18">
      <c r="A51" s="15" t="s">
        <v>393</v>
      </c>
      <c r="B51" s="17" t="n">
        <v>6866</v>
      </c>
      <c r="C51" s="18">
        <f>(6102.0/B51*100)</f>
        <v/>
      </c>
      <c r="D51" s="19" t="n">
        <v>764</v>
      </c>
      <c r="E51" s="18" t="n">
        <v>70.55540018000001</v>
      </c>
      <c r="F51" s="20" t="n">
        <v>1.70018552</v>
      </c>
      <c r="G51" s="18" t="n">
        <v>27.46004058</v>
      </c>
      <c r="H51" s="20" t="n">
        <v>1.65208912</v>
      </c>
      <c r="I51" s="18" t="s">
        <v>349</v>
      </c>
      <c r="J51" s="20" t="s">
        <v>349</v>
      </c>
      <c r="K51" s="18" t="n">
        <v>0</v>
      </c>
      <c r="L51" s="20" t="n">
        <v>0</v>
      </c>
      <c r="M51" s="18" t="n">
        <v>0</v>
      </c>
      <c r="N51" s="20" t="n">
        <v>0</v>
      </c>
      <c r="O51" s="18" t="n">
        <v>0</v>
      </c>
      <c r="P51" s="20" t="n">
        <v>0</v>
      </c>
      <c r="Q51" s="18" t="n">
        <v>1.98455924</v>
      </c>
      <c r="R51" s="20" t="n">
        <v>0.61204459</v>
      </c>
    </row>
    <row r="52" spans="1:18">
      <c r="A52" s="15" t="s">
        <v>394</v>
      </c>
      <c r="B52" s="17" t="n">
        <v>5809</v>
      </c>
      <c r="C52" s="18">
        <f>(5096.0/B52*100)</f>
        <v/>
      </c>
      <c r="D52" s="19" t="n">
        <v>713</v>
      </c>
      <c r="E52" s="18" t="n">
        <v>57.30636975</v>
      </c>
      <c r="F52" s="20" t="n">
        <v>1.92803553</v>
      </c>
      <c r="G52" s="18" t="n">
        <v>40.70235621</v>
      </c>
      <c r="H52" s="20" t="n">
        <v>1.86302726</v>
      </c>
      <c r="I52" s="18" t="s">
        <v>349</v>
      </c>
      <c r="J52" s="20" t="s">
        <v>349</v>
      </c>
      <c r="K52" s="18" t="n">
        <v>0</v>
      </c>
      <c r="L52" s="20" t="n">
        <v>0</v>
      </c>
      <c r="M52" s="18" t="n">
        <v>0</v>
      </c>
      <c r="N52" s="20" t="n">
        <v>0</v>
      </c>
      <c r="O52" s="18" t="n">
        <v>0</v>
      </c>
      <c r="P52" s="20" t="n">
        <v>0</v>
      </c>
      <c r="Q52" s="18" t="n">
        <v>1.99127404</v>
      </c>
      <c r="R52" s="20" t="n">
        <v>0.51775015</v>
      </c>
    </row>
    <row r="53" spans="1:18">
      <c r="A53" s="15" t="s">
        <v>395</v>
      </c>
      <c r="B53" s="17" t="n">
        <v>5571</v>
      </c>
      <c r="C53" s="18">
        <f>(4873.0/B53*100)</f>
        <v/>
      </c>
      <c r="D53" s="19" t="n">
        <v>698</v>
      </c>
      <c r="E53" s="18" t="n">
        <v>59.35677491</v>
      </c>
      <c r="F53" s="20" t="n">
        <v>2.11498568</v>
      </c>
      <c r="G53" s="18" t="n">
        <v>39.08278917</v>
      </c>
      <c r="H53" s="20" t="n">
        <v>2.06855093</v>
      </c>
      <c r="I53" s="18" t="s">
        <v>349</v>
      </c>
      <c r="J53" s="20" t="s">
        <v>349</v>
      </c>
      <c r="K53" s="18" t="n">
        <v>0.20617043</v>
      </c>
      <c r="L53" s="20" t="n">
        <v>0.14615826</v>
      </c>
      <c r="M53" s="18" t="n">
        <v>0</v>
      </c>
      <c r="N53" s="20" t="n">
        <v>0</v>
      </c>
      <c r="O53" s="18" t="n">
        <v>0</v>
      </c>
      <c r="P53" s="20" t="n">
        <v>0</v>
      </c>
      <c r="Q53" s="18" t="n">
        <v>1.35426549</v>
      </c>
      <c r="R53" s="20" t="n">
        <v>0.44975113</v>
      </c>
    </row>
    <row r="54" spans="1:18">
      <c r="A54" s="15" t="s">
        <v>396</v>
      </c>
      <c r="B54" s="17" t="n">
        <v>4740</v>
      </c>
      <c r="C54" s="18">
        <f>(3962.0/B54*100)</f>
        <v/>
      </c>
      <c r="D54" s="19" t="n">
        <v>778</v>
      </c>
      <c r="E54" s="18" t="n">
        <v>69.85399492000001</v>
      </c>
      <c r="F54" s="20" t="n">
        <v>1.91700413</v>
      </c>
      <c r="G54" s="18" t="n">
        <v>21.77016212</v>
      </c>
      <c r="H54" s="20" t="n">
        <v>1.71921509</v>
      </c>
      <c r="I54" s="18" t="s">
        <v>349</v>
      </c>
      <c r="J54" s="20" t="s">
        <v>349</v>
      </c>
      <c r="K54" s="18" t="n">
        <v>3.49537911</v>
      </c>
      <c r="L54" s="20" t="n">
        <v>0.82757978</v>
      </c>
      <c r="M54" s="18" t="n">
        <v>0</v>
      </c>
      <c r="N54" s="20" t="n">
        <v>0</v>
      </c>
      <c r="O54" s="18" t="n">
        <v>0</v>
      </c>
      <c r="P54" s="20" t="n">
        <v>0</v>
      </c>
      <c r="Q54" s="18" t="n">
        <v>4.88046385</v>
      </c>
      <c r="R54" s="20" t="n">
        <v>0.79168109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52.35384051</v>
      </c>
      <c r="F56" s="20" t="n">
        <v>2.05165496</v>
      </c>
      <c r="G56" s="18" t="n">
        <v>47.18875467</v>
      </c>
      <c r="H56" s="20" t="n">
        <v>2.05936699</v>
      </c>
      <c r="I56" s="18" t="s">
        <v>349</v>
      </c>
      <c r="J56" s="20" t="s">
        <v>349</v>
      </c>
      <c r="K56" s="18" t="n">
        <v>0.13999832</v>
      </c>
      <c r="L56" s="20" t="n">
        <v>0.15604353</v>
      </c>
      <c r="M56" s="18" t="n">
        <v>0</v>
      </c>
      <c r="N56" s="20" t="n">
        <v>0</v>
      </c>
      <c r="O56" s="18" t="n">
        <v>0</v>
      </c>
      <c r="P56" s="20" t="n">
        <v>0</v>
      </c>
      <c r="Q56" s="18" t="n">
        <v>0.31740649</v>
      </c>
      <c r="R56" s="20" t="n">
        <v>0.22309114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(5741.0/B61*100)</f>
        <v/>
      </c>
      <c r="D61" s="19" t="n">
        <v>784</v>
      </c>
      <c r="E61" s="18" t="n">
        <v>54.18363643</v>
      </c>
      <c r="F61" s="20" t="n">
        <v>1.875406</v>
      </c>
      <c r="G61" s="18" t="n">
        <v>44.99463839</v>
      </c>
      <c r="H61" s="20" t="n">
        <v>1.96558406</v>
      </c>
      <c r="I61" s="18" t="s">
        <v>349</v>
      </c>
      <c r="J61" s="20" t="s">
        <v>349</v>
      </c>
      <c r="K61" s="18" t="n">
        <v>0</v>
      </c>
      <c r="L61" s="20" t="n">
        <v>0</v>
      </c>
      <c r="M61" s="18" t="n">
        <v>0</v>
      </c>
      <c r="N61" s="20" t="n">
        <v>0</v>
      </c>
      <c r="O61" s="18" t="n">
        <v>0</v>
      </c>
      <c r="P61" s="20" t="n">
        <v>0</v>
      </c>
      <c r="Q61" s="18" t="n">
        <v>0.8217251800000001</v>
      </c>
      <c r="R61" s="20" t="n">
        <v>0.3653676</v>
      </c>
    </row>
    <row r="62" spans="1:18">
      <c r="A62" s="15" t="s">
        <v>404</v>
      </c>
      <c r="B62" s="17" t="n">
        <v>4476</v>
      </c>
      <c r="C62" s="18">
        <f>(3942.0/B62*100)</f>
        <v/>
      </c>
      <c r="D62" s="19" t="n">
        <v>534</v>
      </c>
      <c r="E62" s="18" t="n">
        <v>43.29004137</v>
      </c>
      <c r="F62" s="20" t="n">
        <v>2.17378464</v>
      </c>
      <c r="G62" s="18" t="n">
        <v>56.70995863</v>
      </c>
      <c r="H62" s="20" t="n">
        <v>2.17378464</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(4957.0/B66*100)</f>
        <v/>
      </c>
      <c r="D66" s="19" t="n">
        <v>708</v>
      </c>
      <c r="E66" s="18" t="n">
        <v>65.2782053</v>
      </c>
      <c r="F66" s="20" t="n">
        <v>1.78226373</v>
      </c>
      <c r="G66" s="18" t="n">
        <v>32.09713866</v>
      </c>
      <c r="H66" s="20" t="n">
        <v>1.70690254</v>
      </c>
      <c r="I66" s="18" t="s">
        <v>349</v>
      </c>
      <c r="J66" s="20" t="s">
        <v>349</v>
      </c>
      <c r="K66" s="18" t="n">
        <v>0.13732039</v>
      </c>
      <c r="L66" s="20" t="n">
        <v>0.13785525</v>
      </c>
      <c r="M66" s="18" t="n">
        <v>0</v>
      </c>
      <c r="N66" s="20" t="n">
        <v>0</v>
      </c>
      <c r="O66" s="18" t="n">
        <v>0</v>
      </c>
      <c r="P66" s="20" t="n">
        <v>0</v>
      </c>
      <c r="Q66" s="18" t="n">
        <v>2.48733564</v>
      </c>
      <c r="R66" s="20" t="n">
        <v>0.65233598</v>
      </c>
    </row>
    <row r="67" spans="1:18">
      <c r="A67" s="15" t="s">
        <v>409</v>
      </c>
      <c r="B67" s="17" t="n">
        <v>6971</v>
      </c>
      <c r="C67" s="18">
        <f>(6131.0/B67*100)</f>
        <v/>
      </c>
      <c r="D67" s="19" t="n">
        <v>840</v>
      </c>
      <c r="E67" s="18" t="n">
        <v>68.83036106</v>
      </c>
      <c r="F67" s="20" t="n">
        <v>1.72589273</v>
      </c>
      <c r="G67" s="18" t="n">
        <v>27.90607299</v>
      </c>
      <c r="H67" s="20" t="n">
        <v>1.60904922</v>
      </c>
      <c r="I67" s="18" t="s">
        <v>349</v>
      </c>
      <c r="J67" s="20" t="s">
        <v>349</v>
      </c>
      <c r="K67" s="18" t="n">
        <v>0</v>
      </c>
      <c r="L67" s="20" t="n">
        <v>0</v>
      </c>
      <c r="M67" s="18" t="n">
        <v>0</v>
      </c>
      <c r="N67" s="20" t="n">
        <v>0</v>
      </c>
      <c r="O67" s="18" t="n">
        <v>0</v>
      </c>
      <c r="P67" s="20" t="n">
        <v>0</v>
      </c>
      <c r="Q67" s="18" t="n">
        <v>3.26356594</v>
      </c>
      <c r="R67" s="20" t="n">
        <v>0.5982326</v>
      </c>
    </row>
    <row r="68" spans="1:18">
      <c r="A68" s="15" t="s">
        <v>410</v>
      </c>
      <c r="B68" s="17" t="n">
        <v>12083</v>
      </c>
      <c r="C68" s="18">
        <f>(10092.0/B68*100)</f>
        <v/>
      </c>
      <c r="D68" s="19" t="n">
        <v>1991</v>
      </c>
      <c r="E68" s="18" t="n">
        <v>65.82693548</v>
      </c>
      <c r="F68" s="20" t="n">
        <v>0.8967649600000001</v>
      </c>
      <c r="G68" s="18" t="n">
        <v>30.98450525</v>
      </c>
      <c r="H68" s="20" t="n">
        <v>0.8624147599999999</v>
      </c>
      <c r="I68" s="18" t="s">
        <v>349</v>
      </c>
      <c r="J68" s="20" t="s">
        <v>349</v>
      </c>
      <c r="K68" s="18" t="n">
        <v>0.6718138</v>
      </c>
      <c r="L68" s="20" t="n">
        <v>0.1675382</v>
      </c>
      <c r="M68" s="18" t="n">
        <v>0</v>
      </c>
      <c r="N68" s="20" t="n">
        <v>0</v>
      </c>
      <c r="O68" s="18" t="n">
        <v>0</v>
      </c>
      <c r="P68" s="20" t="n">
        <v>0</v>
      </c>
      <c r="Q68" s="18" t="n">
        <v>2.51674547</v>
      </c>
      <c r="R68" s="20" t="n">
        <v>0.34284696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(5307.0/B70*100)</f>
        <v/>
      </c>
      <c r="D70" s="19" t="n">
        <v>729</v>
      </c>
      <c r="E70" s="18" t="n">
        <v>56.86300881</v>
      </c>
      <c r="F70" s="20" t="n">
        <v>2.58510681</v>
      </c>
      <c r="G70" s="18" t="n">
        <v>41.99203721</v>
      </c>
      <c r="H70" s="20" t="n">
        <v>2.45595313</v>
      </c>
      <c r="I70" s="18" t="s">
        <v>349</v>
      </c>
      <c r="J70" s="20" t="s">
        <v>349</v>
      </c>
      <c r="K70" s="18" t="n">
        <v>0</v>
      </c>
      <c r="L70" s="20" t="n">
        <v>0</v>
      </c>
      <c r="M70" s="18" t="n">
        <v>0</v>
      </c>
      <c r="N70" s="20" t="n">
        <v>0</v>
      </c>
      <c r="O70" s="18" t="n">
        <v>0</v>
      </c>
      <c r="P70" s="20" t="n">
        <v>0</v>
      </c>
      <c r="Q70" s="18" t="n">
        <v>1.14495398</v>
      </c>
      <c r="R70" s="20" t="n">
        <v>0.73984146</v>
      </c>
    </row>
    <row r="71" spans="1:18">
      <c r="A71" s="15" t="s">
        <v>413</v>
      </c>
      <c r="B71" s="17" t="n">
        <v>6115</v>
      </c>
      <c r="C71" s="18">
        <f>(5375.0/B71*100)</f>
        <v/>
      </c>
      <c r="D71" s="19" t="n">
        <v>740</v>
      </c>
      <c r="E71" s="18" t="n">
        <v>47.88897161</v>
      </c>
      <c r="F71" s="20" t="n">
        <v>1.90974557</v>
      </c>
      <c r="G71" s="18" t="n">
        <v>51.46930074</v>
      </c>
      <c r="H71" s="20" t="n">
        <v>1.92396108</v>
      </c>
      <c r="I71" s="18" t="s">
        <v>349</v>
      </c>
      <c r="J71" s="20" t="s">
        <v>349</v>
      </c>
      <c r="K71" s="18" t="n">
        <v>0</v>
      </c>
      <c r="L71" s="20" t="n">
        <v>0</v>
      </c>
      <c r="M71" s="18" t="n">
        <v>0</v>
      </c>
      <c r="N71" s="20" t="n">
        <v>0</v>
      </c>
      <c r="O71" s="18" t="n">
        <v>0</v>
      </c>
      <c r="P71" s="20" t="n">
        <v>0</v>
      </c>
      <c r="Q71" s="18" t="n">
        <v>0.64172765</v>
      </c>
      <c r="R71" s="20" t="n">
        <v>0.2890068</v>
      </c>
    </row>
    <row r="72" spans="1:18">
      <c r="A72" s="15" t="s">
        <v>414</v>
      </c>
      <c r="B72" s="17" t="n">
        <v>7708</v>
      </c>
      <c r="C72" s="18">
        <f>(6767.0/B72*100)</f>
        <v/>
      </c>
      <c r="D72" s="19" t="n">
        <v>941</v>
      </c>
      <c r="E72" s="18" t="n">
        <v>53.41756317</v>
      </c>
      <c r="F72" s="20" t="n">
        <v>2.08085617</v>
      </c>
      <c r="G72" s="18" t="n">
        <v>45.97317386</v>
      </c>
      <c r="H72" s="20" t="n">
        <v>2.03474761</v>
      </c>
      <c r="I72" s="18" t="s">
        <v>349</v>
      </c>
      <c r="J72" s="20" t="s">
        <v>349</v>
      </c>
      <c r="K72" s="18" t="n">
        <v>0.14264832</v>
      </c>
      <c r="L72" s="20" t="n">
        <v>0.14316739</v>
      </c>
      <c r="M72" s="18" t="n">
        <v>0</v>
      </c>
      <c r="N72" s="20" t="n">
        <v>0</v>
      </c>
      <c r="O72" s="18" t="n">
        <v>0</v>
      </c>
      <c r="P72" s="20" t="n">
        <v>0</v>
      </c>
      <c r="Q72" s="18" t="n">
        <v>0.46661465</v>
      </c>
      <c r="R72" s="20" t="n">
        <v>0.20546258</v>
      </c>
    </row>
    <row r="73" spans="1:18">
      <c r="A73" s="15" t="s">
        <v>415</v>
      </c>
      <c r="B73" s="17" t="n">
        <v>8249</v>
      </c>
      <c r="C73" s="18">
        <f>(7203.0/B73*100)</f>
        <v/>
      </c>
      <c r="D73" s="19" t="n">
        <v>1046</v>
      </c>
      <c r="E73" s="18" t="n">
        <v>58.39924852</v>
      </c>
      <c r="F73" s="20" t="n">
        <v>1.65975229</v>
      </c>
      <c r="G73" s="18" t="n">
        <v>40.98399191</v>
      </c>
      <c r="H73" s="20" t="n">
        <v>1.66243552</v>
      </c>
      <c r="I73" s="18" t="s">
        <v>349</v>
      </c>
      <c r="J73" s="20" t="s">
        <v>349</v>
      </c>
      <c r="K73" s="18" t="n">
        <v>0.03352552</v>
      </c>
      <c r="L73" s="20" t="n">
        <v>0.03532473</v>
      </c>
      <c r="M73" s="18" t="n">
        <v>0</v>
      </c>
      <c r="N73" s="20" t="n">
        <v>0</v>
      </c>
      <c r="O73" s="18" t="n">
        <v>0</v>
      </c>
      <c r="P73" s="20" t="n">
        <v>0</v>
      </c>
      <c r="Q73" s="18" t="n">
        <v>0.5832340499999999</v>
      </c>
      <c r="R73" s="20" t="n">
        <v>0.28286889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(4768.0/B75*100)</f>
        <v/>
      </c>
      <c r="D75" s="19" t="n">
        <v>607</v>
      </c>
      <c r="E75" s="18" t="n">
        <v>66.5733877</v>
      </c>
      <c r="F75" s="20" t="n">
        <v>2.03809913</v>
      </c>
      <c r="G75" s="18" t="n">
        <v>29.81394331</v>
      </c>
      <c r="H75" s="20" t="n">
        <v>1.95140654</v>
      </c>
      <c r="I75" s="18" t="s">
        <v>349</v>
      </c>
      <c r="J75" s="20" t="s">
        <v>349</v>
      </c>
      <c r="K75" s="18" t="n">
        <v>0.31976057</v>
      </c>
      <c r="L75" s="20" t="n">
        <v>0.18433458</v>
      </c>
      <c r="M75" s="18" t="n">
        <v>0</v>
      </c>
      <c r="N75" s="20" t="n">
        <v>0</v>
      </c>
      <c r="O75" s="18" t="n">
        <v>0</v>
      </c>
      <c r="P75" s="20" t="n">
        <v>0</v>
      </c>
      <c r="Q75" s="18" t="n">
        <v>3.29290841</v>
      </c>
      <c r="R75" s="20" t="n">
        <v>0.86204388</v>
      </c>
    </row>
    <row r="76" spans="1:18">
      <c r="A76" s="15" t="s">
        <v>418</v>
      </c>
      <c r="B76" s="17" t="n">
        <v>14167</v>
      </c>
      <c r="C76" s="18">
        <f>(12467.0/B76*100)</f>
        <v/>
      </c>
      <c r="D76" s="19" t="n">
        <v>1700</v>
      </c>
      <c r="E76" s="18" t="n">
        <v>36.84733352</v>
      </c>
      <c r="F76" s="20" t="n">
        <v>1.46710228</v>
      </c>
      <c r="G76" s="18" t="n">
        <v>16.93164718</v>
      </c>
      <c r="H76" s="20" t="n">
        <v>1.20332676</v>
      </c>
      <c r="I76" s="18" t="s">
        <v>349</v>
      </c>
      <c r="J76" s="20" t="s">
        <v>349</v>
      </c>
      <c r="K76" s="18" t="n">
        <v>0.59850887</v>
      </c>
      <c r="L76" s="20" t="n">
        <v>0.21341994</v>
      </c>
      <c r="M76" s="18" t="n">
        <v>44.57690936</v>
      </c>
      <c r="N76" s="20" t="n">
        <v>1.29375578</v>
      </c>
      <c r="O76" s="18" t="n">
        <v>0</v>
      </c>
      <c r="P76" s="20" t="n">
        <v>0</v>
      </c>
      <c r="Q76" s="18" t="n">
        <v>1.04560107</v>
      </c>
      <c r="R76" s="20" t="n">
        <v>0.27996478</v>
      </c>
    </row>
    <row r="77" spans="1:18">
      <c r="A77" s="15" t="s">
        <v>419</v>
      </c>
      <c r="B77" s="17" t="n">
        <v>6062</v>
      </c>
      <c r="C77" s="18">
        <f>(5325.0/B77*100)</f>
        <v/>
      </c>
      <c r="D77" s="19" t="n">
        <v>737</v>
      </c>
      <c r="E77" s="18" t="n">
        <v>59.85818382</v>
      </c>
      <c r="F77" s="20" t="n">
        <v>1.45208967</v>
      </c>
      <c r="G77" s="18" t="n">
        <v>38.16806765</v>
      </c>
      <c r="H77" s="20" t="n">
        <v>1.45522111</v>
      </c>
      <c r="I77" s="18" t="s">
        <v>349</v>
      </c>
      <c r="J77" s="20" t="s">
        <v>349</v>
      </c>
      <c r="K77" s="18" t="n">
        <v>0.18247608</v>
      </c>
      <c r="L77" s="20" t="n">
        <v>0.12647569</v>
      </c>
      <c r="M77" s="18" t="n">
        <v>0</v>
      </c>
      <c r="N77" s="20" t="n">
        <v>0</v>
      </c>
      <c r="O77" s="18" t="n">
        <v>0</v>
      </c>
      <c r="P77" s="20" t="n">
        <v>0</v>
      </c>
      <c r="Q77" s="18" t="n">
        <v>1.79127245</v>
      </c>
      <c r="R77" s="20" t="n">
        <v>0.67621413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(7769.0/B81*100)</f>
        <v/>
      </c>
      <c r="D81" s="19" t="n">
        <v>1092</v>
      </c>
      <c r="E81" s="18" t="n">
        <v>63.5489952</v>
      </c>
      <c r="F81" s="20" t="n">
        <v>1.97154689</v>
      </c>
      <c r="G81" s="18" t="n">
        <v>36.15918496</v>
      </c>
      <c r="H81" s="20" t="n">
        <v>1.91120501</v>
      </c>
      <c r="I81" s="18" t="s">
        <v>349</v>
      </c>
      <c r="J81" s="20" t="s">
        <v>349</v>
      </c>
      <c r="K81" s="18" t="n">
        <v>0.13198569</v>
      </c>
      <c r="L81" s="20" t="n">
        <v>0.33639868</v>
      </c>
      <c r="M81" s="18" t="n">
        <v>0</v>
      </c>
      <c r="N81" s="20" t="n">
        <v>0</v>
      </c>
      <c r="O81" s="18" t="n">
        <v>0</v>
      </c>
      <c r="P81" s="20" t="n">
        <v>0</v>
      </c>
      <c r="Q81" s="18" t="n">
        <v>0.15983414</v>
      </c>
      <c r="R81" s="20" t="n">
        <v>0.15803477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(12822.0/B7*100)</f>
        <v/>
      </c>
      <c r="D7" s="19" t="n">
        <v>1708</v>
      </c>
      <c r="E7" s="18" t="n">
        <v>50.55751939</v>
      </c>
      <c r="F7" s="20" t="n">
        <v>1.46599974</v>
      </c>
      <c r="G7" s="18" t="n">
        <v>48.77300935</v>
      </c>
      <c r="H7" s="20" t="n">
        <v>1.47303942</v>
      </c>
      <c r="I7" s="18" t="s">
        <v>349</v>
      </c>
      <c r="J7" s="20" t="s">
        <v>349</v>
      </c>
      <c r="K7" s="18" t="n">
        <v>0.09275601</v>
      </c>
      <c r="L7" s="20" t="n">
        <v>0.08856289000000001</v>
      </c>
      <c r="M7" s="18" t="n">
        <v>0</v>
      </c>
      <c r="N7" s="20" t="n">
        <v>0</v>
      </c>
      <c r="O7" s="18" t="n">
        <v>0</v>
      </c>
      <c r="P7" s="20" t="n">
        <v>0</v>
      </c>
      <c r="Q7" s="18" t="n">
        <v>0.57671525</v>
      </c>
      <c r="R7" s="20" t="n">
        <v>0.20113843</v>
      </c>
    </row>
    <row r="8" spans="1:18">
      <c r="A8" s="15" t="s">
        <v>350</v>
      </c>
      <c r="B8" s="17" t="n">
        <v>7007</v>
      </c>
      <c r="C8" s="18">
        <f>(6170.0/B8*100)</f>
        <v/>
      </c>
      <c r="D8" s="19" t="n">
        <v>837</v>
      </c>
      <c r="E8" s="18" t="n">
        <v>56.64180906</v>
      </c>
      <c r="F8" s="20" t="n">
        <v>1.98543091</v>
      </c>
      <c r="G8" s="18" t="n">
        <v>43.1493522</v>
      </c>
      <c r="H8" s="20" t="n">
        <v>1.9948917</v>
      </c>
      <c r="I8" s="18" t="s">
        <v>349</v>
      </c>
      <c r="J8" s="20" t="s">
        <v>349</v>
      </c>
      <c r="K8" s="18" t="n">
        <v>0</v>
      </c>
      <c r="L8" s="20" t="n">
        <v>0</v>
      </c>
      <c r="M8" s="18" t="n">
        <v>0</v>
      </c>
      <c r="N8" s="20" t="n">
        <v>0</v>
      </c>
      <c r="O8" s="18" t="n">
        <v>0</v>
      </c>
      <c r="P8" s="20" t="n">
        <v>0</v>
      </c>
      <c r="Q8" s="18" t="n">
        <v>0.20883873</v>
      </c>
      <c r="R8" s="20" t="n">
        <v>0.10741613</v>
      </c>
    </row>
    <row r="9" spans="1:18">
      <c r="A9" s="15" t="s">
        <v>351</v>
      </c>
      <c r="B9" s="17" t="n">
        <v>9651</v>
      </c>
      <c r="C9" s="18">
        <f>(8500.0/B9*100)</f>
        <v/>
      </c>
      <c r="D9" s="19" t="n">
        <v>1151</v>
      </c>
      <c r="E9" s="18" t="n">
        <v>47.82910962</v>
      </c>
      <c r="F9" s="20" t="n">
        <v>1.4142479</v>
      </c>
      <c r="G9" s="18" t="n">
        <v>51.47314001</v>
      </c>
      <c r="H9" s="20" t="n">
        <v>1.44754601</v>
      </c>
      <c r="I9" s="18" t="s">
        <v>349</v>
      </c>
      <c r="J9" s="20" t="s">
        <v>349</v>
      </c>
      <c r="K9" s="18" t="n">
        <v>0</v>
      </c>
      <c r="L9" s="20" t="n">
        <v>0</v>
      </c>
      <c r="M9" s="18" t="n">
        <v>0</v>
      </c>
      <c r="N9" s="20" t="n">
        <v>0</v>
      </c>
      <c r="O9" s="18" t="n">
        <v>0</v>
      </c>
      <c r="P9" s="20" t="n">
        <v>0</v>
      </c>
      <c r="Q9" s="18" t="n">
        <v>0.69775037</v>
      </c>
      <c r="R9" s="20" t="n">
        <v>0.25904877</v>
      </c>
    </row>
    <row r="10" spans="1:18">
      <c r="A10" s="15" t="s">
        <v>352</v>
      </c>
      <c r="B10" s="17" t="n">
        <v>20058</v>
      </c>
      <c r="C10" s="18">
        <f>(17588.0/B10*100)</f>
        <v/>
      </c>
      <c r="D10" s="19" t="n">
        <v>2470</v>
      </c>
      <c r="E10" s="18" t="n">
        <v>48.64415211</v>
      </c>
      <c r="F10" s="20" t="n">
        <v>1.37086041</v>
      </c>
      <c r="G10" s="18" t="n">
        <v>51.04943767</v>
      </c>
      <c r="H10" s="20" t="n">
        <v>1.35306303</v>
      </c>
      <c r="I10" s="18" t="s">
        <v>349</v>
      </c>
      <c r="J10" s="20" t="s">
        <v>349</v>
      </c>
      <c r="K10" s="18" t="n">
        <v>0.13092818</v>
      </c>
      <c r="L10" s="20" t="n">
        <v>0.10439449</v>
      </c>
      <c r="M10" s="18" t="n">
        <v>0</v>
      </c>
      <c r="N10" s="20" t="n">
        <v>0</v>
      </c>
      <c r="O10" s="18" t="n">
        <v>0</v>
      </c>
      <c r="P10" s="20" t="n">
        <v>0</v>
      </c>
      <c r="Q10" s="18" t="n">
        <v>0.17548204</v>
      </c>
      <c r="R10" s="20" t="n">
        <v>0.11062214</v>
      </c>
    </row>
    <row r="11" spans="1:18">
      <c r="A11" s="15" t="s">
        <v>353</v>
      </c>
      <c r="B11" s="17" t="n">
        <v>7053</v>
      </c>
      <c r="C11" s="18">
        <f>(6203.0/B11*100)</f>
        <v/>
      </c>
      <c r="D11" s="19" t="n">
        <v>850</v>
      </c>
      <c r="E11" s="18" t="n">
        <v>62.45242272</v>
      </c>
      <c r="F11" s="20" t="n">
        <v>1.91134225</v>
      </c>
      <c r="G11" s="18" t="n">
        <v>36.89804326</v>
      </c>
      <c r="H11" s="20" t="n">
        <v>1.90234013</v>
      </c>
      <c r="I11" s="18" t="s">
        <v>349</v>
      </c>
      <c r="J11" s="20" t="s">
        <v>349</v>
      </c>
      <c r="K11" s="18" t="n">
        <v>0.13976298</v>
      </c>
      <c r="L11" s="20" t="n">
        <v>0.12053628</v>
      </c>
      <c r="M11" s="18" t="n">
        <v>0</v>
      </c>
      <c r="N11" s="20" t="n">
        <v>0</v>
      </c>
      <c r="O11" s="18" t="n">
        <v>0</v>
      </c>
      <c r="P11" s="20" t="n">
        <v>0</v>
      </c>
      <c r="Q11" s="18" t="n">
        <v>0.50977104</v>
      </c>
      <c r="R11" s="20" t="n">
        <v>0.24876097</v>
      </c>
    </row>
    <row r="12" spans="1:18">
      <c r="A12" s="15" t="s">
        <v>354</v>
      </c>
      <c r="B12" s="17" t="n">
        <v>6894</v>
      </c>
      <c r="C12" s="18">
        <f>(6058.0/B12*100)</f>
        <v/>
      </c>
      <c r="D12" s="19" t="n">
        <v>836</v>
      </c>
      <c r="E12" s="18" t="n">
        <v>49.78823939</v>
      </c>
      <c r="F12" s="20" t="n">
        <v>1.93767956</v>
      </c>
      <c r="G12" s="18" t="n">
        <v>50.21176061</v>
      </c>
      <c r="H12" s="20" t="n">
        <v>1.93767956</v>
      </c>
      <c r="I12" s="18" t="s">
        <v>349</v>
      </c>
      <c r="J12" s="20" t="s">
        <v>349</v>
      </c>
      <c r="K12" s="18" t="n">
        <v>0</v>
      </c>
      <c r="L12" s="20" t="n">
        <v>0</v>
      </c>
      <c r="M12" s="18" t="n">
        <v>0</v>
      </c>
      <c r="N12" s="20" t="n">
        <v>0</v>
      </c>
      <c r="O12" s="18" t="n">
        <v>0</v>
      </c>
      <c r="P12" s="20" t="n">
        <v>0</v>
      </c>
      <c r="Q12" s="18" t="n">
        <v>0</v>
      </c>
      <c r="R12" s="20" t="n">
        <v>0</v>
      </c>
    </row>
    <row r="13" spans="1:18">
      <c r="A13" s="15" t="s">
        <v>355</v>
      </c>
      <c r="B13" s="17" t="n">
        <v>7161</v>
      </c>
      <c r="C13" s="18">
        <f>(6332.0/B13*100)</f>
        <v/>
      </c>
      <c r="D13" s="19" t="n">
        <v>829</v>
      </c>
      <c r="E13" s="18" t="n">
        <v>50.09638764</v>
      </c>
      <c r="F13" s="20" t="n">
        <v>2.05281129</v>
      </c>
      <c r="G13" s="18" t="n">
        <v>49.08128505</v>
      </c>
      <c r="H13" s="20" t="n">
        <v>2.17573801</v>
      </c>
      <c r="I13" s="18" t="s">
        <v>349</v>
      </c>
      <c r="J13" s="20" t="s">
        <v>349</v>
      </c>
      <c r="K13" s="18" t="n">
        <v>0.33885255</v>
      </c>
      <c r="L13" s="20" t="n">
        <v>0.19581607</v>
      </c>
      <c r="M13" s="18" t="n">
        <v>0</v>
      </c>
      <c r="N13" s="20" t="n">
        <v>0</v>
      </c>
      <c r="O13" s="18" t="n">
        <v>0</v>
      </c>
      <c r="P13" s="20" t="n">
        <v>0</v>
      </c>
      <c r="Q13" s="18" t="n">
        <v>0.48347477</v>
      </c>
      <c r="R13" s="20" t="n">
        <v>0.29818993</v>
      </c>
    </row>
    <row r="14" spans="1:18">
      <c r="A14" s="15" t="s">
        <v>356</v>
      </c>
      <c r="B14" s="17" t="n">
        <v>5587</v>
      </c>
      <c r="C14" s="18">
        <f>(4884.0/B14*100)</f>
        <v/>
      </c>
      <c r="D14" s="19" t="n">
        <v>703</v>
      </c>
      <c r="E14" s="18" t="n">
        <v>46.30029281</v>
      </c>
      <c r="F14" s="20" t="n">
        <v>2.04890119</v>
      </c>
      <c r="G14" s="18" t="n">
        <v>53.58336108</v>
      </c>
      <c r="H14" s="20" t="n">
        <v>2.04336055</v>
      </c>
      <c r="I14" s="18" t="s">
        <v>349</v>
      </c>
      <c r="J14" s="20" t="s">
        <v>349</v>
      </c>
      <c r="K14" s="18" t="n">
        <v>0.11634611</v>
      </c>
      <c r="L14" s="20" t="n">
        <v>0.11599952</v>
      </c>
      <c r="M14" s="18" t="n">
        <v>0</v>
      </c>
      <c r="N14" s="20" t="n">
        <v>0</v>
      </c>
      <c r="O14" s="18" t="n">
        <v>0</v>
      </c>
      <c r="P14" s="20" t="n">
        <v>0</v>
      </c>
      <c r="Q14" s="18" t="n">
        <v>0</v>
      </c>
      <c r="R14" s="20" t="n">
        <v>0</v>
      </c>
    </row>
    <row r="15" spans="1:18">
      <c r="A15" s="15" t="s">
        <v>357</v>
      </c>
      <c r="B15" s="17" t="n">
        <v>5882</v>
      </c>
      <c r="C15" s="18">
        <f>(5151.0/B15*100)</f>
        <v/>
      </c>
      <c r="D15" s="19" t="n">
        <v>731</v>
      </c>
      <c r="E15" s="18" t="n">
        <v>51.63996215</v>
      </c>
      <c r="F15" s="20" t="n">
        <v>1.98073245</v>
      </c>
      <c r="G15" s="18" t="n">
        <v>48.22735506</v>
      </c>
      <c r="H15" s="20" t="n">
        <v>1.98449604</v>
      </c>
      <c r="I15" s="18" t="s">
        <v>349</v>
      </c>
      <c r="J15" s="20" t="s">
        <v>349</v>
      </c>
      <c r="K15" s="18" t="n">
        <v>0.13268279</v>
      </c>
      <c r="L15" s="20" t="n">
        <v>0.13033695</v>
      </c>
      <c r="M15" s="18" t="n">
        <v>0</v>
      </c>
      <c r="N15" s="20" t="n">
        <v>0</v>
      </c>
      <c r="O15" s="18" t="n">
        <v>0</v>
      </c>
      <c r="P15" s="20" t="n">
        <v>0</v>
      </c>
      <c r="Q15" s="18" t="n">
        <v>0</v>
      </c>
      <c r="R15" s="20" t="n">
        <v>0</v>
      </c>
    </row>
    <row r="16" spans="1:18">
      <c r="A16" s="15" t="s">
        <v>358</v>
      </c>
      <c r="B16" s="17" t="n">
        <v>6108</v>
      </c>
      <c r="C16" s="18">
        <f>(5342.0/B16*100)</f>
        <v/>
      </c>
      <c r="D16" s="19" t="n">
        <v>766</v>
      </c>
      <c r="E16" s="18" t="n">
        <v>56.39496673</v>
      </c>
      <c r="F16" s="20" t="n">
        <v>1.71367129</v>
      </c>
      <c r="G16" s="18" t="n">
        <v>42.66442307</v>
      </c>
      <c r="H16" s="20" t="n">
        <v>1.7138746</v>
      </c>
      <c r="I16" s="18" t="s">
        <v>349</v>
      </c>
      <c r="J16" s="20" t="s">
        <v>349</v>
      </c>
      <c r="K16" s="18" t="n">
        <v>0.26072961</v>
      </c>
      <c r="L16" s="20" t="n">
        <v>0.1868875</v>
      </c>
      <c r="M16" s="18" t="n">
        <v>0</v>
      </c>
      <c r="N16" s="20" t="n">
        <v>0</v>
      </c>
      <c r="O16" s="18" t="n">
        <v>0</v>
      </c>
      <c r="P16" s="20" t="n">
        <v>0</v>
      </c>
      <c r="Q16" s="18" t="n">
        <v>0.67988059</v>
      </c>
      <c r="R16" s="20" t="n">
        <v>0.30484629</v>
      </c>
    </row>
    <row r="17" spans="1:18">
      <c r="A17" s="15" t="s">
        <v>359</v>
      </c>
      <c r="B17" s="17" t="n">
        <v>6504</v>
      </c>
      <c r="C17" s="18">
        <f>(5736.0/B17*100)</f>
        <v/>
      </c>
      <c r="D17" s="19" t="n">
        <v>768</v>
      </c>
      <c r="E17" s="18" t="n">
        <v>47.12283359</v>
      </c>
      <c r="F17" s="20" t="n">
        <v>1.74992639</v>
      </c>
      <c r="G17" s="18" t="n">
        <v>52.34181553</v>
      </c>
      <c r="H17" s="20" t="n">
        <v>1.71434378</v>
      </c>
      <c r="I17" s="18" t="s">
        <v>349</v>
      </c>
      <c r="J17" s="20" t="s">
        <v>349</v>
      </c>
      <c r="K17" s="18" t="n">
        <v>0</v>
      </c>
      <c r="L17" s="20" t="n">
        <v>0</v>
      </c>
      <c r="M17" s="18" t="n">
        <v>0</v>
      </c>
      <c r="N17" s="20" t="n">
        <v>0</v>
      </c>
      <c r="O17" s="18" t="n">
        <v>0</v>
      </c>
      <c r="P17" s="20" t="n">
        <v>0</v>
      </c>
      <c r="Q17" s="18" t="n">
        <v>0.53535088</v>
      </c>
      <c r="R17" s="20" t="n">
        <v>0.25939261</v>
      </c>
    </row>
    <row r="18" spans="1:18">
      <c r="A18" s="15" t="s">
        <v>360</v>
      </c>
      <c r="B18" s="17" t="n">
        <v>5532</v>
      </c>
      <c r="C18" s="18">
        <f>(4837.0/B18*100)</f>
        <v/>
      </c>
      <c r="D18" s="19" t="n">
        <v>695</v>
      </c>
      <c r="E18" s="18" t="n">
        <v>65.32552715</v>
      </c>
      <c r="F18" s="20" t="n">
        <v>2.12844133</v>
      </c>
      <c r="G18" s="18" t="n">
        <v>34.08285736</v>
      </c>
      <c r="H18" s="20" t="n">
        <v>2.10682013</v>
      </c>
      <c r="I18" s="18" t="s">
        <v>349</v>
      </c>
      <c r="J18" s="20" t="s">
        <v>349</v>
      </c>
      <c r="K18" s="18" t="n">
        <v>0.37129597</v>
      </c>
      <c r="L18" s="20" t="n">
        <v>0.36738658</v>
      </c>
      <c r="M18" s="18" t="n">
        <v>0</v>
      </c>
      <c r="N18" s="20" t="n">
        <v>0</v>
      </c>
      <c r="O18" s="18" t="n">
        <v>0</v>
      </c>
      <c r="P18" s="20" t="n">
        <v>0</v>
      </c>
      <c r="Q18" s="18" t="n">
        <v>0.22031952</v>
      </c>
      <c r="R18" s="20" t="n">
        <v>0.15991967</v>
      </c>
    </row>
    <row r="19" spans="1:18">
      <c r="A19" s="15" t="s">
        <v>361</v>
      </c>
      <c r="B19" s="17" t="n">
        <v>5658</v>
      </c>
      <c r="C19" s="18">
        <f>(4957.0/B19*100)</f>
        <v/>
      </c>
      <c r="D19" s="19" t="n">
        <v>701</v>
      </c>
      <c r="E19" s="18" t="n">
        <v>60.26302104</v>
      </c>
      <c r="F19" s="20" t="n">
        <v>2.14456039</v>
      </c>
      <c r="G19" s="18" t="n">
        <v>39.73697896</v>
      </c>
      <c r="H19" s="20" t="n">
        <v>2.14456039</v>
      </c>
      <c r="I19" s="18" t="s">
        <v>349</v>
      </c>
      <c r="J19" s="20" t="s">
        <v>349</v>
      </c>
      <c r="K19" s="18" t="n">
        <v>0</v>
      </c>
      <c r="L19" s="20" t="n">
        <v>0</v>
      </c>
      <c r="M19" s="18" t="n">
        <v>0</v>
      </c>
      <c r="N19" s="20" t="n">
        <v>0</v>
      </c>
      <c r="O19" s="18" t="n">
        <v>0</v>
      </c>
      <c r="P19" s="20" t="n">
        <v>0</v>
      </c>
      <c r="Q19" s="18" t="n">
        <v>0</v>
      </c>
      <c r="R19" s="20" t="n">
        <v>0</v>
      </c>
    </row>
    <row r="20" spans="1:18">
      <c r="A20" s="15" t="s">
        <v>362</v>
      </c>
      <c r="B20" s="17" t="n">
        <v>3371</v>
      </c>
      <c r="C20" s="18">
        <f>(2951.0/B20*100)</f>
        <v/>
      </c>
      <c r="D20" s="19" t="n">
        <v>420</v>
      </c>
      <c r="E20" s="18" t="n">
        <v>52.06536826</v>
      </c>
      <c r="F20" s="20" t="n">
        <v>2.56148041</v>
      </c>
      <c r="G20" s="18" t="n">
        <v>47.71023492</v>
      </c>
      <c r="H20" s="20" t="n">
        <v>2.53492127</v>
      </c>
      <c r="I20" s="18" t="s">
        <v>349</v>
      </c>
      <c r="J20" s="20" t="s">
        <v>349</v>
      </c>
      <c r="K20" s="18" t="n">
        <v>0.22439682</v>
      </c>
      <c r="L20" s="20" t="n">
        <v>0.22538908</v>
      </c>
      <c r="M20" s="18" t="n">
        <v>0</v>
      </c>
      <c r="N20" s="20" t="n">
        <v>0</v>
      </c>
      <c r="O20" s="18" t="n">
        <v>0</v>
      </c>
      <c r="P20" s="20" t="n">
        <v>0</v>
      </c>
      <c r="Q20" s="18" t="n">
        <v>0</v>
      </c>
      <c r="R20" s="20" t="n">
        <v>0</v>
      </c>
    </row>
    <row r="21" spans="1:18">
      <c r="A21" s="15" t="s">
        <v>363</v>
      </c>
      <c r="B21" s="17" t="n">
        <v>5741</v>
      </c>
      <c r="C21" s="18">
        <f>(4781.0/B21*100)</f>
        <v/>
      </c>
      <c r="D21" s="19" t="n">
        <v>960</v>
      </c>
      <c r="E21" s="18" t="n">
        <v>48.7432342</v>
      </c>
      <c r="F21" s="20" t="n">
        <v>1.67117488</v>
      </c>
      <c r="G21" s="18" t="n">
        <v>51.06888824</v>
      </c>
      <c r="H21" s="20" t="n">
        <v>1.69724768</v>
      </c>
      <c r="I21" s="18" t="s">
        <v>349</v>
      </c>
      <c r="J21" s="20" t="s">
        <v>349</v>
      </c>
      <c r="K21" s="18" t="n">
        <v>0</v>
      </c>
      <c r="L21" s="20" t="n">
        <v>0</v>
      </c>
      <c r="M21" s="18" t="n">
        <v>0</v>
      </c>
      <c r="N21" s="20" t="n">
        <v>0</v>
      </c>
      <c r="O21" s="18" t="n">
        <v>0</v>
      </c>
      <c r="P21" s="20" t="n">
        <v>0</v>
      </c>
      <c r="Q21" s="18" t="n">
        <v>0.18787756</v>
      </c>
      <c r="R21" s="20" t="n">
        <v>0.15939285</v>
      </c>
    </row>
    <row r="22" spans="1:18">
      <c r="A22" s="15" t="s">
        <v>364</v>
      </c>
      <c r="B22" s="17" t="n">
        <v>6598</v>
      </c>
      <c r="C22" s="18">
        <f>(5779.0/B22*100)</f>
        <v/>
      </c>
      <c r="D22" s="19" t="n">
        <v>819</v>
      </c>
      <c r="E22" s="18" t="n">
        <v>55.92863367</v>
      </c>
      <c r="F22" s="20" t="n">
        <v>2.10492272</v>
      </c>
      <c r="G22" s="18" t="n">
        <v>43.29994978</v>
      </c>
      <c r="H22" s="20" t="n">
        <v>2.15320492</v>
      </c>
      <c r="I22" s="18" t="s">
        <v>349</v>
      </c>
      <c r="J22" s="20" t="s">
        <v>349</v>
      </c>
      <c r="K22" s="18" t="n">
        <v>0.10946596</v>
      </c>
      <c r="L22" s="20" t="n">
        <v>0.1093593</v>
      </c>
      <c r="M22" s="18" t="n">
        <v>0</v>
      </c>
      <c r="N22" s="20" t="n">
        <v>0</v>
      </c>
      <c r="O22" s="18" t="n">
        <v>0</v>
      </c>
      <c r="P22" s="20" t="n">
        <v>0</v>
      </c>
      <c r="Q22" s="18" t="n">
        <v>0.66195059</v>
      </c>
      <c r="R22" s="20" t="n">
        <v>0.32999387</v>
      </c>
    </row>
    <row r="23" spans="1:18">
      <c r="A23" s="15" t="s">
        <v>365</v>
      </c>
      <c r="B23" s="17" t="n">
        <v>11583</v>
      </c>
      <c r="C23" s="18">
        <f>(10157.0/B23*100)</f>
        <v/>
      </c>
      <c r="D23" s="19" t="n">
        <v>1426</v>
      </c>
      <c r="E23" s="18" t="n">
        <v>58.33553785</v>
      </c>
      <c r="F23" s="20" t="n">
        <v>2.04032762</v>
      </c>
      <c r="G23" s="18" t="n">
        <v>41.65828487</v>
      </c>
      <c r="H23" s="20" t="n">
        <v>2.03972941</v>
      </c>
      <c r="I23" s="18" t="s">
        <v>349</v>
      </c>
      <c r="J23" s="20" t="s">
        <v>349</v>
      </c>
      <c r="K23" s="18" t="n">
        <v>0.00617727</v>
      </c>
      <c r="L23" s="20" t="n">
        <v>0.00621631</v>
      </c>
      <c r="M23" s="18" t="n">
        <v>0</v>
      </c>
      <c r="N23" s="20" t="n">
        <v>0</v>
      </c>
      <c r="O23" s="18" t="n">
        <v>0</v>
      </c>
      <c r="P23" s="20" t="n">
        <v>0</v>
      </c>
      <c r="Q23" s="18" t="n">
        <v>0</v>
      </c>
      <c r="R23" s="20" t="n">
        <v>0</v>
      </c>
    </row>
    <row r="24" spans="1:18">
      <c r="A24" s="15" t="s">
        <v>366</v>
      </c>
      <c r="B24" s="17" t="n">
        <v>6647</v>
      </c>
      <c r="C24" s="18">
        <f>(5806.0/B24*100)</f>
        <v/>
      </c>
      <c r="D24" s="19" t="n">
        <v>841</v>
      </c>
      <c r="E24" s="18" t="n">
        <v>44.39007993</v>
      </c>
      <c r="F24" s="20" t="n">
        <v>1.76780039</v>
      </c>
      <c r="G24" s="18" t="n">
        <v>55.17118639</v>
      </c>
      <c r="H24" s="20" t="n">
        <v>1.7719562</v>
      </c>
      <c r="I24" s="18" t="s">
        <v>349</v>
      </c>
      <c r="J24" s="20" t="s">
        <v>349</v>
      </c>
      <c r="K24" s="18" t="n">
        <v>0.10977204</v>
      </c>
      <c r="L24" s="20" t="n">
        <v>0.11089724</v>
      </c>
      <c r="M24" s="18" t="n">
        <v>0</v>
      </c>
      <c r="N24" s="20" t="n">
        <v>0</v>
      </c>
      <c r="O24" s="18" t="n">
        <v>0</v>
      </c>
      <c r="P24" s="20" t="n">
        <v>0</v>
      </c>
      <c r="Q24" s="18" t="n">
        <v>0.32896164</v>
      </c>
      <c r="R24" s="20" t="n">
        <v>0.18985165</v>
      </c>
    </row>
    <row r="25" spans="1:18">
      <c r="A25" s="15" t="s">
        <v>367</v>
      </c>
      <c r="B25" s="17" t="n">
        <v>5581</v>
      </c>
      <c r="C25" s="18">
        <f>(4905.0/B25*100)</f>
        <v/>
      </c>
      <c r="D25" s="19" t="n">
        <v>676</v>
      </c>
      <c r="E25" s="18" t="n">
        <v>48.18905385</v>
      </c>
      <c r="F25" s="20" t="n">
        <v>2.19214394</v>
      </c>
      <c r="G25" s="18" t="n">
        <v>51.52442161</v>
      </c>
      <c r="H25" s="20" t="n">
        <v>2.20203042</v>
      </c>
      <c r="I25" s="18" t="s">
        <v>349</v>
      </c>
      <c r="J25" s="20" t="s">
        <v>349</v>
      </c>
      <c r="K25" s="18" t="n">
        <v>0</v>
      </c>
      <c r="L25" s="20" t="n">
        <v>0</v>
      </c>
      <c r="M25" s="18" t="n">
        <v>0</v>
      </c>
      <c r="N25" s="20" t="n">
        <v>0</v>
      </c>
      <c r="O25" s="18" t="n">
        <v>0</v>
      </c>
      <c r="P25" s="20" t="n">
        <v>0</v>
      </c>
      <c r="Q25" s="18" t="n">
        <v>0.28652454</v>
      </c>
      <c r="R25" s="20" t="n">
        <v>0.2031524</v>
      </c>
    </row>
    <row r="26" spans="1:18">
      <c r="A26" s="15" t="s">
        <v>368</v>
      </c>
      <c r="B26" s="17" t="n">
        <v>4869</v>
      </c>
      <c r="C26" s="18">
        <f>(4282.0/B26*100)</f>
        <v/>
      </c>
      <c r="D26" s="19" t="n">
        <v>587</v>
      </c>
      <c r="E26" s="18" t="n">
        <v>56.19862233</v>
      </c>
      <c r="F26" s="20" t="n">
        <v>2.17891661</v>
      </c>
      <c r="G26" s="18" t="n">
        <v>43.6877785</v>
      </c>
      <c r="H26" s="20" t="n">
        <v>2.18007866</v>
      </c>
      <c r="I26" s="18" t="s">
        <v>349</v>
      </c>
      <c r="J26" s="20" t="s">
        <v>349</v>
      </c>
      <c r="K26" s="18" t="n">
        <v>0</v>
      </c>
      <c r="L26" s="20" t="n">
        <v>0</v>
      </c>
      <c r="M26" s="18" t="n">
        <v>0</v>
      </c>
      <c r="N26" s="20" t="n">
        <v>0</v>
      </c>
      <c r="O26" s="18" t="n">
        <v>0</v>
      </c>
      <c r="P26" s="20" t="n">
        <v>0</v>
      </c>
      <c r="Q26" s="18" t="n">
        <v>0.11359917</v>
      </c>
      <c r="R26" s="20" t="n">
        <v>0.11286835</v>
      </c>
    </row>
    <row r="27" spans="1:18">
      <c r="A27" s="15" t="s">
        <v>369</v>
      </c>
      <c r="B27" s="17" t="n">
        <v>5299</v>
      </c>
      <c r="C27" s="18">
        <f>(4657.0/B27*100)</f>
        <v/>
      </c>
      <c r="D27" s="19" t="n">
        <v>642</v>
      </c>
      <c r="E27" s="18" t="n">
        <v>50.04516898</v>
      </c>
      <c r="F27" s="20" t="n">
        <v>2.04674364</v>
      </c>
      <c r="G27" s="18" t="n">
        <v>49.64452961</v>
      </c>
      <c r="H27" s="20" t="n">
        <v>2.05996199</v>
      </c>
      <c r="I27" s="18" t="s">
        <v>349</v>
      </c>
      <c r="J27" s="20" t="s">
        <v>349</v>
      </c>
      <c r="K27" s="18" t="n">
        <v>0.15568708</v>
      </c>
      <c r="L27" s="20" t="n">
        <v>0.15627462</v>
      </c>
      <c r="M27" s="18" t="n">
        <v>0</v>
      </c>
      <c r="N27" s="20" t="n">
        <v>0</v>
      </c>
      <c r="O27" s="18" t="n">
        <v>0</v>
      </c>
      <c r="P27" s="20" t="n">
        <v>0</v>
      </c>
      <c r="Q27" s="18" t="n">
        <v>0.15461434</v>
      </c>
      <c r="R27" s="20" t="n">
        <v>0.15377486</v>
      </c>
    </row>
    <row r="28" spans="1:18">
      <c r="A28" s="15" t="s">
        <v>370</v>
      </c>
      <c r="B28" s="17" t="n">
        <v>7568</v>
      </c>
      <c r="C28" s="18">
        <f>(6662.0/B28*100)</f>
        <v/>
      </c>
      <c r="D28" s="19" t="n">
        <v>906</v>
      </c>
      <c r="E28" s="18" t="n">
        <v>70.28843243</v>
      </c>
      <c r="F28" s="20" t="n">
        <v>1.59303073</v>
      </c>
      <c r="G28" s="18" t="n">
        <v>29.08468738</v>
      </c>
      <c r="H28" s="20" t="n">
        <v>1.70745224</v>
      </c>
      <c r="I28" s="18" t="s">
        <v>349</v>
      </c>
      <c r="J28" s="20" t="s">
        <v>349</v>
      </c>
      <c r="K28" s="18" t="n">
        <v>0.34916864</v>
      </c>
      <c r="L28" s="20" t="n">
        <v>0.25805859</v>
      </c>
      <c r="M28" s="18" t="n">
        <v>0</v>
      </c>
      <c r="N28" s="20" t="n">
        <v>0</v>
      </c>
      <c r="O28" s="18" t="n">
        <v>0</v>
      </c>
      <c r="P28" s="20" t="n">
        <v>0</v>
      </c>
      <c r="Q28" s="18" t="n">
        <v>0.27771155</v>
      </c>
      <c r="R28" s="20" t="n">
        <v>0.26744339</v>
      </c>
    </row>
    <row r="29" spans="1:18">
      <c r="A29" s="15" t="s">
        <v>371</v>
      </c>
      <c r="B29" s="17" t="n">
        <v>5385</v>
      </c>
      <c r="C29" s="18">
        <f>(4756.0/B29*100)</f>
        <v/>
      </c>
      <c r="D29" s="19" t="n">
        <v>629</v>
      </c>
      <c r="E29" s="18" t="n">
        <v>54.1241048</v>
      </c>
      <c r="F29" s="20" t="n">
        <v>1.93762397</v>
      </c>
      <c r="G29" s="18" t="n">
        <v>45.71397264</v>
      </c>
      <c r="H29" s="20" t="n">
        <v>1.96672962</v>
      </c>
      <c r="I29" s="18" t="s">
        <v>349</v>
      </c>
      <c r="J29" s="20" t="s">
        <v>349</v>
      </c>
      <c r="K29" s="18" t="n">
        <v>0.16192255</v>
      </c>
      <c r="L29" s="20" t="n">
        <v>0.16052842</v>
      </c>
      <c r="M29" s="18" t="n">
        <v>0</v>
      </c>
      <c r="N29" s="20" t="n">
        <v>0</v>
      </c>
      <c r="O29" s="18" t="n">
        <v>0</v>
      </c>
      <c r="P29" s="20" t="n">
        <v>0</v>
      </c>
      <c r="Q29" s="18" t="n">
        <v>0</v>
      </c>
      <c r="R29" s="20" t="n">
        <v>0</v>
      </c>
    </row>
    <row r="30" spans="1:18">
      <c r="A30" s="15" t="s">
        <v>372</v>
      </c>
      <c r="B30" s="17" t="n">
        <v>4520</v>
      </c>
      <c r="C30" s="18">
        <f>(3959.0/B30*100)</f>
        <v/>
      </c>
      <c r="D30" s="19" t="n">
        <v>561</v>
      </c>
      <c r="E30" s="18" t="n">
        <v>50.96654105</v>
      </c>
      <c r="F30" s="20" t="n">
        <v>2.05702353</v>
      </c>
      <c r="G30" s="18" t="n">
        <v>48.68075095</v>
      </c>
      <c r="H30" s="20" t="n">
        <v>2.07158643</v>
      </c>
      <c r="I30" s="18" t="s">
        <v>349</v>
      </c>
      <c r="J30" s="20" t="s">
        <v>349</v>
      </c>
      <c r="K30" s="18" t="n">
        <v>0</v>
      </c>
      <c r="L30" s="20" t="n">
        <v>0</v>
      </c>
      <c r="M30" s="18" t="n">
        <v>0</v>
      </c>
      <c r="N30" s="20" t="n">
        <v>0</v>
      </c>
      <c r="O30" s="18" t="n">
        <v>0</v>
      </c>
      <c r="P30" s="20" t="n">
        <v>0</v>
      </c>
      <c r="Q30" s="18" t="n">
        <v>0.35270801</v>
      </c>
      <c r="R30" s="20" t="n">
        <v>0.23447695</v>
      </c>
    </row>
    <row r="31" spans="1:18">
      <c r="A31" s="15" t="s">
        <v>373</v>
      </c>
      <c r="B31" s="17" t="n">
        <v>5456</v>
      </c>
      <c r="C31" s="18">
        <f>(4775.0/B31*100)</f>
        <v/>
      </c>
      <c r="D31" s="19" t="n">
        <v>681</v>
      </c>
      <c r="E31" s="18" t="n">
        <v>52.82507153</v>
      </c>
      <c r="F31" s="20" t="n">
        <v>2.01583641</v>
      </c>
      <c r="G31" s="18" t="n">
        <v>46.74299028</v>
      </c>
      <c r="H31" s="20" t="n">
        <v>2.00392577</v>
      </c>
      <c r="I31" s="18" t="s">
        <v>349</v>
      </c>
      <c r="J31" s="20" t="s">
        <v>349</v>
      </c>
      <c r="K31" s="18" t="n">
        <v>0.14245373</v>
      </c>
      <c r="L31" s="20" t="n">
        <v>0.13718231</v>
      </c>
      <c r="M31" s="18" t="n">
        <v>0</v>
      </c>
      <c r="N31" s="20" t="n">
        <v>0</v>
      </c>
      <c r="O31" s="18" t="n">
        <v>0</v>
      </c>
      <c r="P31" s="20" t="n">
        <v>0</v>
      </c>
      <c r="Q31" s="18" t="n">
        <v>0.28948446</v>
      </c>
      <c r="R31" s="20" t="n">
        <v>0.20282321</v>
      </c>
    </row>
    <row r="32" spans="1:18">
      <c r="A32" s="15" t="s">
        <v>374</v>
      </c>
      <c r="B32" s="17" t="n">
        <v>4478</v>
      </c>
      <c r="C32" s="18">
        <f>(3728.0/B32*100)</f>
        <v/>
      </c>
      <c r="D32" s="19" t="n">
        <v>750</v>
      </c>
      <c r="E32" s="18" t="n">
        <v>57.99425499</v>
      </c>
      <c r="F32" s="20" t="n">
        <v>1.75154493</v>
      </c>
      <c r="G32" s="18" t="n">
        <v>41.89008685</v>
      </c>
      <c r="H32" s="20" t="n">
        <v>1.77185632</v>
      </c>
      <c r="I32" s="18" t="s">
        <v>349</v>
      </c>
      <c r="J32" s="20" t="s">
        <v>349</v>
      </c>
      <c r="K32" s="18" t="n">
        <v>0</v>
      </c>
      <c r="L32" s="20" t="n">
        <v>0</v>
      </c>
      <c r="M32" s="18" t="n">
        <v>0</v>
      </c>
      <c r="N32" s="20" t="n">
        <v>0</v>
      </c>
      <c r="O32" s="18" t="n">
        <v>0</v>
      </c>
      <c r="P32" s="20" t="n">
        <v>0</v>
      </c>
      <c r="Q32" s="18" t="n">
        <v>0.11565816</v>
      </c>
      <c r="R32" s="20" t="n">
        <v>0.11562331</v>
      </c>
    </row>
    <row r="33" spans="1:18">
      <c r="A33" s="15" t="s">
        <v>375</v>
      </c>
      <c r="B33" s="17" t="n">
        <v>7325</v>
      </c>
      <c r="C33" s="18">
        <f>(6424.0/B33*100)</f>
        <v/>
      </c>
      <c r="D33" s="19" t="n">
        <v>901</v>
      </c>
      <c r="E33" s="18" t="n">
        <v>59.68830537</v>
      </c>
      <c r="F33" s="20" t="n">
        <v>1.88542442</v>
      </c>
      <c r="G33" s="18" t="n">
        <v>40.06181476</v>
      </c>
      <c r="H33" s="20" t="n">
        <v>1.9159794</v>
      </c>
      <c r="I33" s="18" t="s">
        <v>349</v>
      </c>
      <c r="J33" s="20" t="s">
        <v>349</v>
      </c>
      <c r="K33" s="18" t="n">
        <v>0.20854543</v>
      </c>
      <c r="L33" s="20" t="n">
        <v>0.21293086</v>
      </c>
      <c r="M33" s="18" t="n">
        <v>0</v>
      </c>
      <c r="N33" s="20" t="n">
        <v>0</v>
      </c>
      <c r="O33" s="18" t="n">
        <v>0</v>
      </c>
      <c r="P33" s="20" t="n">
        <v>0</v>
      </c>
      <c r="Q33" s="18" t="n">
        <v>0.04133444</v>
      </c>
      <c r="R33" s="20" t="n">
        <v>0.05115885</v>
      </c>
    </row>
    <row r="34" spans="1:18">
      <c r="A34" s="15" t="s">
        <v>376</v>
      </c>
      <c r="B34" s="17" t="n">
        <v>6350</v>
      </c>
      <c r="C34" s="18">
        <f>(5587.0/B34*100)</f>
        <v/>
      </c>
      <c r="D34" s="19" t="n">
        <v>763</v>
      </c>
      <c r="E34" s="18" t="n">
        <v>56.97205289</v>
      </c>
      <c r="F34" s="20" t="n">
        <v>1.81489284</v>
      </c>
      <c r="G34" s="18" t="n">
        <v>42.92886819</v>
      </c>
      <c r="H34" s="20" t="n">
        <v>1.82997822</v>
      </c>
      <c r="I34" s="18" t="s">
        <v>349</v>
      </c>
      <c r="J34" s="20" t="s">
        <v>349</v>
      </c>
      <c r="K34" s="18" t="n">
        <v>0</v>
      </c>
      <c r="L34" s="20" t="n">
        <v>0</v>
      </c>
      <c r="M34" s="18" t="n">
        <v>0</v>
      </c>
      <c r="N34" s="20" t="n">
        <v>0</v>
      </c>
      <c r="O34" s="18" t="n">
        <v>0</v>
      </c>
      <c r="P34" s="20" t="n">
        <v>0</v>
      </c>
      <c r="Q34" s="18" t="n">
        <v>0.09907892</v>
      </c>
      <c r="R34" s="20" t="n">
        <v>0.09440459</v>
      </c>
    </row>
    <row r="35" spans="1:18">
      <c r="A35" s="15" t="s">
        <v>377</v>
      </c>
      <c r="B35" s="17" t="n">
        <v>6406</v>
      </c>
      <c r="C35" s="18">
        <f>(5627.0/B35*100)</f>
        <v/>
      </c>
      <c r="D35" s="19" t="n">
        <v>779</v>
      </c>
      <c r="E35" s="18" t="n">
        <v>50.66369507</v>
      </c>
      <c r="F35" s="20" t="n">
        <v>2.23384653</v>
      </c>
      <c r="G35" s="18" t="n">
        <v>49.21480137</v>
      </c>
      <c r="H35" s="20" t="n">
        <v>2.23038567</v>
      </c>
      <c r="I35" s="18" t="s">
        <v>349</v>
      </c>
      <c r="J35" s="20" t="s">
        <v>349</v>
      </c>
      <c r="K35" s="18" t="n">
        <v>0.12150356</v>
      </c>
      <c r="L35" s="20" t="n">
        <v>0.08752351</v>
      </c>
      <c r="M35" s="18" t="n">
        <v>0</v>
      </c>
      <c r="N35" s="20" t="n">
        <v>0</v>
      </c>
      <c r="O35" s="18" t="n">
        <v>0</v>
      </c>
      <c r="P35" s="20" t="n">
        <v>0</v>
      </c>
      <c r="Q35" s="18" t="n">
        <v>0</v>
      </c>
      <c r="R35" s="20" t="n">
        <v>0</v>
      </c>
    </row>
    <row r="36" spans="1:18">
      <c r="A36" s="15" t="s">
        <v>378</v>
      </c>
      <c r="B36" s="17" t="n">
        <v>6736</v>
      </c>
      <c r="C36" s="18">
        <f>(5915.0/B36*100)</f>
        <v/>
      </c>
      <c r="D36" s="19" t="n">
        <v>821</v>
      </c>
      <c r="E36" s="18" t="n">
        <v>57.22578726</v>
      </c>
      <c r="F36" s="20" t="n">
        <v>1.72265301</v>
      </c>
      <c r="G36" s="18" t="n">
        <v>41.90092145</v>
      </c>
      <c r="H36" s="20" t="n">
        <v>1.66552054</v>
      </c>
      <c r="I36" s="18" t="s">
        <v>349</v>
      </c>
      <c r="J36" s="20" t="s">
        <v>349</v>
      </c>
      <c r="K36" s="18" t="n">
        <v>0.19516457</v>
      </c>
      <c r="L36" s="20" t="n">
        <v>0.17509446</v>
      </c>
      <c r="M36" s="18" t="n">
        <v>0</v>
      </c>
      <c r="N36" s="20" t="n">
        <v>0</v>
      </c>
      <c r="O36" s="18" t="n">
        <v>0</v>
      </c>
      <c r="P36" s="20" t="n">
        <v>0</v>
      </c>
      <c r="Q36" s="18" t="n">
        <v>0.67812672</v>
      </c>
      <c r="R36" s="20" t="n">
        <v>0.32124923</v>
      </c>
    </row>
    <row r="37" spans="1:18">
      <c r="A37" s="15" t="s">
        <v>379</v>
      </c>
      <c r="B37" s="17" t="n">
        <v>5458</v>
      </c>
      <c r="C37" s="18">
        <f>(4783.0/B37*100)</f>
        <v/>
      </c>
      <c r="D37" s="19" t="n">
        <v>675</v>
      </c>
      <c r="E37" s="18" t="n">
        <v>52.01161233</v>
      </c>
      <c r="F37" s="20" t="n">
        <v>2.09476024</v>
      </c>
      <c r="G37" s="18" t="n">
        <v>47.18363228</v>
      </c>
      <c r="H37" s="20" t="n">
        <v>2.15815008</v>
      </c>
      <c r="I37" s="18" t="s">
        <v>349</v>
      </c>
      <c r="J37" s="20" t="s">
        <v>349</v>
      </c>
      <c r="K37" s="18" t="n">
        <v>0.4089201</v>
      </c>
      <c r="L37" s="20" t="n">
        <v>0.23787828</v>
      </c>
      <c r="M37" s="18" t="n">
        <v>0</v>
      </c>
      <c r="N37" s="20" t="n">
        <v>0</v>
      </c>
      <c r="O37" s="18" t="n">
        <v>0</v>
      </c>
      <c r="P37" s="20" t="n">
        <v>0</v>
      </c>
      <c r="Q37" s="18" t="n">
        <v>0.39583528</v>
      </c>
      <c r="R37" s="20" t="n">
        <v>0.22955468</v>
      </c>
    </row>
    <row r="38" spans="1:18">
      <c r="A38" s="15" t="s">
        <v>380</v>
      </c>
      <c r="B38" s="17" t="n">
        <v>5860</v>
      </c>
      <c r="C38" s="18">
        <f>(4911.0/B38*100)</f>
        <v/>
      </c>
      <c r="D38" s="19" t="n">
        <v>949</v>
      </c>
      <c r="E38" s="18" t="n">
        <v>45.28028367</v>
      </c>
      <c r="F38" s="20" t="n">
        <v>1.97757311</v>
      </c>
      <c r="G38" s="18" t="n">
        <v>54.29987878</v>
      </c>
      <c r="H38" s="20" t="n">
        <v>1.97936667</v>
      </c>
      <c r="I38" s="18" t="s">
        <v>349</v>
      </c>
      <c r="J38" s="20" t="s">
        <v>349</v>
      </c>
      <c r="K38" s="18" t="n">
        <v>0.0886835</v>
      </c>
      <c r="L38" s="20" t="n">
        <v>0.08874650000000001</v>
      </c>
      <c r="M38" s="18" t="n">
        <v>0</v>
      </c>
      <c r="N38" s="20" t="n">
        <v>0</v>
      </c>
      <c r="O38" s="18" t="n">
        <v>0</v>
      </c>
      <c r="P38" s="20" t="n">
        <v>0</v>
      </c>
      <c r="Q38" s="18" t="n">
        <v>0.33115404</v>
      </c>
      <c r="R38" s="20" t="n">
        <v>0.1927794</v>
      </c>
    </row>
    <row r="39" spans="1:18">
      <c r="A39" s="15" t="s">
        <v>381</v>
      </c>
      <c r="B39" s="17" t="n">
        <v>5895</v>
      </c>
      <c r="C39" s="18">
        <f>(5170.0/B39*100)</f>
        <v/>
      </c>
      <c r="D39" s="19" t="n">
        <v>725</v>
      </c>
      <c r="E39" s="18" t="n">
        <v>75.00041202</v>
      </c>
      <c r="F39" s="20" t="n">
        <v>1.8918364</v>
      </c>
      <c r="G39" s="18" t="n">
        <v>23.22842153</v>
      </c>
      <c r="H39" s="20" t="n">
        <v>1.94013383</v>
      </c>
      <c r="I39" s="18" t="s">
        <v>349</v>
      </c>
      <c r="J39" s="20" t="s">
        <v>349</v>
      </c>
      <c r="K39" s="18" t="n">
        <v>0.17098664</v>
      </c>
      <c r="L39" s="20" t="n">
        <v>0.17053738</v>
      </c>
      <c r="M39" s="18" t="n">
        <v>0</v>
      </c>
      <c r="N39" s="20" t="n">
        <v>0</v>
      </c>
      <c r="O39" s="18" t="n">
        <v>0</v>
      </c>
      <c r="P39" s="20" t="n">
        <v>0</v>
      </c>
      <c r="Q39" s="18" t="n">
        <v>1.60017981</v>
      </c>
      <c r="R39" s="20" t="n">
        <v>0.63303806</v>
      </c>
    </row>
    <row r="40" spans="1:18">
      <c r="A40" s="15" t="s">
        <v>382</v>
      </c>
      <c r="B40" s="17" t="n">
        <v>14157</v>
      </c>
      <c r="C40" s="18">
        <f>(12416.0/B40*100)</f>
        <v/>
      </c>
      <c r="D40" s="19" t="n">
        <v>1741</v>
      </c>
      <c r="E40" s="18" t="n">
        <v>53.03347296</v>
      </c>
      <c r="F40" s="20" t="n">
        <v>1.92450316</v>
      </c>
      <c r="G40" s="18" t="n">
        <v>46.11588527</v>
      </c>
      <c r="H40" s="20" t="n">
        <v>2.12442244</v>
      </c>
      <c r="I40" s="18" t="s">
        <v>349</v>
      </c>
      <c r="J40" s="20" t="s">
        <v>349</v>
      </c>
      <c r="K40" s="18" t="n">
        <v>0.21007368</v>
      </c>
      <c r="L40" s="20" t="n">
        <v>0.22040745</v>
      </c>
      <c r="M40" s="18" t="n">
        <v>0</v>
      </c>
      <c r="N40" s="20" t="n">
        <v>0</v>
      </c>
      <c r="O40" s="18" t="n">
        <v>0</v>
      </c>
      <c r="P40" s="20" t="n">
        <v>0</v>
      </c>
      <c r="Q40" s="18" t="n">
        <v>0.64056809</v>
      </c>
      <c r="R40" s="20" t="n">
        <v>0.32968895</v>
      </c>
    </row>
    <row r="41" spans="1:18">
      <c r="A41" s="15" t="s">
        <v>383</v>
      </c>
      <c r="B41" s="17" t="n">
        <v>5712</v>
      </c>
      <c r="C41" s="18">
        <f>(5015.0/B41*100)</f>
        <v/>
      </c>
      <c r="D41" s="19" t="n">
        <v>697</v>
      </c>
      <c r="E41" s="18" t="n">
        <v>57.78387917</v>
      </c>
      <c r="F41" s="20" t="n">
        <v>1.77086256</v>
      </c>
      <c r="G41" s="18" t="n">
        <v>41.6039817</v>
      </c>
      <c r="H41" s="20" t="n">
        <v>1.75566462</v>
      </c>
      <c r="I41" s="18" t="s">
        <v>349</v>
      </c>
      <c r="J41" s="20" t="s">
        <v>349</v>
      </c>
      <c r="K41" s="18" t="n">
        <v>0.40485629</v>
      </c>
      <c r="L41" s="20" t="n">
        <v>0.40914064</v>
      </c>
      <c r="M41" s="18" t="n">
        <v>0</v>
      </c>
      <c r="N41" s="20" t="n">
        <v>0</v>
      </c>
      <c r="O41" s="18" t="n">
        <v>0</v>
      </c>
      <c r="P41" s="20" t="n">
        <v>0</v>
      </c>
      <c r="Q41" s="18" t="n">
        <v>0.20728285</v>
      </c>
      <c r="R41" s="20" t="n">
        <v>0.1457056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(20474.0/B46*100)</f>
        <v/>
      </c>
      <c r="D46" s="19" t="n">
        <v>2667</v>
      </c>
      <c r="E46" s="18" t="n">
        <v>76.13433094</v>
      </c>
      <c r="F46" s="20" t="n">
        <v>1.12542381</v>
      </c>
      <c r="G46" s="18" t="n">
        <v>22.31350558</v>
      </c>
      <c r="H46" s="20" t="n">
        <v>1.08540693</v>
      </c>
      <c r="I46" s="18" t="s">
        <v>349</v>
      </c>
      <c r="J46" s="20" t="s">
        <v>349</v>
      </c>
      <c r="K46" s="18" t="n">
        <v>0.19145945</v>
      </c>
      <c r="L46" s="20" t="n">
        <v>0.10693769</v>
      </c>
      <c r="M46" s="18" t="n">
        <v>0</v>
      </c>
      <c r="N46" s="20" t="n">
        <v>0</v>
      </c>
      <c r="O46" s="18" t="n">
        <v>0</v>
      </c>
      <c r="P46" s="20" t="n">
        <v>0</v>
      </c>
      <c r="Q46" s="18" t="n">
        <v>1.36070403</v>
      </c>
      <c r="R46" s="20" t="n">
        <v>0.33031946</v>
      </c>
    </row>
    <row r="47" spans="1:18">
      <c r="A47" s="15" t="s">
        <v>389</v>
      </c>
      <c r="B47" s="17" t="n">
        <v>5928</v>
      </c>
      <c r="C47" s="18">
        <f>(5201.0/B47*100)</f>
        <v/>
      </c>
      <c r="D47" s="19" t="n">
        <v>727</v>
      </c>
      <c r="E47" s="18" t="n">
        <v>62.18541843</v>
      </c>
      <c r="F47" s="20" t="n">
        <v>2.53469354</v>
      </c>
      <c r="G47" s="18" t="n">
        <v>37.1427929</v>
      </c>
      <c r="H47" s="20" t="n">
        <v>2.52540268</v>
      </c>
      <c r="I47" s="18" t="s">
        <v>349</v>
      </c>
      <c r="J47" s="20" t="s">
        <v>349</v>
      </c>
      <c r="K47" s="18" t="n">
        <v>0.25768596</v>
      </c>
      <c r="L47" s="20" t="n">
        <v>0.2242162</v>
      </c>
      <c r="M47" s="18" t="n">
        <v>0</v>
      </c>
      <c r="N47" s="20" t="n">
        <v>0</v>
      </c>
      <c r="O47" s="18" t="n">
        <v>0</v>
      </c>
      <c r="P47" s="20" t="n">
        <v>0</v>
      </c>
      <c r="Q47" s="18" t="n">
        <v>0.41410271</v>
      </c>
      <c r="R47" s="20" t="n">
        <v>0.24051006</v>
      </c>
    </row>
    <row r="48" spans="1:18">
      <c r="A48" s="15" t="s">
        <v>390</v>
      </c>
      <c r="B48" s="17" t="n">
        <v>9841</v>
      </c>
      <c r="C48" s="18">
        <f>(8641.0/B48*100)</f>
        <v/>
      </c>
      <c r="D48" s="19" t="n">
        <v>1200</v>
      </c>
      <c r="E48" s="18" t="n">
        <v>48.53786717</v>
      </c>
      <c r="F48" s="20" t="n">
        <v>1.85357568</v>
      </c>
      <c r="G48" s="18" t="n">
        <v>51.05317636</v>
      </c>
      <c r="H48" s="20" t="n">
        <v>1.85292238</v>
      </c>
      <c r="I48" s="18" t="s">
        <v>349</v>
      </c>
      <c r="J48" s="20" t="s">
        <v>349</v>
      </c>
      <c r="K48" s="18" t="n">
        <v>0.12365503</v>
      </c>
      <c r="L48" s="20" t="n">
        <v>0.11627001</v>
      </c>
      <c r="M48" s="18" t="n">
        <v>0</v>
      </c>
      <c r="N48" s="20" t="n">
        <v>0</v>
      </c>
      <c r="O48" s="18" t="n">
        <v>0</v>
      </c>
      <c r="P48" s="20" t="n">
        <v>0</v>
      </c>
      <c r="Q48" s="18" t="n">
        <v>0.28530143</v>
      </c>
      <c r="R48" s="20" t="n">
        <v>0.20319108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(10335.0/B50*100)</f>
        <v/>
      </c>
      <c r="D50" s="19" t="n">
        <v>1460</v>
      </c>
      <c r="E50" s="18" t="n">
        <v>73.24642909000001</v>
      </c>
      <c r="F50" s="20" t="n">
        <v>1.68689176</v>
      </c>
      <c r="G50" s="18" t="n">
        <v>26.17885229</v>
      </c>
      <c r="H50" s="20" t="n">
        <v>1.65680131</v>
      </c>
      <c r="I50" s="18" t="s">
        <v>349</v>
      </c>
      <c r="J50" s="20" t="s">
        <v>349</v>
      </c>
      <c r="K50" s="18" t="n">
        <v>0.06205272</v>
      </c>
      <c r="L50" s="20" t="n">
        <v>0.03791556</v>
      </c>
      <c r="M50" s="18" t="n">
        <v>0</v>
      </c>
      <c r="N50" s="20" t="n">
        <v>0</v>
      </c>
      <c r="O50" s="18" t="n">
        <v>0</v>
      </c>
      <c r="P50" s="20" t="n">
        <v>0</v>
      </c>
      <c r="Q50" s="18" t="n">
        <v>0.5126659</v>
      </c>
      <c r="R50" s="20" t="n">
        <v>0.2485965</v>
      </c>
    </row>
    <row r="51" spans="1:18">
      <c r="A51" s="15" t="s">
        <v>393</v>
      </c>
      <c r="B51" s="17" t="n">
        <v>6866</v>
      </c>
      <c r="C51" s="18">
        <f>(6105.0/B51*100)</f>
        <v/>
      </c>
      <c r="D51" s="19" t="n">
        <v>761</v>
      </c>
      <c r="E51" s="18" t="n">
        <v>75.60198800000001</v>
      </c>
      <c r="F51" s="20" t="n">
        <v>1.66714808</v>
      </c>
      <c r="G51" s="18" t="n">
        <v>23.55196322</v>
      </c>
      <c r="H51" s="20" t="n">
        <v>1.60817374</v>
      </c>
      <c r="I51" s="18" t="s">
        <v>349</v>
      </c>
      <c r="J51" s="20" t="s">
        <v>349</v>
      </c>
      <c r="K51" s="18" t="n">
        <v>0</v>
      </c>
      <c r="L51" s="20" t="n">
        <v>0</v>
      </c>
      <c r="M51" s="18" t="n">
        <v>0</v>
      </c>
      <c r="N51" s="20" t="n">
        <v>0</v>
      </c>
      <c r="O51" s="18" t="n">
        <v>0</v>
      </c>
      <c r="P51" s="20" t="n">
        <v>0</v>
      </c>
      <c r="Q51" s="18" t="n">
        <v>0.84604877</v>
      </c>
      <c r="R51" s="20" t="n">
        <v>0.38748066</v>
      </c>
    </row>
    <row r="52" spans="1:18">
      <c r="A52" s="15" t="s">
        <v>394</v>
      </c>
      <c r="B52" s="17" t="n">
        <v>5809</v>
      </c>
      <c r="C52" s="18">
        <f>(5096.0/B52*100)</f>
        <v/>
      </c>
      <c r="D52" s="19" t="n">
        <v>713</v>
      </c>
      <c r="E52" s="18" t="n">
        <v>62.35624741</v>
      </c>
      <c r="F52" s="20" t="n">
        <v>1.73233094</v>
      </c>
      <c r="G52" s="18" t="n">
        <v>37.26053145</v>
      </c>
      <c r="H52" s="20" t="n">
        <v>1.74353624</v>
      </c>
      <c r="I52" s="18" t="s">
        <v>349</v>
      </c>
      <c r="J52" s="20" t="s">
        <v>349</v>
      </c>
      <c r="K52" s="18" t="n">
        <v>0</v>
      </c>
      <c r="L52" s="20" t="n">
        <v>0</v>
      </c>
      <c r="M52" s="18" t="n">
        <v>0</v>
      </c>
      <c r="N52" s="20" t="n">
        <v>0</v>
      </c>
      <c r="O52" s="18" t="n">
        <v>0</v>
      </c>
      <c r="P52" s="20" t="n">
        <v>0</v>
      </c>
      <c r="Q52" s="18" t="n">
        <v>0.38322115</v>
      </c>
      <c r="R52" s="20" t="n">
        <v>0.22208003</v>
      </c>
    </row>
    <row r="53" spans="1:18">
      <c r="A53" s="15" t="s">
        <v>395</v>
      </c>
      <c r="B53" s="17" t="n">
        <v>5571</v>
      </c>
      <c r="C53" s="18">
        <f>(4873.0/B53*100)</f>
        <v/>
      </c>
      <c r="D53" s="19" t="n">
        <v>698</v>
      </c>
      <c r="E53" s="18" t="n">
        <v>69.60706165000001</v>
      </c>
      <c r="F53" s="20" t="n">
        <v>1.9279446</v>
      </c>
      <c r="G53" s="18" t="n">
        <v>29.84097246</v>
      </c>
      <c r="H53" s="20" t="n">
        <v>1.92317602</v>
      </c>
      <c r="I53" s="18" t="s">
        <v>349</v>
      </c>
      <c r="J53" s="20" t="s">
        <v>349</v>
      </c>
      <c r="K53" s="18" t="n">
        <v>0.20617043</v>
      </c>
      <c r="L53" s="20" t="n">
        <v>0.14615826</v>
      </c>
      <c r="M53" s="18" t="n">
        <v>0</v>
      </c>
      <c r="N53" s="20" t="n">
        <v>0</v>
      </c>
      <c r="O53" s="18" t="n">
        <v>0</v>
      </c>
      <c r="P53" s="20" t="n">
        <v>0</v>
      </c>
      <c r="Q53" s="18" t="n">
        <v>0.34579546</v>
      </c>
      <c r="R53" s="20" t="n">
        <v>0.20048757</v>
      </c>
    </row>
    <row r="54" spans="1:18">
      <c r="A54" s="15" t="s">
        <v>396</v>
      </c>
      <c r="B54" s="17" t="n">
        <v>4740</v>
      </c>
      <c r="C54" s="18">
        <f>(3963.0/B54*100)</f>
        <v/>
      </c>
      <c r="D54" s="19" t="n">
        <v>777</v>
      </c>
      <c r="E54" s="18" t="n">
        <v>82.70860437</v>
      </c>
      <c r="F54" s="20" t="n">
        <v>1.41370118</v>
      </c>
      <c r="G54" s="18" t="n">
        <v>10.81504954</v>
      </c>
      <c r="H54" s="20" t="n">
        <v>1.16400853</v>
      </c>
      <c r="I54" s="18" t="s">
        <v>349</v>
      </c>
      <c r="J54" s="20" t="s">
        <v>349</v>
      </c>
      <c r="K54" s="18" t="n">
        <v>3.79797263</v>
      </c>
      <c r="L54" s="20" t="n">
        <v>0.84737166</v>
      </c>
      <c r="M54" s="18" t="n">
        <v>0</v>
      </c>
      <c r="N54" s="20" t="n">
        <v>0</v>
      </c>
      <c r="O54" s="18" t="n">
        <v>0</v>
      </c>
      <c r="P54" s="20" t="n">
        <v>0</v>
      </c>
      <c r="Q54" s="18" t="n">
        <v>2.67837346</v>
      </c>
      <c r="R54" s="20" t="n">
        <v>0.7006160299999999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(4699.0/B56*100)</f>
        <v/>
      </c>
      <c r="D56" s="19" t="n">
        <v>660</v>
      </c>
      <c r="E56" s="18" t="n">
        <v>40.39193874</v>
      </c>
      <c r="F56" s="20" t="n">
        <v>1.95577816</v>
      </c>
      <c r="G56" s="18" t="n">
        <v>59.46908885</v>
      </c>
      <c r="H56" s="20" t="n">
        <v>1.96910665</v>
      </c>
      <c r="I56" s="18" t="s">
        <v>349</v>
      </c>
      <c r="J56" s="20" t="s">
        <v>349</v>
      </c>
      <c r="K56" s="18" t="n">
        <v>0.13897241</v>
      </c>
      <c r="L56" s="20" t="n">
        <v>0.15489439</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(5741.0/B61*100)</f>
        <v/>
      </c>
      <c r="D61" s="19" t="n">
        <v>784</v>
      </c>
      <c r="E61" s="18" t="n">
        <v>56.5790069</v>
      </c>
      <c r="F61" s="20" t="n">
        <v>1.9434678</v>
      </c>
      <c r="G61" s="18" t="n">
        <v>42.78382319</v>
      </c>
      <c r="H61" s="20" t="n">
        <v>1.95757051</v>
      </c>
      <c r="I61" s="18" t="s">
        <v>349</v>
      </c>
      <c r="J61" s="20" t="s">
        <v>349</v>
      </c>
      <c r="K61" s="18" t="n">
        <v>0</v>
      </c>
      <c r="L61" s="20" t="n">
        <v>0</v>
      </c>
      <c r="M61" s="18" t="n">
        <v>0</v>
      </c>
      <c r="N61" s="20" t="n">
        <v>0</v>
      </c>
      <c r="O61" s="18" t="n">
        <v>0</v>
      </c>
      <c r="P61" s="20" t="n">
        <v>0</v>
      </c>
      <c r="Q61" s="18" t="n">
        <v>0.63716991</v>
      </c>
      <c r="R61" s="20" t="n">
        <v>0.37703477</v>
      </c>
    </row>
    <row r="62" spans="1:18">
      <c r="A62" s="15" t="s">
        <v>404</v>
      </c>
      <c r="B62" s="17" t="n">
        <v>4476</v>
      </c>
      <c r="C62" s="18">
        <f>(3943.0/B62*100)</f>
        <v/>
      </c>
      <c r="D62" s="19" t="n">
        <v>533</v>
      </c>
      <c r="E62" s="18" t="n">
        <v>35.88664921</v>
      </c>
      <c r="F62" s="20" t="n">
        <v>2.13976031</v>
      </c>
      <c r="G62" s="18" t="n">
        <v>64.11335079</v>
      </c>
      <c r="H62" s="20" t="n">
        <v>2.13976031</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(4957.0/B66*100)</f>
        <v/>
      </c>
      <c r="D66" s="19" t="n">
        <v>708</v>
      </c>
      <c r="E66" s="18" t="n">
        <v>75.80206259000001</v>
      </c>
      <c r="F66" s="20" t="n">
        <v>1.65392642</v>
      </c>
      <c r="G66" s="18" t="n">
        <v>23.12099392</v>
      </c>
      <c r="H66" s="20" t="n">
        <v>1.55066898</v>
      </c>
      <c r="I66" s="18" t="s">
        <v>349</v>
      </c>
      <c r="J66" s="20" t="s">
        <v>349</v>
      </c>
      <c r="K66" s="18" t="n">
        <v>0.13732039</v>
      </c>
      <c r="L66" s="20" t="n">
        <v>0.13785525</v>
      </c>
      <c r="M66" s="18" t="n">
        <v>0</v>
      </c>
      <c r="N66" s="20" t="n">
        <v>0</v>
      </c>
      <c r="O66" s="18" t="n">
        <v>0</v>
      </c>
      <c r="P66" s="20" t="n">
        <v>0</v>
      </c>
      <c r="Q66" s="18" t="n">
        <v>0.93962309</v>
      </c>
      <c r="R66" s="20" t="n">
        <v>0.36024115</v>
      </c>
    </row>
    <row r="67" spans="1:18">
      <c r="A67" s="15" t="s">
        <v>409</v>
      </c>
      <c r="B67" s="17" t="n">
        <v>6971</v>
      </c>
      <c r="C67" s="18">
        <f>(6134.0/B67*100)</f>
        <v/>
      </c>
      <c r="D67" s="19" t="n">
        <v>837</v>
      </c>
      <c r="E67" s="18" t="n">
        <v>74.45127988</v>
      </c>
      <c r="F67" s="20" t="n">
        <v>1.85942663</v>
      </c>
      <c r="G67" s="18" t="n">
        <v>25.12605933</v>
      </c>
      <c r="H67" s="20" t="n">
        <v>1.83095125</v>
      </c>
      <c r="I67" s="18" t="s">
        <v>349</v>
      </c>
      <c r="J67" s="20" t="s">
        <v>349</v>
      </c>
      <c r="K67" s="18" t="n">
        <v>0</v>
      </c>
      <c r="L67" s="20" t="n">
        <v>0</v>
      </c>
      <c r="M67" s="18" t="n">
        <v>0</v>
      </c>
      <c r="N67" s="20" t="n">
        <v>0</v>
      </c>
      <c r="O67" s="18" t="n">
        <v>0</v>
      </c>
      <c r="P67" s="20" t="n">
        <v>0</v>
      </c>
      <c r="Q67" s="18" t="n">
        <v>0.42266079</v>
      </c>
      <c r="R67" s="20" t="n">
        <v>0.25162881</v>
      </c>
    </row>
    <row r="68" spans="1:18">
      <c r="A68" s="15" t="s">
        <v>410</v>
      </c>
      <c r="B68" s="17" t="n">
        <v>12083</v>
      </c>
      <c r="C68" s="18">
        <f>(10093.0/B68*100)</f>
        <v/>
      </c>
      <c r="D68" s="19" t="n">
        <v>1990</v>
      </c>
      <c r="E68" s="18" t="n">
        <v>75.37137610000001</v>
      </c>
      <c r="F68" s="20" t="n">
        <v>0.89197414</v>
      </c>
      <c r="G68" s="18" t="n">
        <v>22.78499835</v>
      </c>
      <c r="H68" s="20" t="n">
        <v>0.85871499</v>
      </c>
      <c r="I68" s="18" t="s">
        <v>349</v>
      </c>
      <c r="J68" s="20" t="s">
        <v>349</v>
      </c>
      <c r="K68" s="18" t="n">
        <v>0.81698446</v>
      </c>
      <c r="L68" s="20" t="n">
        <v>0.18592253</v>
      </c>
      <c r="M68" s="18" t="n">
        <v>0</v>
      </c>
      <c r="N68" s="20" t="n">
        <v>0</v>
      </c>
      <c r="O68" s="18" t="n">
        <v>0</v>
      </c>
      <c r="P68" s="20" t="n">
        <v>0</v>
      </c>
      <c r="Q68" s="18" t="n">
        <v>1.02664109</v>
      </c>
      <c r="R68" s="20" t="n">
        <v>0.23282022</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(5309.0/B70*100)</f>
        <v/>
      </c>
      <c r="D70" s="19" t="n">
        <v>727</v>
      </c>
      <c r="E70" s="18" t="n">
        <v>56.48081224</v>
      </c>
      <c r="F70" s="20" t="n">
        <v>2.325318</v>
      </c>
      <c r="G70" s="18" t="n">
        <v>43.31634544</v>
      </c>
      <c r="H70" s="20" t="n">
        <v>2.32279357</v>
      </c>
      <c r="I70" s="18" t="s">
        <v>349</v>
      </c>
      <c r="J70" s="20" t="s">
        <v>349</v>
      </c>
      <c r="K70" s="18" t="n">
        <v>0</v>
      </c>
      <c r="L70" s="20" t="n">
        <v>0</v>
      </c>
      <c r="M70" s="18" t="n">
        <v>0</v>
      </c>
      <c r="N70" s="20" t="n">
        <v>0</v>
      </c>
      <c r="O70" s="18" t="n">
        <v>0</v>
      </c>
      <c r="P70" s="20" t="n">
        <v>0</v>
      </c>
      <c r="Q70" s="18" t="n">
        <v>0.20284232</v>
      </c>
      <c r="R70" s="20" t="n">
        <v>0.12019414</v>
      </c>
    </row>
    <row r="71" spans="1:18">
      <c r="A71" s="15" t="s">
        <v>413</v>
      </c>
      <c r="B71" s="17" t="n">
        <v>6115</v>
      </c>
      <c r="C71" s="18">
        <f>(5375.0/B71*100)</f>
        <v/>
      </c>
      <c r="D71" s="19" t="n">
        <v>740</v>
      </c>
      <c r="E71" s="18" t="n">
        <v>31.43543383</v>
      </c>
      <c r="F71" s="20" t="n">
        <v>1.85784307</v>
      </c>
      <c r="G71" s="18" t="n">
        <v>68.31479143999999</v>
      </c>
      <c r="H71" s="20" t="n">
        <v>1.87376728</v>
      </c>
      <c r="I71" s="18" t="s">
        <v>349</v>
      </c>
      <c r="J71" s="20" t="s">
        <v>349</v>
      </c>
      <c r="K71" s="18" t="n">
        <v>0</v>
      </c>
      <c r="L71" s="20" t="n">
        <v>0</v>
      </c>
      <c r="M71" s="18" t="n">
        <v>0</v>
      </c>
      <c r="N71" s="20" t="n">
        <v>0</v>
      </c>
      <c r="O71" s="18" t="n">
        <v>0</v>
      </c>
      <c r="P71" s="20" t="n">
        <v>0</v>
      </c>
      <c r="Q71" s="18" t="n">
        <v>0.24977474</v>
      </c>
      <c r="R71" s="20" t="n">
        <v>0.18156596</v>
      </c>
    </row>
    <row r="72" spans="1:18">
      <c r="A72" s="15" t="s">
        <v>414</v>
      </c>
      <c r="B72" s="17" t="n">
        <v>7708</v>
      </c>
      <c r="C72" s="18">
        <f>(6767.0/B72*100)</f>
        <v/>
      </c>
      <c r="D72" s="19" t="n">
        <v>941</v>
      </c>
      <c r="E72" s="18" t="n">
        <v>40.71495408</v>
      </c>
      <c r="F72" s="20" t="n">
        <v>2.06859992</v>
      </c>
      <c r="G72" s="18" t="n">
        <v>59.1423976</v>
      </c>
      <c r="H72" s="20" t="n">
        <v>2.04873769</v>
      </c>
      <c r="I72" s="18" t="s">
        <v>349</v>
      </c>
      <c r="J72" s="20" t="s">
        <v>349</v>
      </c>
      <c r="K72" s="18" t="n">
        <v>0.14264832</v>
      </c>
      <c r="L72" s="20" t="n">
        <v>0.14316739</v>
      </c>
      <c r="M72" s="18" t="n">
        <v>0</v>
      </c>
      <c r="N72" s="20" t="n">
        <v>0</v>
      </c>
      <c r="O72" s="18" t="n">
        <v>0</v>
      </c>
      <c r="P72" s="20" t="n">
        <v>0</v>
      </c>
      <c r="Q72" s="18" t="n">
        <v>0</v>
      </c>
      <c r="R72" s="20" t="n">
        <v>0</v>
      </c>
    </row>
    <row r="73" spans="1:18">
      <c r="A73" s="15" t="s">
        <v>415</v>
      </c>
      <c r="B73" s="17" t="n">
        <v>8249</v>
      </c>
      <c r="C73" s="18">
        <f>(7207.0/B73*100)</f>
        <v/>
      </c>
      <c r="D73" s="19" t="n">
        <v>1042</v>
      </c>
      <c r="E73" s="18" t="n">
        <v>69.44067458000001</v>
      </c>
      <c r="F73" s="20" t="n">
        <v>1.95778932</v>
      </c>
      <c r="G73" s="18" t="n">
        <v>30.52565585</v>
      </c>
      <c r="H73" s="20" t="n">
        <v>1.95638239</v>
      </c>
      <c r="I73" s="18" t="s">
        <v>349</v>
      </c>
      <c r="J73" s="20" t="s">
        <v>349</v>
      </c>
      <c r="K73" s="18" t="n">
        <v>0.03366957</v>
      </c>
      <c r="L73" s="20" t="n">
        <v>0.03547667</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(4767.0/B75*100)</f>
        <v/>
      </c>
      <c r="D75" s="19" t="n">
        <v>608</v>
      </c>
      <c r="E75" s="18" t="n">
        <v>78.7415597</v>
      </c>
      <c r="F75" s="20" t="n">
        <v>1.94872874</v>
      </c>
      <c r="G75" s="18" t="n">
        <v>19.61986714</v>
      </c>
      <c r="H75" s="20" t="n">
        <v>2.00120843</v>
      </c>
      <c r="I75" s="18" t="s">
        <v>349</v>
      </c>
      <c r="J75" s="20" t="s">
        <v>349</v>
      </c>
      <c r="K75" s="18" t="n">
        <v>0.31897344</v>
      </c>
      <c r="L75" s="20" t="n">
        <v>0.1838252</v>
      </c>
      <c r="M75" s="18" t="n">
        <v>0</v>
      </c>
      <c r="N75" s="20" t="n">
        <v>0</v>
      </c>
      <c r="O75" s="18" t="n">
        <v>0</v>
      </c>
      <c r="P75" s="20" t="n">
        <v>0</v>
      </c>
      <c r="Q75" s="18" t="n">
        <v>1.31959971</v>
      </c>
      <c r="R75" s="20" t="n">
        <v>0.44975271</v>
      </c>
    </row>
    <row r="76" spans="1:18">
      <c r="A76" s="15" t="s">
        <v>418</v>
      </c>
      <c r="B76" s="17" t="n">
        <v>14167</v>
      </c>
      <c r="C76" s="18">
        <f>(12466.0/B76*100)</f>
        <v/>
      </c>
      <c r="D76" s="19" t="n">
        <v>1701</v>
      </c>
      <c r="E76" s="18" t="n">
        <v>72.21024589</v>
      </c>
      <c r="F76" s="20" t="n">
        <v>1.29325822</v>
      </c>
      <c r="G76" s="18" t="n">
        <v>26.51446207</v>
      </c>
      <c r="H76" s="20" t="n">
        <v>1.28693911</v>
      </c>
      <c r="I76" s="18" t="s">
        <v>349</v>
      </c>
      <c r="J76" s="20" t="s">
        <v>349</v>
      </c>
      <c r="K76" s="18" t="n">
        <v>0.79868587</v>
      </c>
      <c r="L76" s="20" t="n">
        <v>0.23556471</v>
      </c>
      <c r="M76" s="18" t="n">
        <v>0</v>
      </c>
      <c r="N76" s="20" t="n">
        <v>0</v>
      </c>
      <c r="O76" s="18" t="n">
        <v>0</v>
      </c>
      <c r="P76" s="20" t="n">
        <v>0</v>
      </c>
      <c r="Q76" s="18" t="n">
        <v>0.47660616</v>
      </c>
      <c r="R76" s="20" t="n">
        <v>0.19826917</v>
      </c>
    </row>
    <row r="77" spans="1:18">
      <c r="A77" s="15" t="s">
        <v>419</v>
      </c>
      <c r="B77" s="17" t="n">
        <v>6062</v>
      </c>
      <c r="C77" s="18">
        <f>(5327.0/B77*100)</f>
        <v/>
      </c>
      <c r="D77" s="19" t="n">
        <v>735</v>
      </c>
      <c r="E77" s="18" t="n">
        <v>65.72086676000001</v>
      </c>
      <c r="F77" s="20" t="n">
        <v>1.8583627</v>
      </c>
      <c r="G77" s="18" t="n">
        <v>33.41338027</v>
      </c>
      <c r="H77" s="20" t="n">
        <v>1.88719783</v>
      </c>
      <c r="I77" s="18" t="s">
        <v>349</v>
      </c>
      <c r="J77" s="20" t="s">
        <v>349</v>
      </c>
      <c r="K77" s="18" t="n">
        <v>0.18324307</v>
      </c>
      <c r="L77" s="20" t="n">
        <v>0.1269816</v>
      </c>
      <c r="M77" s="18" t="n">
        <v>0</v>
      </c>
      <c r="N77" s="20" t="n">
        <v>0</v>
      </c>
      <c r="O77" s="18" t="n">
        <v>0</v>
      </c>
      <c r="P77" s="20" t="n">
        <v>0</v>
      </c>
      <c r="Q77" s="18" t="n">
        <v>0.6825099</v>
      </c>
      <c r="R77" s="20" t="n">
        <v>0.28674726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(7767.0/B81*100)</f>
        <v/>
      </c>
      <c r="D81" s="19" t="n">
        <v>1094</v>
      </c>
      <c r="E81" s="18" t="n">
        <v>67.28505819999999</v>
      </c>
      <c r="F81" s="20" t="n">
        <v>1.98763428</v>
      </c>
      <c r="G81" s="18" t="n">
        <v>32.58312755</v>
      </c>
      <c r="H81" s="20" t="n">
        <v>2.01109713</v>
      </c>
      <c r="I81" s="18" t="s">
        <v>349</v>
      </c>
      <c r="J81" s="20" t="s">
        <v>349</v>
      </c>
      <c r="K81" s="18" t="n">
        <v>0.13181425</v>
      </c>
      <c r="L81" s="20" t="n">
        <v>0.33578537</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(12823.0/B7*100)</f>
        <v/>
      </c>
      <c r="D7" s="19" t="n">
        <v>1707</v>
      </c>
      <c r="E7" s="18" t="n">
        <v>31.23330185</v>
      </c>
      <c r="F7" s="20" t="n">
        <v>1.28190792</v>
      </c>
      <c r="G7" s="18" t="n">
        <v>65.80010692</v>
      </c>
      <c r="H7" s="20" t="n">
        <v>1.34101741</v>
      </c>
      <c r="I7" s="18" t="s">
        <v>349</v>
      </c>
      <c r="J7" s="20" t="s">
        <v>349</v>
      </c>
      <c r="K7" s="18" t="n">
        <v>0.206915</v>
      </c>
      <c r="L7" s="20" t="n">
        <v>0.12853283</v>
      </c>
      <c r="M7" s="18" t="n">
        <v>0</v>
      </c>
      <c r="N7" s="20" t="n">
        <v>0</v>
      </c>
      <c r="O7" s="18" t="n">
        <v>0</v>
      </c>
      <c r="P7" s="20" t="n">
        <v>0</v>
      </c>
      <c r="Q7" s="18" t="n">
        <v>2.75967624</v>
      </c>
      <c r="R7" s="20" t="n">
        <v>0.45776702</v>
      </c>
    </row>
    <row r="8" spans="1:18">
      <c r="A8" s="15" t="s">
        <v>350</v>
      </c>
      <c r="B8" s="17" t="n">
        <v>7007</v>
      </c>
      <c r="C8" s="18">
        <f>(6170.0/B8*100)</f>
        <v/>
      </c>
      <c r="D8" s="19" t="n">
        <v>837</v>
      </c>
      <c r="E8" s="18" t="n">
        <v>29.1864775</v>
      </c>
      <c r="F8" s="20" t="n">
        <v>1.74331179</v>
      </c>
      <c r="G8" s="18" t="n">
        <v>66.90650558</v>
      </c>
      <c r="H8" s="20" t="n">
        <v>2.14981384</v>
      </c>
      <c r="I8" s="18" t="s">
        <v>349</v>
      </c>
      <c r="J8" s="20" t="s">
        <v>349</v>
      </c>
      <c r="K8" s="18" t="n">
        <v>0</v>
      </c>
      <c r="L8" s="20" t="n">
        <v>0</v>
      </c>
      <c r="M8" s="18" t="n">
        <v>0</v>
      </c>
      <c r="N8" s="20" t="n">
        <v>0</v>
      </c>
      <c r="O8" s="18" t="n">
        <v>0</v>
      </c>
      <c r="P8" s="20" t="n">
        <v>0</v>
      </c>
      <c r="Q8" s="18" t="n">
        <v>3.90701692</v>
      </c>
      <c r="R8" s="20" t="n">
        <v>1.29633692</v>
      </c>
    </row>
    <row r="9" spans="1:18">
      <c r="A9" s="15" t="s">
        <v>351</v>
      </c>
      <c r="B9" s="17" t="n">
        <v>9651</v>
      </c>
      <c r="C9" s="18">
        <f>(8499.0/B9*100)</f>
        <v/>
      </c>
      <c r="D9" s="19" t="n">
        <v>1152</v>
      </c>
      <c r="E9" s="18" t="n">
        <v>24.80402214</v>
      </c>
      <c r="F9" s="20" t="n">
        <v>1.51433429</v>
      </c>
      <c r="G9" s="18" t="n">
        <v>72.74096672</v>
      </c>
      <c r="H9" s="20" t="n">
        <v>1.60391337</v>
      </c>
      <c r="I9" s="18" t="s">
        <v>349</v>
      </c>
      <c r="J9" s="20" t="s">
        <v>349</v>
      </c>
      <c r="K9" s="18" t="n">
        <v>0.29504145</v>
      </c>
      <c r="L9" s="20" t="n">
        <v>0.22652618</v>
      </c>
      <c r="M9" s="18" t="n">
        <v>0</v>
      </c>
      <c r="N9" s="20" t="n">
        <v>0</v>
      </c>
      <c r="O9" s="18" t="n">
        <v>0</v>
      </c>
      <c r="P9" s="20" t="n">
        <v>0</v>
      </c>
      <c r="Q9" s="18" t="n">
        <v>2.15996969</v>
      </c>
      <c r="R9" s="20" t="n">
        <v>0.49609779</v>
      </c>
    </row>
    <row r="10" spans="1:18">
      <c r="A10" s="15" t="s">
        <v>352</v>
      </c>
      <c r="B10" s="17" t="n">
        <v>20058</v>
      </c>
      <c r="C10" s="18">
        <f>(17588.0/B10*100)</f>
        <v/>
      </c>
      <c r="D10" s="19" t="n">
        <v>2470</v>
      </c>
      <c r="E10" s="18" t="n">
        <v>29.42210314</v>
      </c>
      <c r="F10" s="20" t="n">
        <v>1.4990433</v>
      </c>
      <c r="G10" s="18" t="n">
        <v>68.43971542</v>
      </c>
      <c r="H10" s="20" t="n">
        <v>1.55319974</v>
      </c>
      <c r="I10" s="18" t="s">
        <v>349</v>
      </c>
      <c r="J10" s="20" t="s">
        <v>349</v>
      </c>
      <c r="K10" s="18" t="n">
        <v>0.17025142</v>
      </c>
      <c r="L10" s="20" t="n">
        <v>0.11157464</v>
      </c>
      <c r="M10" s="18" t="n">
        <v>0</v>
      </c>
      <c r="N10" s="20" t="n">
        <v>0</v>
      </c>
      <c r="O10" s="18" t="n">
        <v>0</v>
      </c>
      <c r="P10" s="20" t="n">
        <v>0</v>
      </c>
      <c r="Q10" s="18" t="n">
        <v>1.96793003</v>
      </c>
      <c r="R10" s="20" t="n">
        <v>0.39667272</v>
      </c>
    </row>
    <row r="11" spans="1:18">
      <c r="A11" s="15" t="s">
        <v>353</v>
      </c>
      <c r="B11" s="17" t="n">
        <v>7053</v>
      </c>
      <c r="C11" s="18">
        <f>(6205.0/B11*100)</f>
        <v/>
      </c>
      <c r="D11" s="19" t="n">
        <v>848</v>
      </c>
      <c r="E11" s="18" t="n">
        <v>39.70034227</v>
      </c>
      <c r="F11" s="20" t="n">
        <v>2.11157431</v>
      </c>
      <c r="G11" s="18" t="n">
        <v>53.32864456</v>
      </c>
      <c r="H11" s="20" t="n">
        <v>2.16376963</v>
      </c>
      <c r="I11" s="18" t="s">
        <v>349</v>
      </c>
      <c r="J11" s="20" t="s">
        <v>349</v>
      </c>
      <c r="K11" s="18" t="n">
        <v>0.14012337</v>
      </c>
      <c r="L11" s="20" t="n">
        <v>0.12084561</v>
      </c>
      <c r="M11" s="18" t="n">
        <v>0</v>
      </c>
      <c r="N11" s="20" t="n">
        <v>0</v>
      </c>
      <c r="O11" s="18" t="n">
        <v>0</v>
      </c>
      <c r="P11" s="20" t="n">
        <v>0</v>
      </c>
      <c r="Q11" s="18" t="n">
        <v>6.8308898</v>
      </c>
      <c r="R11" s="20" t="n">
        <v>1.05458179</v>
      </c>
    </row>
    <row r="12" spans="1:18">
      <c r="A12" s="15" t="s">
        <v>354</v>
      </c>
      <c r="B12" s="17" t="n">
        <v>6894</v>
      </c>
      <c r="C12" s="18">
        <f>(6058.0/B12*100)</f>
        <v/>
      </c>
      <c r="D12" s="19" t="n">
        <v>836</v>
      </c>
      <c r="E12" s="18" t="n">
        <v>26.07643528</v>
      </c>
      <c r="F12" s="20" t="n">
        <v>1.65600882</v>
      </c>
      <c r="G12" s="18" t="n">
        <v>70.6192716</v>
      </c>
      <c r="H12" s="20" t="n">
        <v>1.75909792</v>
      </c>
      <c r="I12" s="18" t="s">
        <v>349</v>
      </c>
      <c r="J12" s="20" t="s">
        <v>349</v>
      </c>
      <c r="K12" s="18" t="n">
        <v>0</v>
      </c>
      <c r="L12" s="20" t="n">
        <v>0</v>
      </c>
      <c r="M12" s="18" t="n">
        <v>0</v>
      </c>
      <c r="N12" s="20" t="n">
        <v>0</v>
      </c>
      <c r="O12" s="18" t="n">
        <v>0</v>
      </c>
      <c r="P12" s="20" t="n">
        <v>0</v>
      </c>
      <c r="Q12" s="18" t="n">
        <v>3.30429313</v>
      </c>
      <c r="R12" s="20" t="n">
        <v>0.74238065</v>
      </c>
    </row>
    <row r="13" spans="1:18">
      <c r="A13" s="15" t="s">
        <v>355</v>
      </c>
      <c r="B13" s="17" t="n">
        <v>7161</v>
      </c>
      <c r="C13" s="18">
        <f>(6332.0/B13*100)</f>
        <v/>
      </c>
      <c r="D13" s="19" t="n">
        <v>829</v>
      </c>
      <c r="E13" s="18" t="n">
        <v>31.25252927</v>
      </c>
      <c r="F13" s="20" t="n">
        <v>1.87001987</v>
      </c>
      <c r="G13" s="18" t="n">
        <v>66.58497839</v>
      </c>
      <c r="H13" s="20" t="n">
        <v>1.92860116</v>
      </c>
      <c r="I13" s="18" t="s">
        <v>349</v>
      </c>
      <c r="J13" s="20" t="s">
        <v>349</v>
      </c>
      <c r="K13" s="18" t="n">
        <v>0.33885255</v>
      </c>
      <c r="L13" s="20" t="n">
        <v>0.19581607</v>
      </c>
      <c r="M13" s="18" t="n">
        <v>0</v>
      </c>
      <c r="N13" s="20" t="n">
        <v>0</v>
      </c>
      <c r="O13" s="18" t="n">
        <v>0</v>
      </c>
      <c r="P13" s="20" t="n">
        <v>0</v>
      </c>
      <c r="Q13" s="18" t="n">
        <v>1.82363979</v>
      </c>
      <c r="R13" s="20" t="n">
        <v>0.62735544</v>
      </c>
    </row>
    <row r="14" spans="1:18">
      <c r="A14" s="15" t="s">
        <v>356</v>
      </c>
      <c r="B14" s="17" t="n">
        <v>5587</v>
      </c>
      <c r="C14" s="18">
        <f>(4885.0/B14*100)</f>
        <v/>
      </c>
      <c r="D14" s="19" t="n">
        <v>702</v>
      </c>
      <c r="E14" s="18" t="n">
        <v>25.93252547</v>
      </c>
      <c r="F14" s="20" t="n">
        <v>1.77222702</v>
      </c>
      <c r="G14" s="18" t="n">
        <v>73.04008847999999</v>
      </c>
      <c r="H14" s="20" t="n">
        <v>1.80028394</v>
      </c>
      <c r="I14" s="18" t="s">
        <v>349</v>
      </c>
      <c r="J14" s="20" t="s">
        <v>349</v>
      </c>
      <c r="K14" s="18" t="n">
        <v>0.11647464</v>
      </c>
      <c r="L14" s="20" t="n">
        <v>0.11612809</v>
      </c>
      <c r="M14" s="18" t="n">
        <v>0</v>
      </c>
      <c r="N14" s="20" t="n">
        <v>0</v>
      </c>
      <c r="O14" s="18" t="n">
        <v>0</v>
      </c>
      <c r="P14" s="20" t="n">
        <v>0</v>
      </c>
      <c r="Q14" s="18" t="n">
        <v>0.9109114</v>
      </c>
      <c r="R14" s="20" t="n">
        <v>0.32593653</v>
      </c>
    </row>
    <row r="15" spans="1:18">
      <c r="A15" s="15" t="s">
        <v>357</v>
      </c>
      <c r="B15" s="17" t="n">
        <v>5882</v>
      </c>
      <c r="C15" s="18">
        <f>(5152.0/B15*100)</f>
        <v/>
      </c>
      <c r="D15" s="19" t="n">
        <v>730</v>
      </c>
      <c r="E15" s="18" t="n">
        <v>27.78566664</v>
      </c>
      <c r="F15" s="20" t="n">
        <v>1.69780296</v>
      </c>
      <c r="G15" s="18" t="n">
        <v>70.02374498</v>
      </c>
      <c r="H15" s="20" t="n">
        <v>1.74360248</v>
      </c>
      <c r="I15" s="18" t="s">
        <v>349</v>
      </c>
      <c r="J15" s="20" t="s">
        <v>349</v>
      </c>
      <c r="K15" s="18" t="n">
        <v>0.13289827</v>
      </c>
      <c r="L15" s="20" t="n">
        <v>0.1305501</v>
      </c>
      <c r="M15" s="18" t="n">
        <v>0</v>
      </c>
      <c r="N15" s="20" t="n">
        <v>0</v>
      </c>
      <c r="O15" s="18" t="n">
        <v>0</v>
      </c>
      <c r="P15" s="20" t="n">
        <v>0</v>
      </c>
      <c r="Q15" s="18" t="n">
        <v>2.05769011</v>
      </c>
      <c r="R15" s="20" t="n">
        <v>0.5103872699999999</v>
      </c>
    </row>
    <row r="16" spans="1:18">
      <c r="A16" s="15" t="s">
        <v>358</v>
      </c>
      <c r="B16" s="17" t="n">
        <v>6108</v>
      </c>
      <c r="C16" s="18">
        <f>(5342.0/B16*100)</f>
        <v/>
      </c>
      <c r="D16" s="19" t="n">
        <v>766</v>
      </c>
      <c r="E16" s="18" t="n">
        <v>30.94080023</v>
      </c>
      <c r="F16" s="20" t="n">
        <v>1.67263793</v>
      </c>
      <c r="G16" s="18" t="n">
        <v>63.15338069</v>
      </c>
      <c r="H16" s="20" t="n">
        <v>1.73934883</v>
      </c>
      <c r="I16" s="18" t="s">
        <v>349</v>
      </c>
      <c r="J16" s="20" t="s">
        <v>349</v>
      </c>
      <c r="K16" s="18" t="n">
        <v>0.26072961</v>
      </c>
      <c r="L16" s="20" t="n">
        <v>0.1868875</v>
      </c>
      <c r="M16" s="18" t="n">
        <v>0</v>
      </c>
      <c r="N16" s="20" t="n">
        <v>0</v>
      </c>
      <c r="O16" s="18" t="n">
        <v>0</v>
      </c>
      <c r="P16" s="20" t="n">
        <v>0</v>
      </c>
      <c r="Q16" s="18" t="n">
        <v>5.64508947</v>
      </c>
      <c r="R16" s="20" t="n">
        <v>1.00512438</v>
      </c>
    </row>
    <row r="17" spans="1:18">
      <c r="A17" s="15" t="s">
        <v>359</v>
      </c>
      <c r="B17" s="17" t="n">
        <v>6504</v>
      </c>
      <c r="C17" s="18">
        <f>(5736.0/B17*100)</f>
        <v/>
      </c>
      <c r="D17" s="19" t="n">
        <v>768</v>
      </c>
      <c r="E17" s="18" t="n">
        <v>27.92786473</v>
      </c>
      <c r="F17" s="20" t="n">
        <v>1.58251689</v>
      </c>
      <c r="G17" s="18" t="n">
        <v>69.03492134</v>
      </c>
      <c r="H17" s="20" t="n">
        <v>1.65314756</v>
      </c>
      <c r="I17" s="18" t="s">
        <v>349</v>
      </c>
      <c r="J17" s="20" t="s">
        <v>349</v>
      </c>
      <c r="K17" s="18" t="n">
        <v>0</v>
      </c>
      <c r="L17" s="20" t="n">
        <v>0</v>
      </c>
      <c r="M17" s="18" t="n">
        <v>0</v>
      </c>
      <c r="N17" s="20" t="n">
        <v>0</v>
      </c>
      <c r="O17" s="18" t="n">
        <v>0</v>
      </c>
      <c r="P17" s="20" t="n">
        <v>0</v>
      </c>
      <c r="Q17" s="18" t="n">
        <v>3.03721392</v>
      </c>
      <c r="R17" s="20" t="n">
        <v>0.57762612</v>
      </c>
    </row>
    <row r="18" spans="1:18">
      <c r="A18" s="15" t="s">
        <v>360</v>
      </c>
      <c r="B18" s="17" t="n">
        <v>5532</v>
      </c>
      <c r="C18" s="18">
        <f>(4838.0/B18*100)</f>
        <v/>
      </c>
      <c r="D18" s="19" t="n">
        <v>694</v>
      </c>
      <c r="E18" s="18" t="n">
        <v>38.00801176</v>
      </c>
      <c r="F18" s="20" t="n">
        <v>2.057583</v>
      </c>
      <c r="G18" s="18" t="n">
        <v>56.12779133</v>
      </c>
      <c r="H18" s="20" t="n">
        <v>1.9681319</v>
      </c>
      <c r="I18" s="18" t="s">
        <v>349</v>
      </c>
      <c r="J18" s="20" t="s">
        <v>349</v>
      </c>
      <c r="K18" s="18" t="n">
        <v>0.37172523</v>
      </c>
      <c r="L18" s="20" t="n">
        <v>0.36780385</v>
      </c>
      <c r="M18" s="18" t="n">
        <v>0</v>
      </c>
      <c r="N18" s="20" t="n">
        <v>0</v>
      </c>
      <c r="O18" s="18" t="n">
        <v>0</v>
      </c>
      <c r="P18" s="20" t="n">
        <v>0</v>
      </c>
      <c r="Q18" s="18" t="n">
        <v>5.49247169</v>
      </c>
      <c r="R18" s="20" t="n">
        <v>0.92509727</v>
      </c>
    </row>
    <row r="19" spans="1:18">
      <c r="A19" s="15" t="s">
        <v>361</v>
      </c>
      <c r="B19" s="17" t="n">
        <v>5658</v>
      </c>
      <c r="C19" s="18">
        <f>(4957.0/B19*100)</f>
        <v/>
      </c>
      <c r="D19" s="19" t="n">
        <v>701</v>
      </c>
      <c r="E19" s="18" t="n">
        <v>30.1768119</v>
      </c>
      <c r="F19" s="20" t="n">
        <v>1.86090602</v>
      </c>
      <c r="G19" s="18" t="n">
        <v>64.43782851</v>
      </c>
      <c r="H19" s="20" t="n">
        <v>2.04898875</v>
      </c>
      <c r="I19" s="18" t="s">
        <v>349</v>
      </c>
      <c r="J19" s="20" t="s">
        <v>349</v>
      </c>
      <c r="K19" s="18" t="n">
        <v>0</v>
      </c>
      <c r="L19" s="20" t="n">
        <v>0</v>
      </c>
      <c r="M19" s="18" t="n">
        <v>0</v>
      </c>
      <c r="N19" s="20" t="n">
        <v>0</v>
      </c>
      <c r="O19" s="18" t="n">
        <v>0</v>
      </c>
      <c r="P19" s="20" t="n">
        <v>0</v>
      </c>
      <c r="Q19" s="18" t="n">
        <v>5.38535959</v>
      </c>
      <c r="R19" s="20" t="n">
        <v>1.02337203</v>
      </c>
    </row>
    <row r="20" spans="1:18">
      <c r="A20" s="15" t="s">
        <v>362</v>
      </c>
      <c r="B20" s="17" t="n">
        <v>3371</v>
      </c>
      <c r="C20" s="18">
        <f>(2951.0/B20*100)</f>
        <v/>
      </c>
      <c r="D20" s="19" t="n">
        <v>420</v>
      </c>
      <c r="E20" s="18" t="n">
        <v>33.54912745</v>
      </c>
      <c r="F20" s="20" t="n">
        <v>2.34655779</v>
      </c>
      <c r="G20" s="18" t="n">
        <v>64.36669702</v>
      </c>
      <c r="H20" s="20" t="n">
        <v>2.39904339</v>
      </c>
      <c r="I20" s="18" t="s">
        <v>349</v>
      </c>
      <c r="J20" s="20" t="s">
        <v>349</v>
      </c>
      <c r="K20" s="18" t="n">
        <v>0.22439682</v>
      </c>
      <c r="L20" s="20" t="n">
        <v>0.22538908</v>
      </c>
      <c r="M20" s="18" t="n">
        <v>0</v>
      </c>
      <c r="N20" s="20" t="n">
        <v>0</v>
      </c>
      <c r="O20" s="18" t="n">
        <v>0</v>
      </c>
      <c r="P20" s="20" t="n">
        <v>0</v>
      </c>
      <c r="Q20" s="18" t="n">
        <v>1.85977871</v>
      </c>
      <c r="R20" s="20" t="n">
        <v>0.74535978</v>
      </c>
    </row>
    <row r="21" spans="1:18">
      <c r="A21" s="15" t="s">
        <v>363</v>
      </c>
      <c r="B21" s="17" t="n">
        <v>5741</v>
      </c>
      <c r="C21" s="18">
        <f>(4781.0/B21*100)</f>
        <v/>
      </c>
      <c r="D21" s="19" t="n">
        <v>960</v>
      </c>
      <c r="E21" s="18" t="n">
        <v>29.83188305</v>
      </c>
      <c r="F21" s="20" t="n">
        <v>1.41897783</v>
      </c>
      <c r="G21" s="18" t="n">
        <v>68.73856096</v>
      </c>
      <c r="H21" s="20" t="n">
        <v>1.50737982</v>
      </c>
      <c r="I21" s="18" t="s">
        <v>349</v>
      </c>
      <c r="J21" s="20" t="s">
        <v>349</v>
      </c>
      <c r="K21" s="18" t="n">
        <v>0</v>
      </c>
      <c r="L21" s="20" t="n">
        <v>0</v>
      </c>
      <c r="M21" s="18" t="n">
        <v>0</v>
      </c>
      <c r="N21" s="20" t="n">
        <v>0</v>
      </c>
      <c r="O21" s="18" t="n">
        <v>0</v>
      </c>
      <c r="P21" s="20" t="n">
        <v>0</v>
      </c>
      <c r="Q21" s="18" t="n">
        <v>1.42955599</v>
      </c>
      <c r="R21" s="20" t="n">
        <v>0.32865096</v>
      </c>
    </row>
    <row r="22" spans="1:18">
      <c r="A22" s="15" t="s">
        <v>364</v>
      </c>
      <c r="B22" s="17" t="n">
        <v>6598</v>
      </c>
      <c r="C22" s="18">
        <f>(5780.0/B22*100)</f>
        <v/>
      </c>
      <c r="D22" s="19" t="n">
        <v>818</v>
      </c>
      <c r="E22" s="18" t="n">
        <v>37.3320305</v>
      </c>
      <c r="F22" s="20" t="n">
        <v>1.69556051</v>
      </c>
      <c r="G22" s="18" t="n">
        <v>59.30456628</v>
      </c>
      <c r="H22" s="20" t="n">
        <v>1.66925456</v>
      </c>
      <c r="I22" s="18" t="s">
        <v>349</v>
      </c>
      <c r="J22" s="20" t="s">
        <v>349</v>
      </c>
      <c r="K22" s="18" t="n">
        <v>0.10959193</v>
      </c>
      <c r="L22" s="20" t="n">
        <v>0.10948658</v>
      </c>
      <c r="M22" s="18" t="n">
        <v>0</v>
      </c>
      <c r="N22" s="20" t="n">
        <v>0</v>
      </c>
      <c r="O22" s="18" t="n">
        <v>0</v>
      </c>
      <c r="P22" s="20" t="n">
        <v>0</v>
      </c>
      <c r="Q22" s="18" t="n">
        <v>3.25381129</v>
      </c>
      <c r="R22" s="20" t="n">
        <v>0.61398705</v>
      </c>
    </row>
    <row r="23" spans="1:18">
      <c r="A23" s="15" t="s">
        <v>365</v>
      </c>
      <c r="B23" s="17" t="n">
        <v>11583</v>
      </c>
      <c r="C23" s="18">
        <f>(10157.0/B23*100)</f>
        <v/>
      </c>
      <c r="D23" s="19" t="n">
        <v>1426</v>
      </c>
      <c r="E23" s="18" t="n">
        <v>30.10385213</v>
      </c>
      <c r="F23" s="20" t="n">
        <v>1.86145701</v>
      </c>
      <c r="G23" s="18" t="n">
        <v>66.35131568</v>
      </c>
      <c r="H23" s="20" t="n">
        <v>1.85149049</v>
      </c>
      <c r="I23" s="18" t="s">
        <v>349</v>
      </c>
      <c r="J23" s="20" t="s">
        <v>349</v>
      </c>
      <c r="K23" s="18" t="n">
        <v>0.00617727</v>
      </c>
      <c r="L23" s="20" t="n">
        <v>0.00621631</v>
      </c>
      <c r="M23" s="18" t="n">
        <v>0</v>
      </c>
      <c r="N23" s="20" t="n">
        <v>0</v>
      </c>
      <c r="O23" s="18" t="n">
        <v>0</v>
      </c>
      <c r="P23" s="20" t="n">
        <v>0</v>
      </c>
      <c r="Q23" s="18" t="n">
        <v>3.53865491</v>
      </c>
      <c r="R23" s="20" t="n">
        <v>0.55480396</v>
      </c>
    </row>
    <row r="24" spans="1:18">
      <c r="A24" s="15" t="s">
        <v>366</v>
      </c>
      <c r="B24" s="17" t="n">
        <v>6647</v>
      </c>
      <c r="C24" s="18">
        <f>(5807.0/B24*100)</f>
        <v/>
      </c>
      <c r="D24" s="19" t="n">
        <v>840</v>
      </c>
      <c r="E24" s="18" t="n">
        <v>24.69035499</v>
      </c>
      <c r="F24" s="20" t="n">
        <v>1.38043619</v>
      </c>
      <c r="G24" s="18" t="n">
        <v>72.91984418</v>
      </c>
      <c r="H24" s="20" t="n">
        <v>1.41988178</v>
      </c>
      <c r="I24" s="18" t="s">
        <v>349</v>
      </c>
      <c r="J24" s="20" t="s">
        <v>349</v>
      </c>
      <c r="K24" s="18" t="n">
        <v>0.10989785</v>
      </c>
      <c r="L24" s="20" t="n">
        <v>0.11102297</v>
      </c>
      <c r="M24" s="18" t="n">
        <v>0</v>
      </c>
      <c r="N24" s="20" t="n">
        <v>0</v>
      </c>
      <c r="O24" s="18" t="n">
        <v>0</v>
      </c>
      <c r="P24" s="20" t="n">
        <v>0</v>
      </c>
      <c r="Q24" s="18" t="n">
        <v>2.27990298</v>
      </c>
      <c r="R24" s="20" t="n">
        <v>0.56270047</v>
      </c>
    </row>
    <row r="25" spans="1:18">
      <c r="A25" s="15" t="s">
        <v>367</v>
      </c>
      <c r="B25" s="17" t="n">
        <v>5581</v>
      </c>
      <c r="C25" s="18">
        <f>(4905.0/B25*100)</f>
        <v/>
      </c>
      <c r="D25" s="19" t="n">
        <v>676</v>
      </c>
      <c r="E25" s="18" t="n">
        <v>26.42221334</v>
      </c>
      <c r="F25" s="20" t="n">
        <v>2.10589513</v>
      </c>
      <c r="G25" s="18" t="n">
        <v>71.12302545</v>
      </c>
      <c r="H25" s="20" t="n">
        <v>1.99479087</v>
      </c>
      <c r="I25" s="18" t="s">
        <v>349</v>
      </c>
      <c r="J25" s="20" t="s">
        <v>349</v>
      </c>
      <c r="K25" s="18" t="n">
        <v>0</v>
      </c>
      <c r="L25" s="20" t="n">
        <v>0</v>
      </c>
      <c r="M25" s="18" t="n">
        <v>0</v>
      </c>
      <c r="N25" s="20" t="n">
        <v>0</v>
      </c>
      <c r="O25" s="18" t="n">
        <v>0</v>
      </c>
      <c r="P25" s="20" t="n">
        <v>0</v>
      </c>
      <c r="Q25" s="18" t="n">
        <v>2.45476121</v>
      </c>
      <c r="R25" s="20" t="n">
        <v>0.66805698</v>
      </c>
    </row>
    <row r="26" spans="1:18">
      <c r="A26" s="15" t="s">
        <v>368</v>
      </c>
      <c r="B26" s="17" t="n">
        <v>4869</v>
      </c>
      <c r="C26" s="18">
        <f>(4282.0/B26*100)</f>
        <v/>
      </c>
      <c r="D26" s="19" t="n">
        <v>587</v>
      </c>
      <c r="E26" s="18" t="n">
        <v>29.31151431</v>
      </c>
      <c r="F26" s="20" t="n">
        <v>1.95578005</v>
      </c>
      <c r="G26" s="18" t="n">
        <v>68.94909450999999</v>
      </c>
      <c r="H26" s="20" t="n">
        <v>2.007933</v>
      </c>
      <c r="I26" s="18" t="s">
        <v>349</v>
      </c>
      <c r="J26" s="20" t="s">
        <v>349</v>
      </c>
      <c r="K26" s="18" t="n">
        <v>0</v>
      </c>
      <c r="L26" s="20" t="n">
        <v>0</v>
      </c>
      <c r="M26" s="18" t="n">
        <v>0</v>
      </c>
      <c r="N26" s="20" t="n">
        <v>0</v>
      </c>
      <c r="O26" s="18" t="n">
        <v>0</v>
      </c>
      <c r="P26" s="20" t="n">
        <v>0</v>
      </c>
      <c r="Q26" s="18" t="n">
        <v>1.73939118</v>
      </c>
      <c r="R26" s="20" t="n">
        <v>0.55195011</v>
      </c>
    </row>
    <row r="27" spans="1:18">
      <c r="A27" s="15" t="s">
        <v>369</v>
      </c>
      <c r="B27" s="17" t="n">
        <v>5299</v>
      </c>
      <c r="C27" s="18">
        <f>(4657.0/B27*100)</f>
        <v/>
      </c>
      <c r="D27" s="19" t="n">
        <v>642</v>
      </c>
      <c r="E27" s="18" t="n">
        <v>26.83795384</v>
      </c>
      <c r="F27" s="20" t="n">
        <v>1.7950722</v>
      </c>
      <c r="G27" s="18" t="n">
        <v>69.22637868</v>
      </c>
      <c r="H27" s="20" t="n">
        <v>1.91114383</v>
      </c>
      <c r="I27" s="18" t="s">
        <v>349</v>
      </c>
      <c r="J27" s="20" t="s">
        <v>349</v>
      </c>
      <c r="K27" s="18" t="n">
        <v>0.15568708</v>
      </c>
      <c r="L27" s="20" t="n">
        <v>0.15627462</v>
      </c>
      <c r="M27" s="18" t="n">
        <v>0</v>
      </c>
      <c r="N27" s="20" t="n">
        <v>0</v>
      </c>
      <c r="O27" s="18" t="n">
        <v>0</v>
      </c>
      <c r="P27" s="20" t="n">
        <v>0</v>
      </c>
      <c r="Q27" s="18" t="n">
        <v>3.7799804</v>
      </c>
      <c r="R27" s="20" t="n">
        <v>0.7099622</v>
      </c>
    </row>
    <row r="28" spans="1:18">
      <c r="A28" s="15" t="s">
        <v>370</v>
      </c>
      <c r="B28" s="17" t="n">
        <v>7568</v>
      </c>
      <c r="C28" s="18">
        <f>(6664.0/B28*100)</f>
        <v/>
      </c>
      <c r="D28" s="19" t="n">
        <v>904</v>
      </c>
      <c r="E28" s="18" t="n">
        <v>51.43388684</v>
      </c>
      <c r="F28" s="20" t="n">
        <v>1.85748706</v>
      </c>
      <c r="G28" s="18" t="n">
        <v>46.06416111</v>
      </c>
      <c r="H28" s="20" t="n">
        <v>2.08654586</v>
      </c>
      <c r="I28" s="18" t="s">
        <v>349</v>
      </c>
      <c r="J28" s="20" t="s">
        <v>349</v>
      </c>
      <c r="K28" s="18" t="n">
        <v>0.61086129</v>
      </c>
      <c r="L28" s="20" t="n">
        <v>0.35124435</v>
      </c>
      <c r="M28" s="18" t="n">
        <v>0</v>
      </c>
      <c r="N28" s="20" t="n">
        <v>0</v>
      </c>
      <c r="O28" s="18" t="n">
        <v>0</v>
      </c>
      <c r="P28" s="20" t="n">
        <v>0</v>
      </c>
      <c r="Q28" s="18" t="n">
        <v>1.89109076</v>
      </c>
      <c r="R28" s="20" t="n">
        <v>0.45670368</v>
      </c>
    </row>
    <row r="29" spans="1:18">
      <c r="A29" s="15" t="s">
        <v>371</v>
      </c>
      <c r="B29" s="17" t="n">
        <v>5385</v>
      </c>
      <c r="C29" s="18">
        <f>(4755.0/B29*100)</f>
        <v/>
      </c>
      <c r="D29" s="19" t="n">
        <v>630</v>
      </c>
      <c r="E29" s="18" t="n">
        <v>32.71213636</v>
      </c>
      <c r="F29" s="20" t="n">
        <v>1.76266618</v>
      </c>
      <c r="G29" s="18" t="n">
        <v>65.49367137</v>
      </c>
      <c r="H29" s="20" t="n">
        <v>1.74231801</v>
      </c>
      <c r="I29" s="18" t="s">
        <v>349</v>
      </c>
      <c r="J29" s="20" t="s">
        <v>349</v>
      </c>
      <c r="K29" s="18" t="n">
        <v>0.16168784</v>
      </c>
      <c r="L29" s="20" t="n">
        <v>0.16030023</v>
      </c>
      <c r="M29" s="18" t="n">
        <v>0</v>
      </c>
      <c r="N29" s="20" t="n">
        <v>0</v>
      </c>
      <c r="O29" s="18" t="n">
        <v>0</v>
      </c>
      <c r="P29" s="20" t="n">
        <v>0</v>
      </c>
      <c r="Q29" s="18" t="n">
        <v>1.63250443</v>
      </c>
      <c r="R29" s="20" t="n">
        <v>0.5043709</v>
      </c>
    </row>
    <row r="30" spans="1:18">
      <c r="A30" s="15" t="s">
        <v>372</v>
      </c>
      <c r="B30" s="17" t="n">
        <v>4520</v>
      </c>
      <c r="C30" s="18">
        <f>(3959.0/B30*100)</f>
        <v/>
      </c>
      <c r="D30" s="19" t="n">
        <v>561</v>
      </c>
      <c r="E30" s="18" t="n">
        <v>32.0381011</v>
      </c>
      <c r="F30" s="20" t="n">
        <v>1.96410198</v>
      </c>
      <c r="G30" s="18" t="n">
        <v>65.52030057</v>
      </c>
      <c r="H30" s="20" t="n">
        <v>1.86090369</v>
      </c>
      <c r="I30" s="18" t="s">
        <v>349</v>
      </c>
      <c r="J30" s="20" t="s">
        <v>349</v>
      </c>
      <c r="K30" s="18" t="n">
        <v>0</v>
      </c>
      <c r="L30" s="20" t="n">
        <v>0</v>
      </c>
      <c r="M30" s="18" t="n">
        <v>0</v>
      </c>
      <c r="N30" s="20" t="n">
        <v>0</v>
      </c>
      <c r="O30" s="18" t="n">
        <v>0</v>
      </c>
      <c r="P30" s="20" t="n">
        <v>0</v>
      </c>
      <c r="Q30" s="18" t="n">
        <v>2.44159833</v>
      </c>
      <c r="R30" s="20" t="n">
        <v>0.71969186</v>
      </c>
    </row>
    <row r="31" spans="1:18">
      <c r="A31" s="15" t="s">
        <v>373</v>
      </c>
      <c r="B31" s="17" t="n">
        <v>5456</v>
      </c>
      <c r="C31" s="18">
        <f>(4775.0/B31*100)</f>
        <v/>
      </c>
      <c r="D31" s="19" t="n">
        <v>681</v>
      </c>
      <c r="E31" s="18" t="n">
        <v>27.75588814</v>
      </c>
      <c r="F31" s="20" t="n">
        <v>1.82000873</v>
      </c>
      <c r="G31" s="18" t="n">
        <v>69.28980213</v>
      </c>
      <c r="H31" s="20" t="n">
        <v>2.0978453</v>
      </c>
      <c r="I31" s="18" t="s">
        <v>349</v>
      </c>
      <c r="J31" s="20" t="s">
        <v>349</v>
      </c>
      <c r="K31" s="18" t="n">
        <v>0.28894497</v>
      </c>
      <c r="L31" s="20" t="n">
        <v>0.20032641</v>
      </c>
      <c r="M31" s="18" t="n">
        <v>0</v>
      </c>
      <c r="N31" s="20" t="n">
        <v>0</v>
      </c>
      <c r="O31" s="18" t="n">
        <v>0</v>
      </c>
      <c r="P31" s="20" t="n">
        <v>0</v>
      </c>
      <c r="Q31" s="18" t="n">
        <v>2.66536477</v>
      </c>
      <c r="R31" s="20" t="n">
        <v>0.60943483</v>
      </c>
    </row>
    <row r="32" spans="1:18">
      <c r="A32" s="15" t="s">
        <v>374</v>
      </c>
      <c r="B32" s="17" t="n">
        <v>4478</v>
      </c>
      <c r="C32" s="18">
        <f>(3730.0/B32*100)</f>
        <v/>
      </c>
      <c r="D32" s="19" t="n">
        <v>748</v>
      </c>
      <c r="E32" s="18" t="n">
        <v>34.96674654</v>
      </c>
      <c r="F32" s="20" t="n">
        <v>1.94537905</v>
      </c>
      <c r="G32" s="18" t="n">
        <v>63.61576099</v>
      </c>
      <c r="H32" s="20" t="n">
        <v>2.00248611</v>
      </c>
      <c r="I32" s="18" t="s">
        <v>349</v>
      </c>
      <c r="J32" s="20" t="s">
        <v>349</v>
      </c>
      <c r="K32" s="18" t="n">
        <v>0</v>
      </c>
      <c r="L32" s="20" t="n">
        <v>0</v>
      </c>
      <c r="M32" s="18" t="n">
        <v>0</v>
      </c>
      <c r="N32" s="20" t="n">
        <v>0</v>
      </c>
      <c r="O32" s="18" t="n">
        <v>0</v>
      </c>
      <c r="P32" s="20" t="n">
        <v>0</v>
      </c>
      <c r="Q32" s="18" t="n">
        <v>1.41749247</v>
      </c>
      <c r="R32" s="20" t="n">
        <v>0.4761652</v>
      </c>
    </row>
    <row r="33" spans="1:18">
      <c r="A33" s="15" t="s">
        <v>375</v>
      </c>
      <c r="B33" s="17" t="n">
        <v>7325</v>
      </c>
      <c r="C33" s="18">
        <f>(6424.0/B33*100)</f>
        <v/>
      </c>
      <c r="D33" s="19" t="n">
        <v>901</v>
      </c>
      <c r="E33" s="18" t="n">
        <v>33.73465365</v>
      </c>
      <c r="F33" s="20" t="n">
        <v>1.80256606</v>
      </c>
      <c r="G33" s="18" t="n">
        <v>62.87652003</v>
      </c>
      <c r="H33" s="20" t="n">
        <v>1.92985838</v>
      </c>
      <c r="I33" s="18" t="s">
        <v>349</v>
      </c>
      <c r="J33" s="20" t="s">
        <v>349</v>
      </c>
      <c r="K33" s="18" t="n">
        <v>0.20854543</v>
      </c>
      <c r="L33" s="20" t="n">
        <v>0.21293086</v>
      </c>
      <c r="M33" s="18" t="n">
        <v>0</v>
      </c>
      <c r="N33" s="20" t="n">
        <v>0</v>
      </c>
      <c r="O33" s="18" t="n">
        <v>0</v>
      </c>
      <c r="P33" s="20" t="n">
        <v>0</v>
      </c>
      <c r="Q33" s="18" t="n">
        <v>3.18028088</v>
      </c>
      <c r="R33" s="20" t="n">
        <v>0.7585634999999999</v>
      </c>
    </row>
    <row r="34" spans="1:18">
      <c r="A34" s="15" t="s">
        <v>376</v>
      </c>
      <c r="B34" s="17" t="n">
        <v>6350</v>
      </c>
      <c r="C34" s="18">
        <f>(5587.0/B34*100)</f>
        <v/>
      </c>
      <c r="D34" s="19" t="n">
        <v>763</v>
      </c>
      <c r="E34" s="18" t="n">
        <v>30.85123764</v>
      </c>
      <c r="F34" s="20" t="n">
        <v>1.90187738</v>
      </c>
      <c r="G34" s="18" t="n">
        <v>66.51947625</v>
      </c>
      <c r="H34" s="20" t="n">
        <v>1.87465396</v>
      </c>
      <c r="I34" s="18" t="s">
        <v>349</v>
      </c>
      <c r="J34" s="20" t="s">
        <v>349</v>
      </c>
      <c r="K34" s="18" t="n">
        <v>0</v>
      </c>
      <c r="L34" s="20" t="n">
        <v>0</v>
      </c>
      <c r="M34" s="18" t="n">
        <v>0</v>
      </c>
      <c r="N34" s="20" t="n">
        <v>0</v>
      </c>
      <c r="O34" s="18" t="n">
        <v>0</v>
      </c>
      <c r="P34" s="20" t="n">
        <v>0</v>
      </c>
      <c r="Q34" s="18" t="n">
        <v>2.62928612</v>
      </c>
      <c r="R34" s="20" t="n">
        <v>0.56460193</v>
      </c>
    </row>
    <row r="35" spans="1:18">
      <c r="A35" s="15" t="s">
        <v>377</v>
      </c>
      <c r="B35" s="17" t="n">
        <v>6406</v>
      </c>
      <c r="C35" s="18">
        <f>(5627.0/B35*100)</f>
        <v/>
      </c>
      <c r="D35" s="19" t="n">
        <v>779</v>
      </c>
      <c r="E35" s="18" t="n">
        <v>30.52908515</v>
      </c>
      <c r="F35" s="20" t="n">
        <v>2.13447775</v>
      </c>
      <c r="G35" s="18" t="n">
        <v>66.30834538000001</v>
      </c>
      <c r="H35" s="20" t="n">
        <v>2.23818078</v>
      </c>
      <c r="I35" s="18" t="s">
        <v>349</v>
      </c>
      <c r="J35" s="20" t="s">
        <v>349</v>
      </c>
      <c r="K35" s="18" t="n">
        <v>0.12150356</v>
      </c>
      <c r="L35" s="20" t="n">
        <v>0.08752351</v>
      </c>
      <c r="M35" s="18" t="n">
        <v>0</v>
      </c>
      <c r="N35" s="20" t="n">
        <v>0</v>
      </c>
      <c r="O35" s="18" t="n">
        <v>0</v>
      </c>
      <c r="P35" s="20" t="n">
        <v>0</v>
      </c>
      <c r="Q35" s="18" t="n">
        <v>3.04106591</v>
      </c>
      <c r="R35" s="20" t="n">
        <v>0.64513802</v>
      </c>
    </row>
    <row r="36" spans="1:18">
      <c r="A36" s="15" t="s">
        <v>378</v>
      </c>
      <c r="B36" s="17" t="n">
        <v>6736</v>
      </c>
      <c r="C36" s="18">
        <f>(5915.0/B36*100)</f>
        <v/>
      </c>
      <c r="D36" s="19" t="n">
        <v>821</v>
      </c>
      <c r="E36" s="18" t="n">
        <v>32.0182783</v>
      </c>
      <c r="F36" s="20" t="n">
        <v>1.71423774</v>
      </c>
      <c r="G36" s="18" t="n">
        <v>63.93116078</v>
      </c>
      <c r="H36" s="20" t="n">
        <v>1.72927419</v>
      </c>
      <c r="I36" s="18" t="s">
        <v>349</v>
      </c>
      <c r="J36" s="20" t="s">
        <v>349</v>
      </c>
      <c r="K36" s="18" t="n">
        <v>0.39025855</v>
      </c>
      <c r="L36" s="20" t="n">
        <v>0.21995721</v>
      </c>
      <c r="M36" s="18" t="n">
        <v>0</v>
      </c>
      <c r="N36" s="20" t="n">
        <v>0</v>
      </c>
      <c r="O36" s="18" t="n">
        <v>0</v>
      </c>
      <c r="P36" s="20" t="n">
        <v>0</v>
      </c>
      <c r="Q36" s="18" t="n">
        <v>3.66030236</v>
      </c>
      <c r="R36" s="20" t="n">
        <v>0.7116408400000001</v>
      </c>
    </row>
    <row r="37" spans="1:18">
      <c r="A37" s="15" t="s">
        <v>379</v>
      </c>
      <c r="B37" s="17" t="n">
        <v>5458</v>
      </c>
      <c r="C37" s="18">
        <f>(4784.0/B37*100)</f>
        <v/>
      </c>
      <c r="D37" s="19" t="n">
        <v>674</v>
      </c>
      <c r="E37" s="18" t="n">
        <v>30.09688654</v>
      </c>
      <c r="F37" s="20" t="n">
        <v>1.83808045</v>
      </c>
      <c r="G37" s="18" t="n">
        <v>64.78088352</v>
      </c>
      <c r="H37" s="20" t="n">
        <v>1.93288301</v>
      </c>
      <c r="I37" s="18" t="s">
        <v>349</v>
      </c>
      <c r="J37" s="20" t="s">
        <v>349</v>
      </c>
      <c r="K37" s="18" t="n">
        <v>0.70919683</v>
      </c>
      <c r="L37" s="20" t="n">
        <v>0.32092714</v>
      </c>
      <c r="M37" s="18" t="n">
        <v>0</v>
      </c>
      <c r="N37" s="20" t="n">
        <v>0</v>
      </c>
      <c r="O37" s="18" t="n">
        <v>0</v>
      </c>
      <c r="P37" s="20" t="n">
        <v>0</v>
      </c>
      <c r="Q37" s="18" t="n">
        <v>4.41303312</v>
      </c>
      <c r="R37" s="20" t="n">
        <v>0.851613</v>
      </c>
    </row>
    <row r="38" spans="1:18">
      <c r="A38" s="15" t="s">
        <v>380</v>
      </c>
      <c r="B38" s="17" t="n">
        <v>5860</v>
      </c>
      <c r="C38" s="18">
        <f>(4911.0/B38*100)</f>
        <v/>
      </c>
      <c r="D38" s="19" t="n">
        <v>949</v>
      </c>
      <c r="E38" s="18" t="n">
        <v>28.18700697</v>
      </c>
      <c r="F38" s="20" t="n">
        <v>1.71560122</v>
      </c>
      <c r="G38" s="18" t="n">
        <v>69.24449837</v>
      </c>
      <c r="H38" s="20" t="n">
        <v>1.83865306</v>
      </c>
      <c r="I38" s="18" t="s">
        <v>349</v>
      </c>
      <c r="J38" s="20" t="s">
        <v>349</v>
      </c>
      <c r="K38" s="18" t="n">
        <v>0.0886835</v>
      </c>
      <c r="L38" s="20" t="n">
        <v>0.08874650000000001</v>
      </c>
      <c r="M38" s="18" t="n">
        <v>0</v>
      </c>
      <c r="N38" s="20" t="n">
        <v>0</v>
      </c>
      <c r="O38" s="18" t="n">
        <v>0</v>
      </c>
      <c r="P38" s="20" t="n">
        <v>0</v>
      </c>
      <c r="Q38" s="18" t="n">
        <v>2.47981116</v>
      </c>
      <c r="R38" s="20" t="n">
        <v>0.59456144</v>
      </c>
    </row>
    <row r="39" spans="1:18">
      <c r="A39" s="15" t="s">
        <v>381</v>
      </c>
      <c r="B39" s="17" t="n">
        <v>5895</v>
      </c>
      <c r="C39" s="18">
        <f>(5170.0/B39*100)</f>
        <v/>
      </c>
      <c r="D39" s="19" t="n">
        <v>725</v>
      </c>
      <c r="E39" s="18" t="n">
        <v>47.69270666</v>
      </c>
      <c r="F39" s="20" t="n">
        <v>2.36914391</v>
      </c>
      <c r="G39" s="18" t="n">
        <v>48.63574347</v>
      </c>
      <c r="H39" s="20" t="n">
        <v>2.47110897</v>
      </c>
      <c r="I39" s="18" t="s">
        <v>349</v>
      </c>
      <c r="J39" s="20" t="s">
        <v>349</v>
      </c>
      <c r="K39" s="18" t="n">
        <v>0.17098664</v>
      </c>
      <c r="L39" s="20" t="n">
        <v>0.17053738</v>
      </c>
      <c r="M39" s="18" t="n">
        <v>0</v>
      </c>
      <c r="N39" s="20" t="n">
        <v>0</v>
      </c>
      <c r="O39" s="18" t="n">
        <v>0</v>
      </c>
      <c r="P39" s="20" t="n">
        <v>0</v>
      </c>
      <c r="Q39" s="18" t="n">
        <v>3.50056323</v>
      </c>
      <c r="R39" s="20" t="n">
        <v>0.7776754</v>
      </c>
    </row>
    <row r="40" spans="1:18">
      <c r="A40" s="15" t="s">
        <v>382</v>
      </c>
      <c r="B40" s="17" t="n">
        <v>14157</v>
      </c>
      <c r="C40" s="18">
        <f>(12417.0/B40*100)</f>
        <v/>
      </c>
      <c r="D40" s="19" t="n">
        <v>1740</v>
      </c>
      <c r="E40" s="18" t="n">
        <v>30.10416181</v>
      </c>
      <c r="F40" s="20" t="n">
        <v>1.60415824</v>
      </c>
      <c r="G40" s="18" t="n">
        <v>66.23047382999999</v>
      </c>
      <c r="H40" s="20" t="n">
        <v>1.85293194</v>
      </c>
      <c r="I40" s="18" t="s">
        <v>349</v>
      </c>
      <c r="J40" s="20" t="s">
        <v>349</v>
      </c>
      <c r="K40" s="18" t="n">
        <v>0.21008983</v>
      </c>
      <c r="L40" s="20" t="n">
        <v>0.22042437</v>
      </c>
      <c r="M40" s="18" t="n">
        <v>0</v>
      </c>
      <c r="N40" s="20" t="n">
        <v>0</v>
      </c>
      <c r="O40" s="18" t="n">
        <v>0</v>
      </c>
      <c r="P40" s="20" t="n">
        <v>0</v>
      </c>
      <c r="Q40" s="18" t="n">
        <v>3.45527452</v>
      </c>
      <c r="R40" s="20" t="n">
        <v>0.8300928</v>
      </c>
    </row>
    <row r="41" spans="1:18">
      <c r="A41" s="15" t="s">
        <v>383</v>
      </c>
      <c r="B41" s="17" t="n">
        <v>5712</v>
      </c>
      <c r="C41" s="18">
        <f>(5015.0/B41*100)</f>
        <v/>
      </c>
      <c r="D41" s="19" t="n">
        <v>697</v>
      </c>
      <c r="E41" s="18" t="n">
        <v>39.58406741</v>
      </c>
      <c r="F41" s="20" t="n">
        <v>1.95919433</v>
      </c>
      <c r="G41" s="18" t="n">
        <v>58.22670259</v>
      </c>
      <c r="H41" s="20" t="n">
        <v>2.05384568</v>
      </c>
      <c r="I41" s="18" t="s">
        <v>349</v>
      </c>
      <c r="J41" s="20" t="s">
        <v>349</v>
      </c>
      <c r="K41" s="18" t="n">
        <v>0.5501018</v>
      </c>
      <c r="L41" s="20" t="n">
        <v>0.43016166</v>
      </c>
      <c r="M41" s="18" t="n">
        <v>0</v>
      </c>
      <c r="N41" s="20" t="n">
        <v>0</v>
      </c>
      <c r="O41" s="18" t="n">
        <v>0</v>
      </c>
      <c r="P41" s="20" t="n">
        <v>0</v>
      </c>
      <c r="Q41" s="18" t="n">
        <v>1.6391282</v>
      </c>
      <c r="R41" s="20" t="n">
        <v>0.44988159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(20513.0/B46*100)</f>
        <v/>
      </c>
      <c r="D46" s="19" t="n">
        <v>2628</v>
      </c>
      <c r="E46" s="18" t="n">
        <v>53.27885877</v>
      </c>
      <c r="F46" s="20" t="n">
        <v>1.35436266</v>
      </c>
      <c r="G46" s="18" t="n">
        <v>38.90447576</v>
      </c>
      <c r="H46" s="20" t="n">
        <v>1.27845426</v>
      </c>
      <c r="I46" s="18" t="s">
        <v>349</v>
      </c>
      <c r="J46" s="20" t="s">
        <v>349</v>
      </c>
      <c r="K46" s="18" t="n">
        <v>0.48937585</v>
      </c>
      <c r="L46" s="20" t="n">
        <v>0.17925361</v>
      </c>
      <c r="M46" s="18" t="n">
        <v>0</v>
      </c>
      <c r="N46" s="20" t="n">
        <v>0</v>
      </c>
      <c r="O46" s="18" t="n">
        <v>0</v>
      </c>
      <c r="P46" s="20" t="n">
        <v>0</v>
      </c>
      <c r="Q46" s="18" t="n">
        <v>7.32728962</v>
      </c>
      <c r="R46" s="20" t="n">
        <v>0.71265593</v>
      </c>
    </row>
    <row r="47" spans="1:18">
      <c r="A47" s="15" t="s">
        <v>389</v>
      </c>
      <c r="B47" s="17" t="n">
        <v>5928</v>
      </c>
      <c r="C47" s="18">
        <f>(5202.0/B47*100)</f>
        <v/>
      </c>
      <c r="D47" s="19" t="n">
        <v>726</v>
      </c>
      <c r="E47" s="18" t="n">
        <v>37.9898095</v>
      </c>
      <c r="F47" s="20" t="n">
        <v>2.15256691</v>
      </c>
      <c r="G47" s="18" t="n">
        <v>55.6478939</v>
      </c>
      <c r="H47" s="20" t="n">
        <v>2.35208562</v>
      </c>
      <c r="I47" s="18" t="s">
        <v>349</v>
      </c>
      <c r="J47" s="20" t="s">
        <v>349</v>
      </c>
      <c r="K47" s="18" t="n">
        <v>0.38576174</v>
      </c>
      <c r="L47" s="20" t="n">
        <v>0.258192</v>
      </c>
      <c r="M47" s="18" t="n">
        <v>0</v>
      </c>
      <c r="N47" s="20" t="n">
        <v>0</v>
      </c>
      <c r="O47" s="18" t="n">
        <v>0</v>
      </c>
      <c r="P47" s="20" t="n">
        <v>0</v>
      </c>
      <c r="Q47" s="18" t="n">
        <v>5.97653486</v>
      </c>
      <c r="R47" s="20" t="n">
        <v>1.15320425</v>
      </c>
    </row>
    <row r="48" spans="1:18">
      <c r="A48" s="15" t="s">
        <v>390</v>
      </c>
      <c r="B48" s="17" t="n">
        <v>9841</v>
      </c>
      <c r="C48" s="18">
        <f>(8640.0/B48*100)</f>
        <v/>
      </c>
      <c r="D48" s="19" t="n">
        <v>1201</v>
      </c>
      <c r="E48" s="18" t="n">
        <v>30.85594632</v>
      </c>
      <c r="F48" s="20" t="n">
        <v>1.86499262</v>
      </c>
      <c r="G48" s="18" t="n">
        <v>67.34704395999999</v>
      </c>
      <c r="H48" s="20" t="n">
        <v>1.85617999</v>
      </c>
      <c r="I48" s="18" t="s">
        <v>349</v>
      </c>
      <c r="J48" s="20" t="s">
        <v>349</v>
      </c>
      <c r="K48" s="18" t="n">
        <v>0.12360591</v>
      </c>
      <c r="L48" s="20" t="n">
        <v>0.11622342</v>
      </c>
      <c r="M48" s="18" t="n">
        <v>0</v>
      </c>
      <c r="N48" s="20" t="n">
        <v>0</v>
      </c>
      <c r="O48" s="18" t="n">
        <v>0</v>
      </c>
      <c r="P48" s="20" t="n">
        <v>0</v>
      </c>
      <c r="Q48" s="18" t="n">
        <v>1.67340381</v>
      </c>
      <c r="R48" s="20" t="n">
        <v>0.50461404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(10338.0/B50*100)</f>
        <v/>
      </c>
      <c r="D50" s="19" t="n">
        <v>1457</v>
      </c>
      <c r="E50" s="18" t="n">
        <v>53.65777075</v>
      </c>
      <c r="F50" s="20" t="n">
        <v>1.85564647</v>
      </c>
      <c r="G50" s="18" t="n">
        <v>43.52022345</v>
      </c>
      <c r="H50" s="20" t="n">
        <v>1.77935231</v>
      </c>
      <c r="I50" s="18" t="s">
        <v>349</v>
      </c>
      <c r="J50" s="20" t="s">
        <v>349</v>
      </c>
      <c r="K50" s="18" t="n">
        <v>0.17107859</v>
      </c>
      <c r="L50" s="20" t="n">
        <v>0.15816321</v>
      </c>
      <c r="M50" s="18" t="n">
        <v>0</v>
      </c>
      <c r="N50" s="20" t="n">
        <v>0</v>
      </c>
      <c r="O50" s="18" t="n">
        <v>0</v>
      </c>
      <c r="P50" s="20" t="n">
        <v>0</v>
      </c>
      <c r="Q50" s="18" t="n">
        <v>2.6509272</v>
      </c>
      <c r="R50" s="20" t="n">
        <v>0.55025777</v>
      </c>
    </row>
    <row r="51" spans="1:18">
      <c r="A51" s="15" t="s">
        <v>393</v>
      </c>
      <c r="B51" s="17" t="n">
        <v>6866</v>
      </c>
      <c r="C51" s="18">
        <f>(6107.0/B51*100)</f>
        <v/>
      </c>
      <c r="D51" s="19" t="n">
        <v>759</v>
      </c>
      <c r="E51" s="18" t="n">
        <v>49.31622307</v>
      </c>
      <c r="F51" s="20" t="n">
        <v>1.99272464</v>
      </c>
      <c r="G51" s="18" t="n">
        <v>46.45637833</v>
      </c>
      <c r="H51" s="20" t="n">
        <v>1.88498392</v>
      </c>
      <c r="I51" s="18" t="s">
        <v>349</v>
      </c>
      <c r="J51" s="20" t="s">
        <v>349</v>
      </c>
      <c r="K51" s="18" t="n">
        <v>0</v>
      </c>
      <c r="L51" s="20" t="n">
        <v>0</v>
      </c>
      <c r="M51" s="18" t="n">
        <v>0</v>
      </c>
      <c r="N51" s="20" t="n">
        <v>0</v>
      </c>
      <c r="O51" s="18" t="n">
        <v>0</v>
      </c>
      <c r="P51" s="20" t="n">
        <v>0</v>
      </c>
      <c r="Q51" s="18" t="n">
        <v>4.22739861</v>
      </c>
      <c r="R51" s="20" t="n">
        <v>0.7925335999999999</v>
      </c>
    </row>
    <row r="52" spans="1:18">
      <c r="A52" s="15" t="s">
        <v>394</v>
      </c>
      <c r="B52" s="17" t="n">
        <v>5809</v>
      </c>
      <c r="C52" s="18">
        <f>(5096.0/B52*100)</f>
        <v/>
      </c>
      <c r="D52" s="19" t="n">
        <v>713</v>
      </c>
      <c r="E52" s="18" t="n">
        <v>32.82742684</v>
      </c>
      <c r="F52" s="20" t="n">
        <v>1.80597277</v>
      </c>
      <c r="G52" s="18" t="n">
        <v>62.62747379</v>
      </c>
      <c r="H52" s="20" t="n">
        <v>1.896947</v>
      </c>
      <c r="I52" s="18" t="s">
        <v>349</v>
      </c>
      <c r="J52" s="20" t="s">
        <v>349</v>
      </c>
      <c r="K52" s="18" t="n">
        <v>0</v>
      </c>
      <c r="L52" s="20" t="n">
        <v>0</v>
      </c>
      <c r="M52" s="18" t="n">
        <v>0</v>
      </c>
      <c r="N52" s="20" t="n">
        <v>0</v>
      </c>
      <c r="O52" s="18" t="n">
        <v>0</v>
      </c>
      <c r="P52" s="20" t="n">
        <v>0</v>
      </c>
      <c r="Q52" s="18" t="n">
        <v>4.54509937</v>
      </c>
      <c r="R52" s="20" t="n">
        <v>0.7650517</v>
      </c>
    </row>
    <row r="53" spans="1:18">
      <c r="A53" s="15" t="s">
        <v>395</v>
      </c>
      <c r="B53" s="17" t="n">
        <v>5571</v>
      </c>
      <c r="C53" s="18">
        <f>(4873.0/B53*100)</f>
        <v/>
      </c>
      <c r="D53" s="19" t="n">
        <v>698</v>
      </c>
      <c r="E53" s="18" t="n">
        <v>42.04221859</v>
      </c>
      <c r="F53" s="20" t="n">
        <v>2.0617199</v>
      </c>
      <c r="G53" s="18" t="n">
        <v>53.59853764</v>
      </c>
      <c r="H53" s="20" t="n">
        <v>1.94283301</v>
      </c>
      <c r="I53" s="18" t="s">
        <v>349</v>
      </c>
      <c r="J53" s="20" t="s">
        <v>349</v>
      </c>
      <c r="K53" s="18" t="n">
        <v>0.20617043</v>
      </c>
      <c r="L53" s="20" t="n">
        <v>0.14615826</v>
      </c>
      <c r="M53" s="18" t="n">
        <v>0</v>
      </c>
      <c r="N53" s="20" t="n">
        <v>0</v>
      </c>
      <c r="O53" s="18" t="n">
        <v>0</v>
      </c>
      <c r="P53" s="20" t="n">
        <v>0</v>
      </c>
      <c r="Q53" s="18" t="n">
        <v>4.15307334</v>
      </c>
      <c r="R53" s="20" t="n">
        <v>0.7014575</v>
      </c>
    </row>
    <row r="54" spans="1:18">
      <c r="A54" s="15" t="s">
        <v>396</v>
      </c>
      <c r="B54" s="17" t="n">
        <v>4740</v>
      </c>
      <c r="C54" s="18">
        <f>(3964.0/B54*100)</f>
        <v/>
      </c>
      <c r="D54" s="19" t="n">
        <v>776</v>
      </c>
      <c r="E54" s="18" t="n">
        <v>61.01418214</v>
      </c>
      <c r="F54" s="20" t="n">
        <v>1.95678874</v>
      </c>
      <c r="G54" s="18" t="n">
        <v>21.5336008</v>
      </c>
      <c r="H54" s="20" t="n">
        <v>1.5174925</v>
      </c>
      <c r="I54" s="18" t="s">
        <v>349</v>
      </c>
      <c r="J54" s="20" t="s">
        <v>349</v>
      </c>
      <c r="K54" s="18" t="n">
        <v>4.68231868</v>
      </c>
      <c r="L54" s="20" t="n">
        <v>0.93975005</v>
      </c>
      <c r="M54" s="18" t="n">
        <v>0</v>
      </c>
      <c r="N54" s="20" t="n">
        <v>0</v>
      </c>
      <c r="O54" s="18" t="n">
        <v>0</v>
      </c>
      <c r="P54" s="20" t="n">
        <v>0</v>
      </c>
      <c r="Q54" s="18" t="n">
        <v>12.76989837</v>
      </c>
      <c r="R54" s="20" t="n">
        <v>1.32629119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(4699.0/B56*100)</f>
        <v/>
      </c>
      <c r="D56" s="19" t="n">
        <v>660</v>
      </c>
      <c r="E56" s="18" t="n">
        <v>26.38813836</v>
      </c>
      <c r="F56" s="20" t="n">
        <v>1.79926196</v>
      </c>
      <c r="G56" s="18" t="n">
        <v>72.60041851</v>
      </c>
      <c r="H56" s="20" t="n">
        <v>1.83549904</v>
      </c>
      <c r="I56" s="18" t="s">
        <v>349</v>
      </c>
      <c r="J56" s="20" t="s">
        <v>349</v>
      </c>
      <c r="K56" s="18" t="n">
        <v>0.13897241</v>
      </c>
      <c r="L56" s="20" t="n">
        <v>0.15489439</v>
      </c>
      <c r="M56" s="18" t="n">
        <v>0</v>
      </c>
      <c r="N56" s="20" t="n">
        <v>0</v>
      </c>
      <c r="O56" s="18" t="n">
        <v>0</v>
      </c>
      <c r="P56" s="20" t="n">
        <v>0</v>
      </c>
      <c r="Q56" s="18" t="n">
        <v>0.87247072</v>
      </c>
      <c r="R56" s="20" t="n">
        <v>0.34940625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(5741.0/B61*100)</f>
        <v/>
      </c>
      <c r="D61" s="19" t="n">
        <v>784</v>
      </c>
      <c r="E61" s="18" t="n">
        <v>34.68788179</v>
      </c>
      <c r="F61" s="20" t="n">
        <v>1.72813838</v>
      </c>
      <c r="G61" s="18" t="n">
        <v>61.51777717</v>
      </c>
      <c r="H61" s="20" t="n">
        <v>1.77724476</v>
      </c>
      <c r="I61" s="18" t="s">
        <v>349</v>
      </c>
      <c r="J61" s="20" t="s">
        <v>349</v>
      </c>
      <c r="K61" s="18" t="n">
        <v>0</v>
      </c>
      <c r="L61" s="20" t="n">
        <v>0</v>
      </c>
      <c r="M61" s="18" t="n">
        <v>0</v>
      </c>
      <c r="N61" s="20" t="n">
        <v>0</v>
      </c>
      <c r="O61" s="18" t="n">
        <v>0</v>
      </c>
      <c r="P61" s="20" t="n">
        <v>0</v>
      </c>
      <c r="Q61" s="18" t="n">
        <v>3.79434104</v>
      </c>
      <c r="R61" s="20" t="n">
        <v>0.85046545</v>
      </c>
    </row>
    <row r="62" spans="1:18">
      <c r="A62" s="15" t="s">
        <v>404</v>
      </c>
      <c r="B62" s="17" t="n">
        <v>4476</v>
      </c>
      <c r="C62" s="18">
        <f>(3943.0/B62*100)</f>
        <v/>
      </c>
      <c r="D62" s="19" t="n">
        <v>533</v>
      </c>
      <c r="E62" s="18" t="n">
        <v>27.001444</v>
      </c>
      <c r="F62" s="20" t="n">
        <v>2.0032932</v>
      </c>
      <c r="G62" s="18" t="n">
        <v>72.43476511999999</v>
      </c>
      <c r="H62" s="20" t="n">
        <v>2.01654209</v>
      </c>
      <c r="I62" s="18" t="s">
        <v>349</v>
      </c>
      <c r="J62" s="20" t="s">
        <v>349</v>
      </c>
      <c r="K62" s="18" t="n">
        <v>0</v>
      </c>
      <c r="L62" s="20" t="n">
        <v>0</v>
      </c>
      <c r="M62" s="18" t="n">
        <v>0</v>
      </c>
      <c r="N62" s="20" t="n">
        <v>0</v>
      </c>
      <c r="O62" s="18" t="n">
        <v>0</v>
      </c>
      <c r="P62" s="20" t="n">
        <v>0</v>
      </c>
      <c r="Q62" s="18" t="n">
        <v>0.56379088</v>
      </c>
      <c r="R62" s="20" t="n">
        <v>0.32241972</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(4957.0/B66*100)</f>
        <v/>
      </c>
      <c r="D66" s="19" t="n">
        <v>708</v>
      </c>
      <c r="E66" s="18" t="n">
        <v>41.48162286</v>
      </c>
      <c r="F66" s="20" t="n">
        <v>1.71321435</v>
      </c>
      <c r="G66" s="18" t="n">
        <v>45.907401</v>
      </c>
      <c r="H66" s="20" t="n">
        <v>1.58564507</v>
      </c>
      <c r="I66" s="18" t="s">
        <v>349</v>
      </c>
      <c r="J66" s="20" t="s">
        <v>349</v>
      </c>
      <c r="K66" s="18" t="n">
        <v>0.13732039</v>
      </c>
      <c r="L66" s="20" t="n">
        <v>0.13785525</v>
      </c>
      <c r="M66" s="18" t="n">
        <v>0</v>
      </c>
      <c r="N66" s="20" t="n">
        <v>0</v>
      </c>
      <c r="O66" s="18" t="n">
        <v>0</v>
      </c>
      <c r="P66" s="20" t="n">
        <v>0</v>
      </c>
      <c r="Q66" s="18" t="n">
        <v>12.47365575</v>
      </c>
      <c r="R66" s="20" t="n">
        <v>1.38129881</v>
      </c>
    </row>
    <row r="67" spans="1:18">
      <c r="A67" s="15" t="s">
        <v>409</v>
      </c>
      <c r="B67" s="17" t="n">
        <v>6971</v>
      </c>
      <c r="C67" s="18">
        <f>(6140.0/B67*100)</f>
        <v/>
      </c>
      <c r="D67" s="19" t="n">
        <v>831</v>
      </c>
      <c r="E67" s="18" t="n">
        <v>51.96159517</v>
      </c>
      <c r="F67" s="20" t="n">
        <v>1.93214698</v>
      </c>
      <c r="G67" s="18" t="n">
        <v>41.06975529</v>
      </c>
      <c r="H67" s="20" t="n">
        <v>1.78517656</v>
      </c>
      <c r="I67" s="18" t="s">
        <v>349</v>
      </c>
      <c r="J67" s="20" t="s">
        <v>349</v>
      </c>
      <c r="K67" s="18" t="n">
        <v>0</v>
      </c>
      <c r="L67" s="20" t="n">
        <v>0</v>
      </c>
      <c r="M67" s="18" t="n">
        <v>0</v>
      </c>
      <c r="N67" s="20" t="n">
        <v>0</v>
      </c>
      <c r="O67" s="18" t="n">
        <v>0</v>
      </c>
      <c r="P67" s="20" t="n">
        <v>0</v>
      </c>
      <c r="Q67" s="18" t="n">
        <v>6.96864954</v>
      </c>
      <c r="R67" s="20" t="n">
        <v>0.77984395</v>
      </c>
    </row>
    <row r="68" spans="1:18">
      <c r="A68" s="15" t="s">
        <v>410</v>
      </c>
      <c r="B68" s="17" t="n">
        <v>12083</v>
      </c>
      <c r="C68" s="18">
        <f>(10091.0/B68*100)</f>
        <v/>
      </c>
      <c r="D68" s="19" t="n">
        <v>1992</v>
      </c>
      <c r="E68" s="18" t="n">
        <v>58.30963096</v>
      </c>
      <c r="F68" s="20" t="n">
        <v>1.17356489</v>
      </c>
      <c r="G68" s="18" t="n">
        <v>33.56611563</v>
      </c>
      <c r="H68" s="20" t="n">
        <v>1.14815613</v>
      </c>
      <c r="I68" s="18" t="s">
        <v>349</v>
      </c>
      <c r="J68" s="20" t="s">
        <v>349</v>
      </c>
      <c r="K68" s="18" t="n">
        <v>0.9194915299999999</v>
      </c>
      <c r="L68" s="20" t="n">
        <v>0.19617928</v>
      </c>
      <c r="M68" s="18" t="n">
        <v>0</v>
      </c>
      <c r="N68" s="20" t="n">
        <v>0</v>
      </c>
      <c r="O68" s="18" t="n">
        <v>0</v>
      </c>
      <c r="P68" s="20" t="n">
        <v>0</v>
      </c>
      <c r="Q68" s="18" t="n">
        <v>7.20476188</v>
      </c>
      <c r="R68" s="20" t="n">
        <v>0.54463139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(5310.0/B70*100)</f>
        <v/>
      </c>
      <c r="D70" s="19" t="n">
        <v>726</v>
      </c>
      <c r="E70" s="18" t="n">
        <v>35.36081722</v>
      </c>
      <c r="F70" s="20" t="n">
        <v>1.95787916</v>
      </c>
      <c r="G70" s="18" t="n">
        <v>62.78334489</v>
      </c>
      <c r="H70" s="20" t="n">
        <v>2.10098899</v>
      </c>
      <c r="I70" s="18" t="s">
        <v>349</v>
      </c>
      <c r="J70" s="20" t="s">
        <v>349</v>
      </c>
      <c r="K70" s="18" t="n">
        <v>0.07197705</v>
      </c>
      <c r="L70" s="20" t="n">
        <v>0.05107142</v>
      </c>
      <c r="M70" s="18" t="n">
        <v>0</v>
      </c>
      <c r="N70" s="20" t="n">
        <v>0</v>
      </c>
      <c r="O70" s="18" t="n">
        <v>0</v>
      </c>
      <c r="P70" s="20" t="n">
        <v>0</v>
      </c>
      <c r="Q70" s="18" t="n">
        <v>1.78386084</v>
      </c>
      <c r="R70" s="20" t="n">
        <v>0.40594109</v>
      </c>
    </row>
    <row r="71" spans="1:18">
      <c r="A71" s="15" t="s">
        <v>413</v>
      </c>
      <c r="B71" s="17" t="n">
        <v>6115</v>
      </c>
      <c r="C71" s="18">
        <f>(5375.0/B71*100)</f>
        <v/>
      </c>
      <c r="D71" s="19" t="n">
        <v>740</v>
      </c>
      <c r="E71" s="18" t="n">
        <v>20.20236994</v>
      </c>
      <c r="F71" s="20" t="n">
        <v>1.43832615</v>
      </c>
      <c r="G71" s="18" t="n">
        <v>78.77802583</v>
      </c>
      <c r="H71" s="20" t="n">
        <v>1.47144232</v>
      </c>
      <c r="I71" s="18" t="s">
        <v>349</v>
      </c>
      <c r="J71" s="20" t="s">
        <v>349</v>
      </c>
      <c r="K71" s="18" t="n">
        <v>0.10900369</v>
      </c>
      <c r="L71" s="20" t="n">
        <v>0.10906969</v>
      </c>
      <c r="M71" s="18" t="n">
        <v>0</v>
      </c>
      <c r="N71" s="20" t="n">
        <v>0</v>
      </c>
      <c r="O71" s="18" t="n">
        <v>0</v>
      </c>
      <c r="P71" s="20" t="n">
        <v>0</v>
      </c>
      <c r="Q71" s="18" t="n">
        <v>0.91060054</v>
      </c>
      <c r="R71" s="20" t="n">
        <v>0.29257368</v>
      </c>
    </row>
    <row r="72" spans="1:18">
      <c r="A72" s="15" t="s">
        <v>414</v>
      </c>
      <c r="B72" s="17" t="n">
        <v>7708</v>
      </c>
      <c r="C72" s="18">
        <f>(6767.0/B72*100)</f>
        <v/>
      </c>
      <c r="D72" s="19" t="n">
        <v>941</v>
      </c>
      <c r="E72" s="18" t="n">
        <v>24.50579609</v>
      </c>
      <c r="F72" s="20" t="n">
        <v>1.45087321</v>
      </c>
      <c r="G72" s="18" t="n">
        <v>73.39702625</v>
      </c>
      <c r="H72" s="20" t="n">
        <v>1.56781432</v>
      </c>
      <c r="I72" s="18" t="s">
        <v>349</v>
      </c>
      <c r="J72" s="20" t="s">
        <v>349</v>
      </c>
      <c r="K72" s="18" t="n">
        <v>0.14264832</v>
      </c>
      <c r="L72" s="20" t="n">
        <v>0.14316739</v>
      </c>
      <c r="M72" s="18" t="n">
        <v>0</v>
      </c>
      <c r="N72" s="20" t="n">
        <v>0</v>
      </c>
      <c r="O72" s="18" t="n">
        <v>0</v>
      </c>
      <c r="P72" s="20" t="n">
        <v>0</v>
      </c>
      <c r="Q72" s="18" t="n">
        <v>1.95452934</v>
      </c>
      <c r="R72" s="20" t="n">
        <v>0.44990897</v>
      </c>
    </row>
    <row r="73" spans="1:18">
      <c r="A73" s="15" t="s">
        <v>415</v>
      </c>
      <c r="B73" s="17" t="n">
        <v>8249</v>
      </c>
      <c r="C73" s="18">
        <f>(7210.0/B73*100)</f>
        <v/>
      </c>
      <c r="D73" s="19" t="n">
        <v>1039</v>
      </c>
      <c r="E73" s="18" t="n">
        <v>53.10060075</v>
      </c>
      <c r="F73" s="20" t="n">
        <v>2.13228474</v>
      </c>
      <c r="G73" s="18" t="n">
        <v>45.25668687</v>
      </c>
      <c r="H73" s="20" t="n">
        <v>2.05034346</v>
      </c>
      <c r="I73" s="18" t="s">
        <v>349</v>
      </c>
      <c r="J73" s="20" t="s">
        <v>349</v>
      </c>
      <c r="K73" s="18" t="n">
        <v>0.03377651</v>
      </c>
      <c r="L73" s="20" t="n">
        <v>0.03559073</v>
      </c>
      <c r="M73" s="18" t="n">
        <v>0</v>
      </c>
      <c r="N73" s="20" t="n">
        <v>0</v>
      </c>
      <c r="O73" s="18" t="n">
        <v>0</v>
      </c>
      <c r="P73" s="20" t="n">
        <v>0</v>
      </c>
      <c r="Q73" s="18" t="n">
        <v>1.60893586</v>
      </c>
      <c r="R73" s="20" t="n">
        <v>0.48301966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(4767.0/B75*100)</f>
        <v/>
      </c>
      <c r="D75" s="19" t="n">
        <v>608</v>
      </c>
      <c r="E75" s="18" t="n">
        <v>60.47342529</v>
      </c>
      <c r="F75" s="20" t="n">
        <v>2.18421386</v>
      </c>
      <c r="G75" s="18" t="n">
        <v>32.2941071</v>
      </c>
      <c r="H75" s="20" t="n">
        <v>2.20560097</v>
      </c>
      <c r="I75" s="18" t="s">
        <v>349</v>
      </c>
      <c r="J75" s="20" t="s">
        <v>349</v>
      </c>
      <c r="K75" s="18" t="n">
        <v>0.74555395</v>
      </c>
      <c r="L75" s="20" t="n">
        <v>0.30136877</v>
      </c>
      <c r="M75" s="18" t="n">
        <v>0</v>
      </c>
      <c r="N75" s="20" t="n">
        <v>0</v>
      </c>
      <c r="O75" s="18" t="n">
        <v>0</v>
      </c>
      <c r="P75" s="20" t="n">
        <v>0</v>
      </c>
      <c r="Q75" s="18" t="n">
        <v>6.48691365</v>
      </c>
      <c r="R75" s="20" t="n">
        <v>1.08444546</v>
      </c>
    </row>
    <row r="76" spans="1:18">
      <c r="A76" s="15" t="s">
        <v>418</v>
      </c>
      <c r="B76" s="17" t="n">
        <v>14167</v>
      </c>
      <c r="C76" s="18">
        <f>(12466.0/B76*100)</f>
        <v/>
      </c>
      <c r="D76" s="19" t="n">
        <v>1701</v>
      </c>
      <c r="E76" s="18" t="n">
        <v>54.05539702</v>
      </c>
      <c r="F76" s="20" t="n">
        <v>1.79500938</v>
      </c>
      <c r="G76" s="18" t="n">
        <v>41.48661782</v>
      </c>
      <c r="H76" s="20" t="n">
        <v>1.78635486</v>
      </c>
      <c r="I76" s="18" t="s">
        <v>349</v>
      </c>
      <c r="J76" s="20" t="s">
        <v>349</v>
      </c>
      <c r="K76" s="18" t="n">
        <v>0.81860719</v>
      </c>
      <c r="L76" s="20" t="n">
        <v>0.23639714</v>
      </c>
      <c r="M76" s="18" t="n">
        <v>0</v>
      </c>
      <c r="N76" s="20" t="n">
        <v>0</v>
      </c>
      <c r="O76" s="18" t="n">
        <v>0</v>
      </c>
      <c r="P76" s="20" t="n">
        <v>0</v>
      </c>
      <c r="Q76" s="18" t="n">
        <v>3.63937798</v>
      </c>
      <c r="R76" s="20" t="n">
        <v>0.59135853</v>
      </c>
    </row>
    <row r="77" spans="1:18">
      <c r="A77" s="15" t="s">
        <v>419</v>
      </c>
      <c r="B77" s="17" t="n">
        <v>6062</v>
      </c>
      <c r="C77" s="18">
        <f>(5327.0/B77*100)</f>
        <v/>
      </c>
      <c r="D77" s="19" t="n">
        <v>735</v>
      </c>
      <c r="E77" s="18" t="n">
        <v>41.35237975</v>
      </c>
      <c r="F77" s="20" t="n">
        <v>1.97075191</v>
      </c>
      <c r="G77" s="18" t="n">
        <v>51.26340519</v>
      </c>
      <c r="H77" s="20" t="n">
        <v>1.98467667</v>
      </c>
      <c r="I77" s="18" t="s">
        <v>349</v>
      </c>
      <c r="J77" s="20" t="s">
        <v>349</v>
      </c>
      <c r="K77" s="18" t="n">
        <v>0.18324307</v>
      </c>
      <c r="L77" s="20" t="n">
        <v>0.1269816</v>
      </c>
      <c r="M77" s="18" t="n">
        <v>0</v>
      </c>
      <c r="N77" s="20" t="n">
        <v>0</v>
      </c>
      <c r="O77" s="18" t="n">
        <v>0</v>
      </c>
      <c r="P77" s="20" t="n">
        <v>0</v>
      </c>
      <c r="Q77" s="18" t="n">
        <v>7.20097199</v>
      </c>
      <c r="R77" s="20" t="n">
        <v>1.13450463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(7768.0/B81*100)</f>
        <v/>
      </c>
      <c r="D81" s="19" t="n">
        <v>1093</v>
      </c>
      <c r="E81" s="18" t="n">
        <v>47.33274459</v>
      </c>
      <c r="F81" s="20" t="n">
        <v>1.94934013</v>
      </c>
      <c r="G81" s="18" t="n">
        <v>51.29504138</v>
      </c>
      <c r="H81" s="20" t="n">
        <v>2.00546787</v>
      </c>
      <c r="I81" s="18" t="s">
        <v>349</v>
      </c>
      <c r="J81" s="20" t="s">
        <v>349</v>
      </c>
      <c r="K81" s="18" t="n">
        <v>0.13204615</v>
      </c>
      <c r="L81" s="20" t="n">
        <v>0.33637198</v>
      </c>
      <c r="M81" s="18" t="n">
        <v>0</v>
      </c>
      <c r="N81" s="20" t="n">
        <v>0</v>
      </c>
      <c r="O81" s="18" t="n">
        <v>0</v>
      </c>
      <c r="P81" s="20" t="n">
        <v>0</v>
      </c>
      <c r="Q81" s="18" t="n">
        <v>1.24016788</v>
      </c>
      <c r="R81" s="20" t="n">
        <v>0.48248767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(12824.0/B7*100)</f>
        <v/>
      </c>
      <c r="D7" s="19" t="n">
        <v>1706</v>
      </c>
      <c r="E7" s="18" t="n">
        <v>13.62631386</v>
      </c>
      <c r="F7" s="20" t="n">
        <v>0.98178094</v>
      </c>
      <c r="G7" s="18" t="n">
        <v>85.67681042</v>
      </c>
      <c r="H7" s="20" t="n">
        <v>1.03801195</v>
      </c>
      <c r="I7" s="18" t="s">
        <v>349</v>
      </c>
      <c r="J7" s="20" t="s">
        <v>349</v>
      </c>
      <c r="K7" s="18" t="n">
        <v>0.20700733</v>
      </c>
      <c r="L7" s="20" t="n">
        <v>0.12859172</v>
      </c>
      <c r="M7" s="18" t="n">
        <v>0</v>
      </c>
      <c r="N7" s="20" t="n">
        <v>0</v>
      </c>
      <c r="O7" s="18" t="n">
        <v>0</v>
      </c>
      <c r="P7" s="20" t="n">
        <v>0</v>
      </c>
      <c r="Q7" s="18" t="n">
        <v>0.48986839</v>
      </c>
      <c r="R7" s="20" t="n">
        <v>0.21085412</v>
      </c>
    </row>
    <row r="8" spans="1:18">
      <c r="A8" s="15" t="s">
        <v>350</v>
      </c>
      <c r="B8" s="17" t="n">
        <v>7007</v>
      </c>
      <c r="C8" s="18">
        <f>(6171.0/B8*100)</f>
        <v/>
      </c>
      <c r="D8" s="19" t="n">
        <v>836</v>
      </c>
      <c r="E8" s="18" t="n">
        <v>32.1808877</v>
      </c>
      <c r="F8" s="20" t="n">
        <v>1.96492631</v>
      </c>
      <c r="G8" s="18" t="n">
        <v>67.61967141</v>
      </c>
      <c r="H8" s="20" t="n">
        <v>1.96091929</v>
      </c>
      <c r="I8" s="18" t="s">
        <v>349</v>
      </c>
      <c r="J8" s="20" t="s">
        <v>349</v>
      </c>
      <c r="K8" s="18" t="n">
        <v>0</v>
      </c>
      <c r="L8" s="20" t="n">
        <v>0</v>
      </c>
      <c r="M8" s="18" t="n">
        <v>0</v>
      </c>
      <c r="N8" s="20" t="n">
        <v>0</v>
      </c>
      <c r="O8" s="18" t="n">
        <v>0</v>
      </c>
      <c r="P8" s="20" t="n">
        <v>0</v>
      </c>
      <c r="Q8" s="18" t="n">
        <v>0.19944089</v>
      </c>
      <c r="R8" s="20" t="n">
        <v>0.12193689</v>
      </c>
    </row>
    <row r="9" spans="1:18">
      <c r="A9" s="15" t="s">
        <v>351</v>
      </c>
      <c r="B9" s="17" t="n">
        <v>9651</v>
      </c>
      <c r="C9" s="18">
        <f>(8500.0/B9*100)</f>
        <v/>
      </c>
      <c r="D9" s="19" t="n">
        <v>1151</v>
      </c>
      <c r="E9" s="18" t="n">
        <v>21.73360232</v>
      </c>
      <c r="F9" s="20" t="n">
        <v>1.37098356</v>
      </c>
      <c r="G9" s="18" t="n">
        <v>77.43874725000001</v>
      </c>
      <c r="H9" s="20" t="n">
        <v>1.37229795</v>
      </c>
      <c r="I9" s="18" t="s">
        <v>349</v>
      </c>
      <c r="J9" s="20" t="s">
        <v>349</v>
      </c>
      <c r="K9" s="18" t="n">
        <v>0.29529348</v>
      </c>
      <c r="L9" s="20" t="n">
        <v>0.22673967</v>
      </c>
      <c r="M9" s="18" t="n">
        <v>0</v>
      </c>
      <c r="N9" s="20" t="n">
        <v>0</v>
      </c>
      <c r="O9" s="18" t="n">
        <v>0</v>
      </c>
      <c r="P9" s="20" t="n">
        <v>0</v>
      </c>
      <c r="Q9" s="18" t="n">
        <v>0.5323569500000001</v>
      </c>
      <c r="R9" s="20" t="n">
        <v>0.22312997</v>
      </c>
    </row>
    <row r="10" spans="1:18">
      <c r="A10" s="15" t="s">
        <v>352</v>
      </c>
      <c r="B10" s="17" t="n">
        <v>20058</v>
      </c>
      <c r="C10" s="18">
        <f>(17588.0/B10*100)</f>
        <v/>
      </c>
      <c r="D10" s="19" t="n">
        <v>2470</v>
      </c>
      <c r="E10" s="18" t="n">
        <v>19.37339859</v>
      </c>
      <c r="F10" s="20" t="n">
        <v>1.11620904</v>
      </c>
      <c r="G10" s="18" t="n">
        <v>80.19312969000001</v>
      </c>
      <c r="H10" s="20" t="n">
        <v>1.14005632</v>
      </c>
      <c r="I10" s="18" t="s">
        <v>349</v>
      </c>
      <c r="J10" s="20" t="s">
        <v>349</v>
      </c>
      <c r="K10" s="18" t="n">
        <v>0.17025142</v>
      </c>
      <c r="L10" s="20" t="n">
        <v>0.11157464</v>
      </c>
      <c r="M10" s="18" t="n">
        <v>0</v>
      </c>
      <c r="N10" s="20" t="n">
        <v>0</v>
      </c>
      <c r="O10" s="18" t="n">
        <v>0</v>
      </c>
      <c r="P10" s="20" t="n">
        <v>0</v>
      </c>
      <c r="Q10" s="18" t="n">
        <v>0.26322031</v>
      </c>
      <c r="R10" s="20" t="n">
        <v>0.14781804</v>
      </c>
    </row>
    <row r="11" spans="1:18">
      <c r="A11" s="15" t="s">
        <v>353</v>
      </c>
      <c r="B11" s="17" t="n">
        <v>7053</v>
      </c>
      <c r="C11" s="18">
        <f>(6207.0/B11*100)</f>
        <v/>
      </c>
      <c r="D11" s="19" t="n">
        <v>846</v>
      </c>
      <c r="E11" s="18" t="n">
        <v>25.58752244</v>
      </c>
      <c r="F11" s="20" t="n">
        <v>1.63429993</v>
      </c>
      <c r="G11" s="18" t="n">
        <v>73.83078088000001</v>
      </c>
      <c r="H11" s="20" t="n">
        <v>1.64030802</v>
      </c>
      <c r="I11" s="18" t="s">
        <v>349</v>
      </c>
      <c r="J11" s="20" t="s">
        <v>349</v>
      </c>
      <c r="K11" s="18" t="n">
        <v>0.14062786</v>
      </c>
      <c r="L11" s="20" t="n">
        <v>0.12127869</v>
      </c>
      <c r="M11" s="18" t="n">
        <v>0</v>
      </c>
      <c r="N11" s="20" t="n">
        <v>0</v>
      </c>
      <c r="O11" s="18" t="n">
        <v>0</v>
      </c>
      <c r="P11" s="20" t="n">
        <v>0</v>
      </c>
      <c r="Q11" s="18" t="n">
        <v>0.44106882</v>
      </c>
      <c r="R11" s="20" t="n">
        <v>0.24116861</v>
      </c>
    </row>
    <row r="12" spans="1:18">
      <c r="A12" s="15" t="s">
        <v>354</v>
      </c>
      <c r="B12" s="17" t="n">
        <v>6894</v>
      </c>
      <c r="C12" s="18">
        <f>(6059.0/B12*100)</f>
        <v/>
      </c>
      <c r="D12" s="19" t="n">
        <v>835</v>
      </c>
      <c r="E12" s="18" t="n">
        <v>30.25275649</v>
      </c>
      <c r="F12" s="20" t="n">
        <v>1.86875214</v>
      </c>
      <c r="G12" s="18" t="n">
        <v>69.5092351</v>
      </c>
      <c r="H12" s="20" t="n">
        <v>1.84812441</v>
      </c>
      <c r="I12" s="18" t="s">
        <v>349</v>
      </c>
      <c r="J12" s="20" t="s">
        <v>349</v>
      </c>
      <c r="K12" s="18" t="n">
        <v>0</v>
      </c>
      <c r="L12" s="20" t="n">
        <v>0</v>
      </c>
      <c r="M12" s="18" t="n">
        <v>0</v>
      </c>
      <c r="N12" s="20" t="n">
        <v>0</v>
      </c>
      <c r="O12" s="18" t="n">
        <v>0</v>
      </c>
      <c r="P12" s="20" t="n">
        <v>0</v>
      </c>
      <c r="Q12" s="18" t="n">
        <v>0.23800841</v>
      </c>
      <c r="R12" s="20" t="n">
        <v>0.21621976</v>
      </c>
    </row>
    <row r="13" spans="1:18">
      <c r="A13" s="15" t="s">
        <v>355</v>
      </c>
      <c r="B13" s="17" t="n">
        <v>7161</v>
      </c>
      <c r="C13" s="18">
        <f>(6332.0/B13*100)</f>
        <v/>
      </c>
      <c r="D13" s="19" t="n">
        <v>829</v>
      </c>
      <c r="E13" s="18" t="n">
        <v>14.47730921</v>
      </c>
      <c r="F13" s="20" t="n">
        <v>1.39095683</v>
      </c>
      <c r="G13" s="18" t="n">
        <v>84.60938066</v>
      </c>
      <c r="H13" s="20" t="n">
        <v>1.47642049</v>
      </c>
      <c r="I13" s="18" t="s">
        <v>349</v>
      </c>
      <c r="J13" s="20" t="s">
        <v>349</v>
      </c>
      <c r="K13" s="18" t="n">
        <v>0.33885255</v>
      </c>
      <c r="L13" s="20" t="n">
        <v>0.19581607</v>
      </c>
      <c r="M13" s="18" t="n">
        <v>0</v>
      </c>
      <c r="N13" s="20" t="n">
        <v>0</v>
      </c>
      <c r="O13" s="18" t="n">
        <v>0</v>
      </c>
      <c r="P13" s="20" t="n">
        <v>0</v>
      </c>
      <c r="Q13" s="18" t="n">
        <v>0.57445758</v>
      </c>
      <c r="R13" s="20" t="n">
        <v>0.31609569</v>
      </c>
    </row>
    <row r="14" spans="1:18">
      <c r="A14" s="15" t="s">
        <v>356</v>
      </c>
      <c r="B14" s="17" t="n">
        <v>5587</v>
      </c>
      <c r="C14" s="18">
        <f>(4888.0/B14*100)</f>
        <v/>
      </c>
      <c r="D14" s="19" t="n">
        <v>699</v>
      </c>
      <c r="E14" s="18" t="n">
        <v>16.63490784</v>
      </c>
      <c r="F14" s="20" t="n">
        <v>1.66222912</v>
      </c>
      <c r="G14" s="18" t="n">
        <v>83.24820953</v>
      </c>
      <c r="H14" s="20" t="n">
        <v>1.63936082</v>
      </c>
      <c r="I14" s="18" t="s">
        <v>349</v>
      </c>
      <c r="J14" s="20" t="s">
        <v>349</v>
      </c>
      <c r="K14" s="18" t="n">
        <v>0.11688264</v>
      </c>
      <c r="L14" s="20" t="n">
        <v>0.11653154</v>
      </c>
      <c r="M14" s="18" t="n">
        <v>0</v>
      </c>
      <c r="N14" s="20" t="n">
        <v>0</v>
      </c>
      <c r="O14" s="18" t="n">
        <v>0</v>
      </c>
      <c r="P14" s="20" t="n">
        <v>0</v>
      </c>
      <c r="Q14" s="18" t="n">
        <v>0</v>
      </c>
      <c r="R14" s="20" t="n">
        <v>0</v>
      </c>
    </row>
    <row r="15" spans="1:18">
      <c r="A15" s="15" t="s">
        <v>357</v>
      </c>
      <c r="B15" s="17" t="n">
        <v>5882</v>
      </c>
      <c r="C15" s="18">
        <f>(5152.0/B15*100)</f>
        <v/>
      </c>
      <c r="D15" s="19" t="n">
        <v>730</v>
      </c>
      <c r="E15" s="18" t="n">
        <v>17.56144877</v>
      </c>
      <c r="F15" s="20" t="n">
        <v>1.33894414</v>
      </c>
      <c r="G15" s="18" t="n">
        <v>82.30565296</v>
      </c>
      <c r="H15" s="20" t="n">
        <v>1.35661498</v>
      </c>
      <c r="I15" s="18" t="s">
        <v>349</v>
      </c>
      <c r="J15" s="20" t="s">
        <v>349</v>
      </c>
      <c r="K15" s="18" t="n">
        <v>0.13289827</v>
      </c>
      <c r="L15" s="20" t="n">
        <v>0.1305501</v>
      </c>
      <c r="M15" s="18" t="n">
        <v>0</v>
      </c>
      <c r="N15" s="20" t="n">
        <v>0</v>
      </c>
      <c r="O15" s="18" t="n">
        <v>0</v>
      </c>
      <c r="P15" s="20" t="n">
        <v>0</v>
      </c>
      <c r="Q15" s="18" t="n">
        <v>0</v>
      </c>
      <c r="R15" s="20" t="n">
        <v>0</v>
      </c>
    </row>
    <row r="16" spans="1:18">
      <c r="A16" s="15" t="s">
        <v>358</v>
      </c>
      <c r="B16" s="17" t="n">
        <v>6108</v>
      </c>
      <c r="C16" s="18">
        <f>(5343.0/B16*100)</f>
        <v/>
      </c>
      <c r="D16" s="19" t="n">
        <v>765</v>
      </c>
      <c r="E16" s="18" t="n">
        <v>18.85640595</v>
      </c>
      <c r="F16" s="20" t="n">
        <v>1.31746017</v>
      </c>
      <c r="G16" s="18" t="n">
        <v>80.0568275</v>
      </c>
      <c r="H16" s="20" t="n">
        <v>1.38626679</v>
      </c>
      <c r="I16" s="18" t="s">
        <v>349</v>
      </c>
      <c r="J16" s="20" t="s">
        <v>349</v>
      </c>
      <c r="K16" s="18" t="n">
        <v>0.37163271</v>
      </c>
      <c r="L16" s="20" t="n">
        <v>0.21810084</v>
      </c>
      <c r="M16" s="18" t="n">
        <v>0</v>
      </c>
      <c r="N16" s="20" t="n">
        <v>0</v>
      </c>
      <c r="O16" s="18" t="n">
        <v>0</v>
      </c>
      <c r="P16" s="20" t="n">
        <v>0</v>
      </c>
      <c r="Q16" s="18" t="n">
        <v>0.71513383</v>
      </c>
      <c r="R16" s="20" t="n">
        <v>0.3088455</v>
      </c>
    </row>
    <row r="17" spans="1:18">
      <c r="A17" s="15" t="s">
        <v>359</v>
      </c>
      <c r="B17" s="17" t="n">
        <v>6504</v>
      </c>
      <c r="C17" s="18">
        <f>(5736.0/B17*100)</f>
        <v/>
      </c>
      <c r="D17" s="19" t="n">
        <v>768</v>
      </c>
      <c r="E17" s="18" t="n">
        <v>16.41527595</v>
      </c>
      <c r="F17" s="20" t="n">
        <v>1.41888899</v>
      </c>
      <c r="G17" s="18" t="n">
        <v>83.19377593</v>
      </c>
      <c r="H17" s="20" t="n">
        <v>1.38221853</v>
      </c>
      <c r="I17" s="18" t="s">
        <v>349</v>
      </c>
      <c r="J17" s="20" t="s">
        <v>349</v>
      </c>
      <c r="K17" s="18" t="n">
        <v>0</v>
      </c>
      <c r="L17" s="20" t="n">
        <v>0</v>
      </c>
      <c r="M17" s="18" t="n">
        <v>0</v>
      </c>
      <c r="N17" s="20" t="n">
        <v>0</v>
      </c>
      <c r="O17" s="18" t="n">
        <v>0</v>
      </c>
      <c r="P17" s="20" t="n">
        <v>0</v>
      </c>
      <c r="Q17" s="18" t="n">
        <v>0.39094813</v>
      </c>
      <c r="R17" s="20" t="n">
        <v>0.28067989</v>
      </c>
    </row>
    <row r="18" spans="1:18">
      <c r="A18" s="15" t="s">
        <v>360</v>
      </c>
      <c r="B18" s="17" t="n">
        <v>5532</v>
      </c>
      <c r="C18" s="18">
        <f>(4838.0/B18*100)</f>
        <v/>
      </c>
      <c r="D18" s="19" t="n">
        <v>694</v>
      </c>
      <c r="E18" s="18" t="n">
        <v>16.52092535</v>
      </c>
      <c r="F18" s="20" t="n">
        <v>1.56730321</v>
      </c>
      <c r="G18" s="18" t="n">
        <v>82.64591405</v>
      </c>
      <c r="H18" s="20" t="n">
        <v>1.58662416</v>
      </c>
      <c r="I18" s="18" t="s">
        <v>349</v>
      </c>
      <c r="J18" s="20" t="s">
        <v>349</v>
      </c>
      <c r="K18" s="18" t="n">
        <v>0.37174717</v>
      </c>
      <c r="L18" s="20" t="n">
        <v>0.36782984</v>
      </c>
      <c r="M18" s="18" t="n">
        <v>0</v>
      </c>
      <c r="N18" s="20" t="n">
        <v>0</v>
      </c>
      <c r="O18" s="18" t="n">
        <v>0</v>
      </c>
      <c r="P18" s="20" t="n">
        <v>0</v>
      </c>
      <c r="Q18" s="18" t="n">
        <v>0.46141343</v>
      </c>
      <c r="R18" s="20" t="n">
        <v>0.24608526</v>
      </c>
    </row>
    <row r="19" spans="1:18">
      <c r="A19" s="15" t="s">
        <v>361</v>
      </c>
      <c r="B19" s="17" t="n">
        <v>5658</v>
      </c>
      <c r="C19" s="18">
        <f>(4957.0/B19*100)</f>
        <v/>
      </c>
      <c r="D19" s="19" t="n">
        <v>701</v>
      </c>
      <c r="E19" s="18" t="n">
        <v>20.85481789</v>
      </c>
      <c r="F19" s="20" t="n">
        <v>1.76294616</v>
      </c>
      <c r="G19" s="18" t="n">
        <v>79.14518210999999</v>
      </c>
      <c r="H19" s="20" t="n">
        <v>1.76294616</v>
      </c>
      <c r="I19" s="18" t="s">
        <v>349</v>
      </c>
      <c r="J19" s="20" t="s">
        <v>349</v>
      </c>
      <c r="K19" s="18" t="n">
        <v>0</v>
      </c>
      <c r="L19" s="20" t="n">
        <v>0</v>
      </c>
      <c r="M19" s="18" t="n">
        <v>0</v>
      </c>
      <c r="N19" s="20" t="n">
        <v>0</v>
      </c>
      <c r="O19" s="18" t="n">
        <v>0</v>
      </c>
      <c r="P19" s="20" t="n">
        <v>0</v>
      </c>
      <c r="Q19" s="18" t="n">
        <v>0</v>
      </c>
      <c r="R19" s="20" t="n">
        <v>0</v>
      </c>
    </row>
    <row r="20" spans="1:18">
      <c r="A20" s="15" t="s">
        <v>362</v>
      </c>
      <c r="B20" s="17" t="n">
        <v>3371</v>
      </c>
      <c r="C20" s="18">
        <f>(2951.0/B20*100)</f>
        <v/>
      </c>
      <c r="D20" s="19" t="n">
        <v>420</v>
      </c>
      <c r="E20" s="18" t="n">
        <v>13.35057793</v>
      </c>
      <c r="F20" s="20" t="n">
        <v>1.69124935</v>
      </c>
      <c r="G20" s="18" t="n">
        <v>85.70184024</v>
      </c>
      <c r="H20" s="20" t="n">
        <v>1.6357774</v>
      </c>
      <c r="I20" s="18" t="s">
        <v>349</v>
      </c>
      <c r="J20" s="20" t="s">
        <v>349</v>
      </c>
      <c r="K20" s="18" t="n">
        <v>0.22439682</v>
      </c>
      <c r="L20" s="20" t="n">
        <v>0.22538908</v>
      </c>
      <c r="M20" s="18" t="n">
        <v>0</v>
      </c>
      <c r="N20" s="20" t="n">
        <v>0</v>
      </c>
      <c r="O20" s="18" t="n">
        <v>0</v>
      </c>
      <c r="P20" s="20" t="n">
        <v>0</v>
      </c>
      <c r="Q20" s="18" t="n">
        <v>0.72318501</v>
      </c>
      <c r="R20" s="20" t="n">
        <v>0.42230199</v>
      </c>
    </row>
    <row r="21" spans="1:18">
      <c r="A21" s="15" t="s">
        <v>363</v>
      </c>
      <c r="B21" s="17" t="n">
        <v>5741</v>
      </c>
      <c r="C21" s="18">
        <f>(4781.0/B21*100)</f>
        <v/>
      </c>
      <c r="D21" s="19" t="n">
        <v>960</v>
      </c>
      <c r="E21" s="18" t="n">
        <v>16.96795931</v>
      </c>
      <c r="F21" s="20" t="n">
        <v>1.20876715</v>
      </c>
      <c r="G21" s="18" t="n">
        <v>82.46106536000001</v>
      </c>
      <c r="H21" s="20" t="n">
        <v>1.19130395</v>
      </c>
      <c r="I21" s="18" t="s">
        <v>349</v>
      </c>
      <c r="J21" s="20" t="s">
        <v>349</v>
      </c>
      <c r="K21" s="18" t="n">
        <v>0</v>
      </c>
      <c r="L21" s="20" t="n">
        <v>0</v>
      </c>
      <c r="M21" s="18" t="n">
        <v>0</v>
      </c>
      <c r="N21" s="20" t="n">
        <v>0</v>
      </c>
      <c r="O21" s="18" t="n">
        <v>0</v>
      </c>
      <c r="P21" s="20" t="n">
        <v>0</v>
      </c>
      <c r="Q21" s="18" t="n">
        <v>0.57097533</v>
      </c>
      <c r="R21" s="20" t="n">
        <v>0.25735852</v>
      </c>
    </row>
    <row r="22" spans="1:18">
      <c r="A22" s="15" t="s">
        <v>364</v>
      </c>
      <c r="B22" s="17" t="n">
        <v>6598</v>
      </c>
      <c r="C22" s="18">
        <f>(5782.0/B22*100)</f>
        <v/>
      </c>
      <c r="D22" s="19" t="n">
        <v>816</v>
      </c>
      <c r="E22" s="18" t="n">
        <v>35.04270766</v>
      </c>
      <c r="F22" s="20" t="n">
        <v>1.77767245</v>
      </c>
      <c r="G22" s="18" t="n">
        <v>64.4034224</v>
      </c>
      <c r="H22" s="20" t="n">
        <v>1.77437704</v>
      </c>
      <c r="I22" s="18" t="s">
        <v>349</v>
      </c>
      <c r="J22" s="20" t="s">
        <v>349</v>
      </c>
      <c r="K22" s="18" t="n">
        <v>0.10983566</v>
      </c>
      <c r="L22" s="20" t="n">
        <v>0.10972971</v>
      </c>
      <c r="M22" s="18" t="n">
        <v>0</v>
      </c>
      <c r="N22" s="20" t="n">
        <v>0</v>
      </c>
      <c r="O22" s="18" t="n">
        <v>0</v>
      </c>
      <c r="P22" s="20" t="n">
        <v>0</v>
      </c>
      <c r="Q22" s="18" t="n">
        <v>0.44403428</v>
      </c>
      <c r="R22" s="20" t="n">
        <v>0.29354834</v>
      </c>
    </row>
    <row r="23" spans="1:18">
      <c r="A23" s="15" t="s">
        <v>365</v>
      </c>
      <c r="B23" s="17" t="n">
        <v>11583</v>
      </c>
      <c r="C23" s="18">
        <f>(10159.0/B23*100)</f>
        <v/>
      </c>
      <c r="D23" s="19" t="n">
        <v>1424</v>
      </c>
      <c r="E23" s="18" t="n">
        <v>19.85766674</v>
      </c>
      <c r="F23" s="20" t="n">
        <v>1.68060503</v>
      </c>
      <c r="G23" s="18" t="n">
        <v>79.39072068999999</v>
      </c>
      <c r="H23" s="20" t="n">
        <v>1.75435786</v>
      </c>
      <c r="I23" s="18" t="s">
        <v>349</v>
      </c>
      <c r="J23" s="20" t="s">
        <v>349</v>
      </c>
      <c r="K23" s="18" t="n">
        <v>0.00619565</v>
      </c>
      <c r="L23" s="20" t="n">
        <v>0.00623448</v>
      </c>
      <c r="M23" s="18" t="n">
        <v>0</v>
      </c>
      <c r="N23" s="20" t="n">
        <v>0</v>
      </c>
      <c r="O23" s="18" t="n">
        <v>0</v>
      </c>
      <c r="P23" s="20" t="n">
        <v>0</v>
      </c>
      <c r="Q23" s="18" t="n">
        <v>0.74541692</v>
      </c>
      <c r="R23" s="20" t="n">
        <v>0.35539445</v>
      </c>
    </row>
    <row r="24" spans="1:18">
      <c r="A24" s="15" t="s">
        <v>366</v>
      </c>
      <c r="B24" s="17" t="n">
        <v>6647</v>
      </c>
      <c r="C24" s="18">
        <f>(5806.0/B24*100)</f>
        <v/>
      </c>
      <c r="D24" s="19" t="n">
        <v>841</v>
      </c>
      <c r="E24" s="18" t="n">
        <v>22.40295874</v>
      </c>
      <c r="F24" s="20" t="n">
        <v>1.31546854</v>
      </c>
      <c r="G24" s="18" t="n">
        <v>77.14424624</v>
      </c>
      <c r="H24" s="20" t="n">
        <v>1.30462914</v>
      </c>
      <c r="I24" s="18" t="s">
        <v>349</v>
      </c>
      <c r="J24" s="20" t="s">
        <v>349</v>
      </c>
      <c r="K24" s="18" t="n">
        <v>0.10977204</v>
      </c>
      <c r="L24" s="20" t="n">
        <v>0.11089724</v>
      </c>
      <c r="M24" s="18" t="n">
        <v>0</v>
      </c>
      <c r="N24" s="20" t="n">
        <v>0</v>
      </c>
      <c r="O24" s="18" t="n">
        <v>0</v>
      </c>
      <c r="P24" s="20" t="n">
        <v>0</v>
      </c>
      <c r="Q24" s="18" t="n">
        <v>0.34302298</v>
      </c>
      <c r="R24" s="20" t="n">
        <v>0.19860607</v>
      </c>
    </row>
    <row r="25" spans="1:18">
      <c r="A25" s="15" t="s">
        <v>367</v>
      </c>
      <c r="B25" s="17" t="n">
        <v>5581</v>
      </c>
      <c r="C25" s="18">
        <f>(4906.0/B25*100)</f>
        <v/>
      </c>
      <c r="D25" s="19" t="n">
        <v>675</v>
      </c>
      <c r="E25" s="18" t="n">
        <v>17.13987078</v>
      </c>
      <c r="F25" s="20" t="n">
        <v>1.33269714</v>
      </c>
      <c r="G25" s="18" t="n">
        <v>82.86012922</v>
      </c>
      <c r="H25" s="20" t="n">
        <v>1.33269714</v>
      </c>
      <c r="I25" s="18" t="s">
        <v>349</v>
      </c>
      <c r="J25" s="20" t="s">
        <v>349</v>
      </c>
      <c r="K25" s="18" t="n">
        <v>0</v>
      </c>
      <c r="L25" s="20" t="n">
        <v>0</v>
      </c>
      <c r="M25" s="18" t="n">
        <v>0</v>
      </c>
      <c r="N25" s="20" t="n">
        <v>0</v>
      </c>
      <c r="O25" s="18" t="n">
        <v>0</v>
      </c>
      <c r="P25" s="20" t="n">
        <v>0</v>
      </c>
      <c r="Q25" s="18" t="n">
        <v>0</v>
      </c>
      <c r="R25" s="20" t="n">
        <v>0</v>
      </c>
    </row>
    <row r="26" spans="1:18">
      <c r="A26" s="15" t="s">
        <v>368</v>
      </c>
      <c r="B26" s="17" t="n">
        <v>4869</v>
      </c>
      <c r="C26" s="18">
        <f>(4282.0/B26*100)</f>
        <v/>
      </c>
      <c r="D26" s="19" t="n">
        <v>587</v>
      </c>
      <c r="E26" s="18" t="n">
        <v>26.14675249</v>
      </c>
      <c r="F26" s="20" t="n">
        <v>2.00847297</v>
      </c>
      <c r="G26" s="18" t="n">
        <v>73.85324751</v>
      </c>
      <c r="H26" s="20" t="n">
        <v>2.00847297</v>
      </c>
      <c r="I26" s="18" t="s">
        <v>349</v>
      </c>
      <c r="J26" s="20" t="s">
        <v>349</v>
      </c>
      <c r="K26" s="18" t="n">
        <v>0</v>
      </c>
      <c r="L26" s="20" t="n">
        <v>0</v>
      </c>
      <c r="M26" s="18" t="n">
        <v>0</v>
      </c>
      <c r="N26" s="20" t="n">
        <v>0</v>
      </c>
      <c r="O26" s="18" t="n">
        <v>0</v>
      </c>
      <c r="P26" s="20" t="n">
        <v>0</v>
      </c>
      <c r="Q26" s="18" t="n">
        <v>0</v>
      </c>
      <c r="R26" s="20" t="n">
        <v>0</v>
      </c>
    </row>
    <row r="27" spans="1:18">
      <c r="A27" s="15" t="s">
        <v>369</v>
      </c>
      <c r="B27" s="17" t="n">
        <v>5299</v>
      </c>
      <c r="C27" s="18">
        <f>(4657.0/B27*100)</f>
        <v/>
      </c>
      <c r="D27" s="19" t="n">
        <v>642</v>
      </c>
      <c r="E27" s="18" t="n">
        <v>29.97441207</v>
      </c>
      <c r="F27" s="20" t="n">
        <v>1.87858415</v>
      </c>
      <c r="G27" s="18" t="n">
        <v>69.71421377999999</v>
      </c>
      <c r="H27" s="20" t="n">
        <v>1.88768952</v>
      </c>
      <c r="I27" s="18" t="s">
        <v>349</v>
      </c>
      <c r="J27" s="20" t="s">
        <v>349</v>
      </c>
      <c r="K27" s="18" t="n">
        <v>0.15568708</v>
      </c>
      <c r="L27" s="20" t="n">
        <v>0.15627462</v>
      </c>
      <c r="M27" s="18" t="n">
        <v>0</v>
      </c>
      <c r="N27" s="20" t="n">
        <v>0</v>
      </c>
      <c r="O27" s="18" t="n">
        <v>0</v>
      </c>
      <c r="P27" s="20" t="n">
        <v>0</v>
      </c>
      <c r="Q27" s="18" t="n">
        <v>0.15568708</v>
      </c>
      <c r="R27" s="20" t="n">
        <v>0.15638465</v>
      </c>
    </row>
    <row r="28" spans="1:18">
      <c r="A28" s="15" t="s">
        <v>370</v>
      </c>
      <c r="B28" s="17" t="n">
        <v>7568</v>
      </c>
      <c r="C28" s="18">
        <f>(6671.0/B28*100)</f>
        <v/>
      </c>
      <c r="D28" s="19" t="n">
        <v>897</v>
      </c>
      <c r="E28" s="18" t="n">
        <v>18.52258371</v>
      </c>
      <c r="F28" s="20" t="n">
        <v>1.32628599</v>
      </c>
      <c r="G28" s="18" t="n">
        <v>80.42119716000001</v>
      </c>
      <c r="H28" s="20" t="n">
        <v>1.43361652</v>
      </c>
      <c r="I28" s="18" t="s">
        <v>349</v>
      </c>
      <c r="J28" s="20" t="s">
        <v>349</v>
      </c>
      <c r="K28" s="18" t="n">
        <v>0.6158548</v>
      </c>
      <c r="L28" s="20" t="n">
        <v>0.35401421</v>
      </c>
      <c r="M28" s="18" t="n">
        <v>0</v>
      </c>
      <c r="N28" s="20" t="n">
        <v>0</v>
      </c>
      <c r="O28" s="18" t="n">
        <v>0</v>
      </c>
      <c r="P28" s="20" t="n">
        <v>0</v>
      </c>
      <c r="Q28" s="18" t="n">
        <v>0.44036433</v>
      </c>
      <c r="R28" s="20" t="n">
        <v>0.29032898</v>
      </c>
    </row>
    <row r="29" spans="1:18">
      <c r="A29" s="15" t="s">
        <v>371</v>
      </c>
      <c r="B29" s="17" t="n">
        <v>5385</v>
      </c>
      <c r="C29" s="18">
        <f>(4755.0/B29*100)</f>
        <v/>
      </c>
      <c r="D29" s="19" t="n">
        <v>630</v>
      </c>
      <c r="E29" s="18" t="n">
        <v>19.26167072</v>
      </c>
      <c r="F29" s="20" t="n">
        <v>1.7659516</v>
      </c>
      <c r="G29" s="18" t="n">
        <v>80.2595365</v>
      </c>
      <c r="H29" s="20" t="n">
        <v>1.77704264</v>
      </c>
      <c r="I29" s="18" t="s">
        <v>349</v>
      </c>
      <c r="J29" s="20" t="s">
        <v>349</v>
      </c>
      <c r="K29" s="18" t="n">
        <v>0.16168784</v>
      </c>
      <c r="L29" s="20" t="n">
        <v>0.16030023</v>
      </c>
      <c r="M29" s="18" t="n">
        <v>0</v>
      </c>
      <c r="N29" s="20" t="n">
        <v>0</v>
      </c>
      <c r="O29" s="18" t="n">
        <v>0</v>
      </c>
      <c r="P29" s="20" t="n">
        <v>0</v>
      </c>
      <c r="Q29" s="18" t="n">
        <v>0.31710495</v>
      </c>
      <c r="R29" s="20" t="n">
        <v>0.21137436</v>
      </c>
    </row>
    <row r="30" spans="1:18">
      <c r="A30" s="15" t="s">
        <v>372</v>
      </c>
      <c r="B30" s="17" t="n">
        <v>4520</v>
      </c>
      <c r="C30" s="18">
        <f>(3960.0/B30*100)</f>
        <v/>
      </c>
      <c r="D30" s="19" t="n">
        <v>560</v>
      </c>
      <c r="E30" s="18" t="n">
        <v>13.29716844</v>
      </c>
      <c r="F30" s="20" t="n">
        <v>1.65018232</v>
      </c>
      <c r="G30" s="18" t="n">
        <v>86.25383097</v>
      </c>
      <c r="H30" s="20" t="n">
        <v>1.70950384</v>
      </c>
      <c r="I30" s="18" t="s">
        <v>349</v>
      </c>
      <c r="J30" s="20" t="s">
        <v>349</v>
      </c>
      <c r="K30" s="18" t="n">
        <v>0</v>
      </c>
      <c r="L30" s="20" t="n">
        <v>0</v>
      </c>
      <c r="M30" s="18" t="n">
        <v>0</v>
      </c>
      <c r="N30" s="20" t="n">
        <v>0</v>
      </c>
      <c r="O30" s="18" t="n">
        <v>0</v>
      </c>
      <c r="P30" s="20" t="n">
        <v>0</v>
      </c>
      <c r="Q30" s="18" t="n">
        <v>0.44900059</v>
      </c>
      <c r="R30" s="20" t="n">
        <v>0.24637793</v>
      </c>
    </row>
    <row r="31" spans="1:18">
      <c r="A31" s="15" t="s">
        <v>373</v>
      </c>
      <c r="B31" s="17" t="n">
        <v>5456</v>
      </c>
      <c r="C31" s="18">
        <f>(4775.0/B31*100)</f>
        <v/>
      </c>
      <c r="D31" s="19" t="n">
        <v>681</v>
      </c>
      <c r="E31" s="18" t="n">
        <v>12.31358915</v>
      </c>
      <c r="F31" s="20" t="n">
        <v>1.25059728</v>
      </c>
      <c r="G31" s="18" t="n">
        <v>86.96511567</v>
      </c>
      <c r="H31" s="20" t="n">
        <v>1.23612322</v>
      </c>
      <c r="I31" s="18" t="s">
        <v>349</v>
      </c>
      <c r="J31" s="20" t="s">
        <v>349</v>
      </c>
      <c r="K31" s="18" t="n">
        <v>0.28894497</v>
      </c>
      <c r="L31" s="20" t="n">
        <v>0.20032641</v>
      </c>
      <c r="M31" s="18" t="n">
        <v>0</v>
      </c>
      <c r="N31" s="20" t="n">
        <v>0</v>
      </c>
      <c r="O31" s="18" t="n">
        <v>0</v>
      </c>
      <c r="P31" s="20" t="n">
        <v>0</v>
      </c>
      <c r="Q31" s="18" t="n">
        <v>0.43235021</v>
      </c>
      <c r="R31" s="20" t="n">
        <v>0.24498345</v>
      </c>
    </row>
    <row r="32" spans="1:18">
      <c r="A32" s="15" t="s">
        <v>374</v>
      </c>
      <c r="B32" s="17" t="n">
        <v>4478</v>
      </c>
      <c r="C32" s="18">
        <f>(3729.0/B32*100)</f>
        <v/>
      </c>
      <c r="D32" s="19" t="n">
        <v>749</v>
      </c>
      <c r="E32" s="18" t="n">
        <v>18.68660469</v>
      </c>
      <c r="F32" s="20" t="n">
        <v>1.42781449</v>
      </c>
      <c r="G32" s="18" t="n">
        <v>81.31339531</v>
      </c>
      <c r="H32" s="20" t="n">
        <v>1.42781449</v>
      </c>
      <c r="I32" s="18" t="s">
        <v>349</v>
      </c>
      <c r="J32" s="20" t="s">
        <v>349</v>
      </c>
      <c r="K32" s="18" t="n">
        <v>0</v>
      </c>
      <c r="L32" s="20" t="n">
        <v>0</v>
      </c>
      <c r="M32" s="18" t="n">
        <v>0</v>
      </c>
      <c r="N32" s="20" t="n">
        <v>0</v>
      </c>
      <c r="O32" s="18" t="n">
        <v>0</v>
      </c>
      <c r="P32" s="20" t="n">
        <v>0</v>
      </c>
      <c r="Q32" s="18" t="n">
        <v>0</v>
      </c>
      <c r="R32" s="20" t="n">
        <v>0</v>
      </c>
    </row>
    <row r="33" spans="1:18">
      <c r="A33" s="15" t="s">
        <v>375</v>
      </c>
      <c r="B33" s="17" t="n">
        <v>7325</v>
      </c>
      <c r="C33" s="18">
        <f>(6425.0/B33*100)</f>
        <v/>
      </c>
      <c r="D33" s="19" t="n">
        <v>900</v>
      </c>
      <c r="E33" s="18" t="n">
        <v>24.94199004</v>
      </c>
      <c r="F33" s="20" t="n">
        <v>1.77035592</v>
      </c>
      <c r="G33" s="18" t="n">
        <v>74.40711855000001</v>
      </c>
      <c r="H33" s="20" t="n">
        <v>1.81660836</v>
      </c>
      <c r="I33" s="18" t="s">
        <v>349</v>
      </c>
      <c r="J33" s="20" t="s">
        <v>349</v>
      </c>
      <c r="K33" s="18" t="n">
        <v>0.20888155</v>
      </c>
      <c r="L33" s="20" t="n">
        <v>0.21327542</v>
      </c>
      <c r="M33" s="18" t="n">
        <v>0</v>
      </c>
      <c r="N33" s="20" t="n">
        <v>0</v>
      </c>
      <c r="O33" s="18" t="n">
        <v>0</v>
      </c>
      <c r="P33" s="20" t="n">
        <v>0</v>
      </c>
      <c r="Q33" s="18" t="n">
        <v>0.44200985</v>
      </c>
      <c r="R33" s="20" t="n">
        <v>0.23368195</v>
      </c>
    </row>
    <row r="34" spans="1:18">
      <c r="A34" s="15" t="s">
        <v>376</v>
      </c>
      <c r="B34" s="17" t="n">
        <v>6350</v>
      </c>
      <c r="C34" s="18">
        <f>(5587.0/B34*100)</f>
        <v/>
      </c>
      <c r="D34" s="19" t="n">
        <v>763</v>
      </c>
      <c r="E34" s="18" t="n">
        <v>22.21316625</v>
      </c>
      <c r="F34" s="20" t="n">
        <v>1.59166628</v>
      </c>
      <c r="G34" s="18" t="n">
        <v>77.64715145</v>
      </c>
      <c r="H34" s="20" t="n">
        <v>1.57609834</v>
      </c>
      <c r="I34" s="18" t="s">
        <v>349</v>
      </c>
      <c r="J34" s="20" t="s">
        <v>349</v>
      </c>
      <c r="K34" s="18" t="n">
        <v>0</v>
      </c>
      <c r="L34" s="20" t="n">
        <v>0</v>
      </c>
      <c r="M34" s="18" t="n">
        <v>0</v>
      </c>
      <c r="N34" s="20" t="n">
        <v>0</v>
      </c>
      <c r="O34" s="18" t="n">
        <v>0</v>
      </c>
      <c r="P34" s="20" t="n">
        <v>0</v>
      </c>
      <c r="Q34" s="18" t="n">
        <v>0.1396823</v>
      </c>
      <c r="R34" s="20" t="n">
        <v>0.17304998</v>
      </c>
    </row>
    <row r="35" spans="1:18">
      <c r="A35" s="15" t="s">
        <v>377</v>
      </c>
      <c r="B35" s="17" t="n">
        <v>6406</v>
      </c>
      <c r="C35" s="18">
        <f>(5627.0/B35*100)</f>
        <v/>
      </c>
      <c r="D35" s="19" t="n">
        <v>779</v>
      </c>
      <c r="E35" s="18" t="n">
        <v>16.93643057</v>
      </c>
      <c r="F35" s="20" t="n">
        <v>1.22684598</v>
      </c>
      <c r="G35" s="18" t="n">
        <v>82.94206586999999</v>
      </c>
      <c r="H35" s="20" t="n">
        <v>1.2176307</v>
      </c>
      <c r="I35" s="18" t="s">
        <v>349</v>
      </c>
      <c r="J35" s="20" t="s">
        <v>349</v>
      </c>
      <c r="K35" s="18" t="n">
        <v>0.12150356</v>
      </c>
      <c r="L35" s="20" t="n">
        <v>0.08752351</v>
      </c>
      <c r="M35" s="18" t="n">
        <v>0</v>
      </c>
      <c r="N35" s="20" t="n">
        <v>0</v>
      </c>
      <c r="O35" s="18" t="n">
        <v>0</v>
      </c>
      <c r="P35" s="20" t="n">
        <v>0</v>
      </c>
      <c r="Q35" s="18" t="n">
        <v>0</v>
      </c>
      <c r="R35" s="20" t="n">
        <v>0</v>
      </c>
    </row>
    <row r="36" spans="1:18">
      <c r="A36" s="15" t="s">
        <v>378</v>
      </c>
      <c r="B36" s="17" t="n">
        <v>6736</v>
      </c>
      <c r="C36" s="18">
        <f>(5915.0/B36*100)</f>
        <v/>
      </c>
      <c r="D36" s="19" t="n">
        <v>821</v>
      </c>
      <c r="E36" s="18" t="n">
        <v>22.33153474</v>
      </c>
      <c r="F36" s="20" t="n">
        <v>1.68009054</v>
      </c>
      <c r="G36" s="18" t="n">
        <v>77.12782045</v>
      </c>
      <c r="H36" s="20" t="n">
        <v>1.73820409</v>
      </c>
      <c r="I36" s="18" t="s">
        <v>349</v>
      </c>
      <c r="J36" s="20" t="s">
        <v>349</v>
      </c>
      <c r="K36" s="18" t="n">
        <v>0.39025855</v>
      </c>
      <c r="L36" s="20" t="n">
        <v>0.21995721</v>
      </c>
      <c r="M36" s="18" t="n">
        <v>0</v>
      </c>
      <c r="N36" s="20" t="n">
        <v>0</v>
      </c>
      <c r="O36" s="18" t="n">
        <v>0</v>
      </c>
      <c r="P36" s="20" t="n">
        <v>0</v>
      </c>
      <c r="Q36" s="18" t="n">
        <v>0.15038626</v>
      </c>
      <c r="R36" s="20" t="n">
        <v>0.10850045</v>
      </c>
    </row>
    <row r="37" spans="1:18">
      <c r="A37" s="15" t="s">
        <v>379</v>
      </c>
      <c r="B37" s="17" t="n">
        <v>5458</v>
      </c>
      <c r="C37" s="18">
        <f>(4785.0/B37*100)</f>
        <v/>
      </c>
      <c r="D37" s="19" t="n">
        <v>673</v>
      </c>
      <c r="E37" s="18" t="n">
        <v>23.90896722</v>
      </c>
      <c r="F37" s="20" t="n">
        <v>1.59972629</v>
      </c>
      <c r="G37" s="18" t="n">
        <v>74.40593323</v>
      </c>
      <c r="H37" s="20" t="n">
        <v>1.68902032</v>
      </c>
      <c r="I37" s="18" t="s">
        <v>349</v>
      </c>
      <c r="J37" s="20" t="s">
        <v>349</v>
      </c>
      <c r="K37" s="18" t="n">
        <v>0.71009271</v>
      </c>
      <c r="L37" s="20" t="n">
        <v>0.3213651</v>
      </c>
      <c r="M37" s="18" t="n">
        <v>0</v>
      </c>
      <c r="N37" s="20" t="n">
        <v>0</v>
      </c>
      <c r="O37" s="18" t="n">
        <v>0</v>
      </c>
      <c r="P37" s="20" t="n">
        <v>0</v>
      </c>
      <c r="Q37" s="18" t="n">
        <v>0.97500684</v>
      </c>
      <c r="R37" s="20" t="n">
        <v>0.40828559</v>
      </c>
    </row>
    <row r="38" spans="1:18">
      <c r="A38" s="15" t="s">
        <v>380</v>
      </c>
      <c r="B38" s="17" t="n">
        <v>5860</v>
      </c>
      <c r="C38" s="18">
        <f>(4911.0/B38*100)</f>
        <v/>
      </c>
      <c r="D38" s="19" t="n">
        <v>949</v>
      </c>
      <c r="E38" s="18" t="n">
        <v>20.1552774</v>
      </c>
      <c r="F38" s="20" t="n">
        <v>1.59595992</v>
      </c>
      <c r="G38" s="18" t="n">
        <v>79.51937983000001</v>
      </c>
      <c r="H38" s="20" t="n">
        <v>1.61015178</v>
      </c>
      <c r="I38" s="18" t="s">
        <v>349</v>
      </c>
      <c r="J38" s="20" t="s">
        <v>349</v>
      </c>
      <c r="K38" s="18" t="n">
        <v>0.0886835</v>
      </c>
      <c r="L38" s="20" t="n">
        <v>0.08874650000000001</v>
      </c>
      <c r="M38" s="18" t="n">
        <v>0</v>
      </c>
      <c r="N38" s="20" t="n">
        <v>0</v>
      </c>
      <c r="O38" s="18" t="n">
        <v>0</v>
      </c>
      <c r="P38" s="20" t="n">
        <v>0</v>
      </c>
      <c r="Q38" s="18" t="n">
        <v>0.23665927</v>
      </c>
      <c r="R38" s="20" t="n">
        <v>0.16693327</v>
      </c>
    </row>
    <row r="39" spans="1:18">
      <c r="A39" s="15" t="s">
        <v>381</v>
      </c>
      <c r="B39" s="17" t="n">
        <v>5895</v>
      </c>
      <c r="C39" s="18">
        <f>(5170.0/B39*100)</f>
        <v/>
      </c>
      <c r="D39" s="19" t="n">
        <v>725</v>
      </c>
      <c r="E39" s="18" t="n">
        <v>20.01544653</v>
      </c>
      <c r="F39" s="20" t="n">
        <v>1.94914554</v>
      </c>
      <c r="G39" s="18" t="n">
        <v>78.94246234000001</v>
      </c>
      <c r="H39" s="20" t="n">
        <v>1.91070432</v>
      </c>
      <c r="I39" s="18" t="s">
        <v>349</v>
      </c>
      <c r="J39" s="20" t="s">
        <v>349</v>
      </c>
      <c r="K39" s="18" t="n">
        <v>0.17098664</v>
      </c>
      <c r="L39" s="20" t="n">
        <v>0.17053738</v>
      </c>
      <c r="M39" s="18" t="n">
        <v>0</v>
      </c>
      <c r="N39" s="20" t="n">
        <v>0</v>
      </c>
      <c r="O39" s="18" t="n">
        <v>0</v>
      </c>
      <c r="P39" s="20" t="n">
        <v>0</v>
      </c>
      <c r="Q39" s="18" t="n">
        <v>0.8711044999999999</v>
      </c>
      <c r="R39" s="20" t="n">
        <v>0.30710205</v>
      </c>
    </row>
    <row r="40" spans="1:18">
      <c r="A40" s="15" t="s">
        <v>382</v>
      </c>
      <c r="B40" s="17" t="n">
        <v>14157</v>
      </c>
      <c r="C40" s="18">
        <f>(12416.0/B40*100)</f>
        <v/>
      </c>
      <c r="D40" s="19" t="n">
        <v>1741</v>
      </c>
      <c r="E40" s="18" t="n">
        <v>16.87593238</v>
      </c>
      <c r="F40" s="20" t="n">
        <v>1.56339986</v>
      </c>
      <c r="G40" s="18" t="n">
        <v>82.53721145999999</v>
      </c>
      <c r="H40" s="20" t="n">
        <v>1.60733529</v>
      </c>
      <c r="I40" s="18" t="s">
        <v>349</v>
      </c>
      <c r="J40" s="20" t="s">
        <v>349</v>
      </c>
      <c r="K40" s="18" t="n">
        <v>0.35283189</v>
      </c>
      <c r="L40" s="20" t="n">
        <v>0.24194072</v>
      </c>
      <c r="M40" s="18" t="n">
        <v>0</v>
      </c>
      <c r="N40" s="20" t="n">
        <v>0</v>
      </c>
      <c r="O40" s="18" t="n">
        <v>0</v>
      </c>
      <c r="P40" s="20" t="n">
        <v>0</v>
      </c>
      <c r="Q40" s="18" t="n">
        <v>0.23402427</v>
      </c>
      <c r="R40" s="20" t="n">
        <v>0.14140284</v>
      </c>
    </row>
    <row r="41" spans="1:18">
      <c r="A41" s="15" t="s">
        <v>383</v>
      </c>
      <c r="B41" s="17" t="n">
        <v>5712</v>
      </c>
      <c r="C41" s="18">
        <f>(5016.0/B41*100)</f>
        <v/>
      </c>
      <c r="D41" s="19" t="n">
        <v>696</v>
      </c>
      <c r="E41" s="18" t="n">
        <v>28.68819086</v>
      </c>
      <c r="F41" s="20" t="n">
        <v>2.0921686</v>
      </c>
      <c r="G41" s="18" t="n">
        <v>70.75967819</v>
      </c>
      <c r="H41" s="20" t="n">
        <v>2.23355089</v>
      </c>
      <c r="I41" s="18" t="s">
        <v>349</v>
      </c>
      <c r="J41" s="20" t="s">
        <v>349</v>
      </c>
      <c r="K41" s="18" t="n">
        <v>0.55213095</v>
      </c>
      <c r="L41" s="20" t="n">
        <v>0.43173303</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(20548.0/B46*100)</f>
        <v/>
      </c>
      <c r="D46" s="19" t="n">
        <v>2593</v>
      </c>
      <c r="E46" s="18" t="n">
        <v>28.41321658</v>
      </c>
      <c r="F46" s="20" t="n">
        <v>1.23977078</v>
      </c>
      <c r="G46" s="18" t="n">
        <v>70.19839625</v>
      </c>
      <c r="H46" s="20" t="n">
        <v>1.21690516</v>
      </c>
      <c r="I46" s="18" t="s">
        <v>349</v>
      </c>
      <c r="J46" s="20" t="s">
        <v>349</v>
      </c>
      <c r="K46" s="18" t="n">
        <v>0.49640555</v>
      </c>
      <c r="L46" s="20" t="n">
        <v>0.18174838</v>
      </c>
      <c r="M46" s="18" t="n">
        <v>0</v>
      </c>
      <c r="N46" s="20" t="n">
        <v>0</v>
      </c>
      <c r="O46" s="18" t="n">
        <v>0</v>
      </c>
      <c r="P46" s="20" t="n">
        <v>0</v>
      </c>
      <c r="Q46" s="18" t="n">
        <v>0.89198161</v>
      </c>
      <c r="R46" s="20" t="n">
        <v>0.27953199</v>
      </c>
    </row>
    <row r="47" spans="1:18">
      <c r="A47" s="15" t="s">
        <v>389</v>
      </c>
      <c r="B47" s="17" t="n">
        <v>5928</v>
      </c>
      <c r="C47" s="18">
        <f>(5203.0/B47*100)</f>
        <v/>
      </c>
      <c r="D47" s="19" t="n">
        <v>725</v>
      </c>
      <c r="E47" s="18" t="n">
        <v>36.7654598</v>
      </c>
      <c r="F47" s="20" t="n">
        <v>2.13561266</v>
      </c>
      <c r="G47" s="18" t="n">
        <v>62.58489998</v>
      </c>
      <c r="H47" s="20" t="n">
        <v>2.19086061</v>
      </c>
      <c r="I47" s="18" t="s">
        <v>349</v>
      </c>
      <c r="J47" s="20" t="s">
        <v>349</v>
      </c>
      <c r="K47" s="18" t="n">
        <v>0.38628785</v>
      </c>
      <c r="L47" s="20" t="n">
        <v>0.25854031</v>
      </c>
      <c r="M47" s="18" t="n">
        <v>0</v>
      </c>
      <c r="N47" s="20" t="n">
        <v>0</v>
      </c>
      <c r="O47" s="18" t="n">
        <v>0</v>
      </c>
      <c r="P47" s="20" t="n">
        <v>0</v>
      </c>
      <c r="Q47" s="18" t="n">
        <v>0.26335237</v>
      </c>
      <c r="R47" s="20" t="n">
        <v>0.18855965</v>
      </c>
    </row>
    <row r="48" spans="1:18">
      <c r="A48" s="15" t="s">
        <v>390</v>
      </c>
      <c r="B48" s="17" t="n">
        <v>9841</v>
      </c>
      <c r="C48" s="18">
        <f>(8640.0/B48*100)</f>
        <v/>
      </c>
      <c r="D48" s="19" t="n">
        <v>1201</v>
      </c>
      <c r="E48" s="18" t="n">
        <v>4.72602041</v>
      </c>
      <c r="F48" s="20" t="n">
        <v>0.7132045299999999</v>
      </c>
      <c r="G48" s="18" t="n">
        <v>94.82945549999999</v>
      </c>
      <c r="H48" s="20" t="n">
        <v>0.77292744</v>
      </c>
      <c r="I48" s="18" t="s">
        <v>349</v>
      </c>
      <c r="J48" s="20" t="s">
        <v>349</v>
      </c>
      <c r="K48" s="18" t="n">
        <v>0.12360591</v>
      </c>
      <c r="L48" s="20" t="n">
        <v>0.11622342</v>
      </c>
      <c r="M48" s="18" t="n">
        <v>0</v>
      </c>
      <c r="N48" s="20" t="n">
        <v>0</v>
      </c>
      <c r="O48" s="18" t="n">
        <v>0</v>
      </c>
      <c r="P48" s="20" t="n">
        <v>0</v>
      </c>
      <c r="Q48" s="18" t="n">
        <v>0.32091818</v>
      </c>
      <c r="R48" s="20" t="n">
        <v>0.19463419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(10340.0/B50*100)</f>
        <v/>
      </c>
      <c r="D50" s="19" t="n">
        <v>1455</v>
      </c>
      <c r="E50" s="18" t="n">
        <v>30.78106503</v>
      </c>
      <c r="F50" s="20" t="n">
        <v>1.7235999</v>
      </c>
      <c r="G50" s="18" t="n">
        <v>68.51235627</v>
      </c>
      <c r="H50" s="20" t="n">
        <v>1.70708234</v>
      </c>
      <c r="I50" s="18" t="s">
        <v>349</v>
      </c>
      <c r="J50" s="20" t="s">
        <v>349</v>
      </c>
      <c r="K50" s="18" t="n">
        <v>0.19243429</v>
      </c>
      <c r="L50" s="20" t="n">
        <v>0.1592401</v>
      </c>
      <c r="M50" s="18" t="n">
        <v>0</v>
      </c>
      <c r="N50" s="20" t="n">
        <v>0</v>
      </c>
      <c r="O50" s="18" t="n">
        <v>0</v>
      </c>
      <c r="P50" s="20" t="n">
        <v>0</v>
      </c>
      <c r="Q50" s="18" t="n">
        <v>0.51414441</v>
      </c>
      <c r="R50" s="20" t="n">
        <v>0.23770497</v>
      </c>
    </row>
    <row r="51" spans="1:18">
      <c r="A51" s="15" t="s">
        <v>393</v>
      </c>
      <c r="B51" s="17" t="n">
        <v>6866</v>
      </c>
      <c r="C51" s="18">
        <f>(6108.0/B51*100)</f>
        <v/>
      </c>
      <c r="D51" s="19" t="n">
        <v>758</v>
      </c>
      <c r="E51" s="18" t="n">
        <v>22.09870404</v>
      </c>
      <c r="F51" s="20" t="n">
        <v>1.68454829</v>
      </c>
      <c r="G51" s="18" t="n">
        <v>77.41901421999999</v>
      </c>
      <c r="H51" s="20" t="n">
        <v>1.71014024</v>
      </c>
      <c r="I51" s="18" t="s">
        <v>349</v>
      </c>
      <c r="J51" s="20" t="s">
        <v>349</v>
      </c>
      <c r="K51" s="18" t="n">
        <v>0</v>
      </c>
      <c r="L51" s="20" t="n">
        <v>0</v>
      </c>
      <c r="M51" s="18" t="n">
        <v>0</v>
      </c>
      <c r="N51" s="20" t="n">
        <v>0</v>
      </c>
      <c r="O51" s="18" t="n">
        <v>0</v>
      </c>
      <c r="P51" s="20" t="n">
        <v>0</v>
      </c>
      <c r="Q51" s="18" t="n">
        <v>0.48228174</v>
      </c>
      <c r="R51" s="20" t="n">
        <v>0.24997173</v>
      </c>
    </row>
    <row r="52" spans="1:18">
      <c r="A52" s="15" t="s">
        <v>394</v>
      </c>
      <c r="B52" s="17" t="n">
        <v>5809</v>
      </c>
      <c r="C52" s="18">
        <f>(5097.0/B52*100)</f>
        <v/>
      </c>
      <c r="D52" s="19" t="n">
        <v>712</v>
      </c>
      <c r="E52" s="18" t="n">
        <v>33.65982288</v>
      </c>
      <c r="F52" s="20" t="n">
        <v>2.0595267</v>
      </c>
      <c r="G52" s="18" t="n">
        <v>65.97224432</v>
      </c>
      <c r="H52" s="20" t="n">
        <v>2.07232286</v>
      </c>
      <c r="I52" s="18" t="s">
        <v>349</v>
      </c>
      <c r="J52" s="20" t="s">
        <v>349</v>
      </c>
      <c r="K52" s="18" t="n">
        <v>0</v>
      </c>
      <c r="L52" s="20" t="n">
        <v>0</v>
      </c>
      <c r="M52" s="18" t="n">
        <v>0</v>
      </c>
      <c r="N52" s="20" t="n">
        <v>0</v>
      </c>
      <c r="O52" s="18" t="n">
        <v>0</v>
      </c>
      <c r="P52" s="20" t="n">
        <v>0</v>
      </c>
      <c r="Q52" s="18" t="n">
        <v>0.36793279</v>
      </c>
      <c r="R52" s="20" t="n">
        <v>0.21269836</v>
      </c>
    </row>
    <row r="53" spans="1:18">
      <c r="A53" s="15" t="s">
        <v>395</v>
      </c>
      <c r="B53" s="17" t="n">
        <v>5571</v>
      </c>
      <c r="C53" s="18">
        <f>(4873.0/B53*100)</f>
        <v/>
      </c>
      <c r="D53" s="19" t="n">
        <v>698</v>
      </c>
      <c r="E53" s="18" t="n">
        <v>18.23558671</v>
      </c>
      <c r="F53" s="20" t="n">
        <v>1.62643813</v>
      </c>
      <c r="G53" s="18" t="n">
        <v>81.22087859</v>
      </c>
      <c r="H53" s="20" t="n">
        <v>1.57602803</v>
      </c>
      <c r="I53" s="18" t="s">
        <v>349</v>
      </c>
      <c r="J53" s="20" t="s">
        <v>349</v>
      </c>
      <c r="K53" s="18" t="n">
        <v>0.20617043</v>
      </c>
      <c r="L53" s="20" t="n">
        <v>0.14615826</v>
      </c>
      <c r="M53" s="18" t="n">
        <v>0</v>
      </c>
      <c r="N53" s="20" t="n">
        <v>0</v>
      </c>
      <c r="O53" s="18" t="n">
        <v>0</v>
      </c>
      <c r="P53" s="20" t="n">
        <v>0</v>
      </c>
      <c r="Q53" s="18" t="n">
        <v>0.33736428</v>
      </c>
      <c r="R53" s="20" t="n">
        <v>0.1917474</v>
      </c>
    </row>
    <row r="54" spans="1:18">
      <c r="A54" s="15" t="s">
        <v>396</v>
      </c>
      <c r="B54" s="17" t="n">
        <v>4740</v>
      </c>
      <c r="C54" s="18">
        <f>(3965.0/B54*100)</f>
        <v/>
      </c>
      <c r="D54" s="19" t="n">
        <v>775</v>
      </c>
      <c r="E54" s="18" t="n">
        <v>27.941627</v>
      </c>
      <c r="F54" s="20" t="n">
        <v>1.57392097</v>
      </c>
      <c r="G54" s="18" t="n">
        <v>64.76452329999999</v>
      </c>
      <c r="H54" s="20" t="n">
        <v>1.74057298</v>
      </c>
      <c r="I54" s="18" t="s">
        <v>349</v>
      </c>
      <c r="J54" s="20" t="s">
        <v>349</v>
      </c>
      <c r="K54" s="18" t="n">
        <v>5.50269861</v>
      </c>
      <c r="L54" s="20" t="n">
        <v>1.03275167</v>
      </c>
      <c r="M54" s="18" t="n">
        <v>0</v>
      </c>
      <c r="N54" s="20" t="n">
        <v>0</v>
      </c>
      <c r="O54" s="18" t="n">
        <v>0</v>
      </c>
      <c r="P54" s="20" t="n">
        <v>0</v>
      </c>
      <c r="Q54" s="18" t="n">
        <v>1.79115109</v>
      </c>
      <c r="R54" s="20" t="n">
        <v>0.52892821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(4703.0/B56*100)</f>
        <v/>
      </c>
      <c r="D56" s="19" t="n">
        <v>656</v>
      </c>
      <c r="E56" s="18" t="n">
        <v>23.90068846</v>
      </c>
      <c r="F56" s="20" t="n">
        <v>1.66703756</v>
      </c>
      <c r="G56" s="18" t="n">
        <v>75.22623163999999</v>
      </c>
      <c r="H56" s="20" t="n">
        <v>1.75728239</v>
      </c>
      <c r="I56" s="18" t="s">
        <v>349</v>
      </c>
      <c r="J56" s="20" t="s">
        <v>349</v>
      </c>
      <c r="K56" s="18" t="n">
        <v>0.13966545</v>
      </c>
      <c r="L56" s="20" t="n">
        <v>0.15566854</v>
      </c>
      <c r="M56" s="18" t="n">
        <v>0</v>
      </c>
      <c r="N56" s="20" t="n">
        <v>0</v>
      </c>
      <c r="O56" s="18" t="n">
        <v>0</v>
      </c>
      <c r="P56" s="20" t="n">
        <v>0</v>
      </c>
      <c r="Q56" s="18" t="n">
        <v>0.7334144500000001</v>
      </c>
      <c r="R56" s="20" t="n">
        <v>0.35274835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(5741.0/B61*100)</f>
        <v/>
      </c>
      <c r="D61" s="19" t="n">
        <v>784</v>
      </c>
      <c r="E61" s="18" t="n">
        <v>27.30847176</v>
      </c>
      <c r="F61" s="20" t="n">
        <v>1.84116605</v>
      </c>
      <c r="G61" s="18" t="n">
        <v>71.66332824</v>
      </c>
      <c r="H61" s="20" t="n">
        <v>1.80771381</v>
      </c>
      <c r="I61" s="18" t="s">
        <v>349</v>
      </c>
      <c r="J61" s="20" t="s">
        <v>349</v>
      </c>
      <c r="K61" s="18" t="n">
        <v>0</v>
      </c>
      <c r="L61" s="20" t="n">
        <v>0</v>
      </c>
      <c r="M61" s="18" t="n">
        <v>0</v>
      </c>
      <c r="N61" s="20" t="n">
        <v>0</v>
      </c>
      <c r="O61" s="18" t="n">
        <v>0</v>
      </c>
      <c r="P61" s="20" t="n">
        <v>0</v>
      </c>
      <c r="Q61" s="18" t="n">
        <v>1.0282</v>
      </c>
      <c r="R61" s="20" t="n">
        <v>0.41328668</v>
      </c>
    </row>
    <row r="62" spans="1:18">
      <c r="A62" s="15" t="s">
        <v>404</v>
      </c>
      <c r="B62" s="17" t="n">
        <v>4476</v>
      </c>
      <c r="C62" s="18">
        <f>(3943.0/B62*100)</f>
        <v/>
      </c>
      <c r="D62" s="19" t="n">
        <v>533</v>
      </c>
      <c r="E62" s="18" t="n">
        <v>15.38757866</v>
      </c>
      <c r="F62" s="20" t="n">
        <v>1.4418363</v>
      </c>
      <c r="G62" s="18" t="n">
        <v>84.42597085</v>
      </c>
      <c r="H62" s="20" t="n">
        <v>1.45828323</v>
      </c>
      <c r="I62" s="18" t="s">
        <v>349</v>
      </c>
      <c r="J62" s="20" t="s">
        <v>349</v>
      </c>
      <c r="K62" s="18" t="n">
        <v>0</v>
      </c>
      <c r="L62" s="20" t="n">
        <v>0</v>
      </c>
      <c r="M62" s="18" t="n">
        <v>0</v>
      </c>
      <c r="N62" s="20" t="n">
        <v>0</v>
      </c>
      <c r="O62" s="18" t="n">
        <v>0</v>
      </c>
      <c r="P62" s="20" t="n">
        <v>0</v>
      </c>
      <c r="Q62" s="18" t="n">
        <v>0.1864505</v>
      </c>
      <c r="R62" s="20" t="n">
        <v>0.18414059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(4960.0/B66*100)</f>
        <v/>
      </c>
      <c r="D66" s="19" t="n">
        <v>705</v>
      </c>
      <c r="E66" s="18" t="n">
        <v>43.93857239</v>
      </c>
      <c r="F66" s="20" t="n">
        <v>2.09996057</v>
      </c>
      <c r="G66" s="18" t="n">
        <v>55.18765602</v>
      </c>
      <c r="H66" s="20" t="n">
        <v>2.06305936</v>
      </c>
      <c r="I66" s="18" t="s">
        <v>349</v>
      </c>
      <c r="J66" s="20" t="s">
        <v>349</v>
      </c>
      <c r="K66" s="18" t="n">
        <v>0.13783783</v>
      </c>
      <c r="L66" s="20" t="n">
        <v>0.13836835</v>
      </c>
      <c r="M66" s="18" t="n">
        <v>0</v>
      </c>
      <c r="N66" s="20" t="n">
        <v>0</v>
      </c>
      <c r="O66" s="18" t="n">
        <v>0</v>
      </c>
      <c r="P66" s="20" t="n">
        <v>0</v>
      </c>
      <c r="Q66" s="18" t="n">
        <v>0.73593376</v>
      </c>
      <c r="R66" s="20" t="n">
        <v>0.30299563</v>
      </c>
    </row>
    <row r="67" spans="1:18">
      <c r="A67" s="15" t="s">
        <v>409</v>
      </c>
      <c r="B67" s="17" t="n">
        <v>6971</v>
      </c>
      <c r="C67" s="18">
        <f>(6148.0/B67*100)</f>
        <v/>
      </c>
      <c r="D67" s="19" t="n">
        <v>823</v>
      </c>
      <c r="E67" s="18" t="n">
        <v>39.38618334</v>
      </c>
      <c r="F67" s="20" t="n">
        <v>1.99463115</v>
      </c>
      <c r="G67" s="18" t="n">
        <v>59.52975806</v>
      </c>
      <c r="H67" s="20" t="n">
        <v>1.99469736</v>
      </c>
      <c r="I67" s="18" t="s">
        <v>349</v>
      </c>
      <c r="J67" s="20" t="s">
        <v>349</v>
      </c>
      <c r="K67" s="18" t="n">
        <v>0</v>
      </c>
      <c r="L67" s="20" t="n">
        <v>0</v>
      </c>
      <c r="M67" s="18" t="n">
        <v>0</v>
      </c>
      <c r="N67" s="20" t="n">
        <v>0</v>
      </c>
      <c r="O67" s="18" t="n">
        <v>0</v>
      </c>
      <c r="P67" s="20" t="n">
        <v>0</v>
      </c>
      <c r="Q67" s="18" t="n">
        <v>1.08405859</v>
      </c>
      <c r="R67" s="20" t="n">
        <v>0.37251553</v>
      </c>
    </row>
    <row r="68" spans="1:18">
      <c r="A68" s="15" t="s">
        <v>410</v>
      </c>
      <c r="B68" s="17" t="n">
        <v>12083</v>
      </c>
      <c r="C68" s="18">
        <f>(10091.0/B68*100)</f>
        <v/>
      </c>
      <c r="D68" s="19" t="n">
        <v>1992</v>
      </c>
      <c r="E68" s="18" t="n">
        <v>43.74260911</v>
      </c>
      <c r="F68" s="20" t="n">
        <v>1.07938764</v>
      </c>
      <c r="G68" s="18" t="n">
        <v>53.5310345</v>
      </c>
      <c r="H68" s="20" t="n">
        <v>1.09834952</v>
      </c>
      <c r="I68" s="18" t="s">
        <v>349</v>
      </c>
      <c r="J68" s="20" t="s">
        <v>349</v>
      </c>
      <c r="K68" s="18" t="n">
        <v>1.11188228</v>
      </c>
      <c r="L68" s="20" t="n">
        <v>0.20396535</v>
      </c>
      <c r="M68" s="18" t="n">
        <v>0</v>
      </c>
      <c r="N68" s="20" t="n">
        <v>0</v>
      </c>
      <c r="O68" s="18" t="n">
        <v>0</v>
      </c>
      <c r="P68" s="20" t="n">
        <v>0</v>
      </c>
      <c r="Q68" s="18" t="n">
        <v>1.6144741</v>
      </c>
      <c r="R68" s="20" t="n">
        <v>0.28735385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(5311.0/B70*100)</f>
        <v/>
      </c>
      <c r="D70" s="19" t="n">
        <v>725</v>
      </c>
      <c r="E70" s="18" t="n">
        <v>28.45319066</v>
      </c>
      <c r="F70" s="20" t="n">
        <v>2.27538501</v>
      </c>
      <c r="G70" s="18" t="n">
        <v>71.35047175</v>
      </c>
      <c r="H70" s="20" t="n">
        <v>2.27321136</v>
      </c>
      <c r="I70" s="18" t="s">
        <v>349</v>
      </c>
      <c r="J70" s="20" t="s">
        <v>349</v>
      </c>
      <c r="K70" s="18" t="n">
        <v>0.07223246</v>
      </c>
      <c r="L70" s="20" t="n">
        <v>0.05125354</v>
      </c>
      <c r="M70" s="18" t="n">
        <v>0</v>
      </c>
      <c r="N70" s="20" t="n">
        <v>0</v>
      </c>
      <c r="O70" s="18" t="n">
        <v>0</v>
      </c>
      <c r="P70" s="20" t="n">
        <v>0</v>
      </c>
      <c r="Q70" s="18" t="n">
        <v>0.12410512</v>
      </c>
      <c r="R70" s="20" t="n">
        <v>0.12211534</v>
      </c>
    </row>
    <row r="71" spans="1:18">
      <c r="A71" s="15" t="s">
        <v>413</v>
      </c>
      <c r="B71" s="17" t="n">
        <v>6115</v>
      </c>
      <c r="C71" s="18">
        <f>(5375.0/B71*100)</f>
        <v/>
      </c>
      <c r="D71" s="19" t="n">
        <v>740</v>
      </c>
      <c r="E71" s="18" t="n">
        <v>17.13463975</v>
      </c>
      <c r="F71" s="20" t="n">
        <v>1.37722177</v>
      </c>
      <c r="G71" s="18" t="n">
        <v>82.30385527</v>
      </c>
      <c r="H71" s="20" t="n">
        <v>1.4715074</v>
      </c>
      <c r="I71" s="18" t="s">
        <v>349</v>
      </c>
      <c r="J71" s="20" t="s">
        <v>349</v>
      </c>
      <c r="K71" s="18" t="n">
        <v>0.10900369</v>
      </c>
      <c r="L71" s="20" t="n">
        <v>0.10906969</v>
      </c>
      <c r="M71" s="18" t="n">
        <v>0</v>
      </c>
      <c r="N71" s="20" t="n">
        <v>0</v>
      </c>
      <c r="O71" s="18" t="n">
        <v>0</v>
      </c>
      <c r="P71" s="20" t="n">
        <v>0</v>
      </c>
      <c r="Q71" s="18" t="n">
        <v>0.4525013</v>
      </c>
      <c r="R71" s="20" t="n">
        <v>0.26120368</v>
      </c>
    </row>
    <row r="72" spans="1:18">
      <c r="A72" s="15" t="s">
        <v>414</v>
      </c>
      <c r="B72" s="17" t="n">
        <v>7708</v>
      </c>
      <c r="C72" s="18">
        <f>(6767.0/B72*100)</f>
        <v/>
      </c>
      <c r="D72" s="19" t="n">
        <v>941</v>
      </c>
      <c r="E72" s="18" t="n">
        <v>12.5970825</v>
      </c>
      <c r="F72" s="20" t="n">
        <v>1.01288901</v>
      </c>
      <c r="G72" s="18" t="n">
        <v>87.26026919</v>
      </c>
      <c r="H72" s="20" t="n">
        <v>1.02578649</v>
      </c>
      <c r="I72" s="18" t="s">
        <v>349</v>
      </c>
      <c r="J72" s="20" t="s">
        <v>349</v>
      </c>
      <c r="K72" s="18" t="n">
        <v>0.14264832</v>
      </c>
      <c r="L72" s="20" t="n">
        <v>0.14316739</v>
      </c>
      <c r="M72" s="18" t="n">
        <v>0</v>
      </c>
      <c r="N72" s="20" t="n">
        <v>0</v>
      </c>
      <c r="O72" s="18" t="n">
        <v>0</v>
      </c>
      <c r="P72" s="20" t="n">
        <v>0</v>
      </c>
      <c r="Q72" s="18" t="n">
        <v>0</v>
      </c>
      <c r="R72" s="20" t="n">
        <v>0</v>
      </c>
    </row>
    <row r="73" spans="1:18">
      <c r="A73" s="15" t="s">
        <v>415</v>
      </c>
      <c r="B73" s="17" t="n">
        <v>8249</v>
      </c>
      <c r="C73" s="18">
        <f>(7217.0/B73*100)</f>
        <v/>
      </c>
      <c r="D73" s="19" t="n">
        <v>1032</v>
      </c>
      <c r="E73" s="18" t="n">
        <v>28.77849845</v>
      </c>
      <c r="F73" s="20" t="n">
        <v>1.69577256</v>
      </c>
      <c r="G73" s="18" t="n">
        <v>70.96001563</v>
      </c>
      <c r="H73" s="20" t="n">
        <v>1.70906688</v>
      </c>
      <c r="I73" s="18" t="s">
        <v>349</v>
      </c>
      <c r="J73" s="20" t="s">
        <v>349</v>
      </c>
      <c r="K73" s="18" t="n">
        <v>0.03419464</v>
      </c>
      <c r="L73" s="20" t="n">
        <v>0.03603664</v>
      </c>
      <c r="M73" s="18" t="n">
        <v>0</v>
      </c>
      <c r="N73" s="20" t="n">
        <v>0</v>
      </c>
      <c r="O73" s="18" t="n">
        <v>0</v>
      </c>
      <c r="P73" s="20" t="n">
        <v>0</v>
      </c>
      <c r="Q73" s="18" t="n">
        <v>0.22729127</v>
      </c>
      <c r="R73" s="20" t="n">
        <v>0.15433698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(4768.0/B75*100)</f>
        <v/>
      </c>
      <c r="D75" s="19" t="n">
        <v>607</v>
      </c>
      <c r="E75" s="18" t="n">
        <v>47.79004962</v>
      </c>
      <c r="F75" s="20" t="n">
        <v>2.09806667</v>
      </c>
      <c r="G75" s="18" t="n">
        <v>48.66510239</v>
      </c>
      <c r="H75" s="20" t="n">
        <v>2.19545975</v>
      </c>
      <c r="I75" s="18" t="s">
        <v>349</v>
      </c>
      <c r="J75" s="20" t="s">
        <v>349</v>
      </c>
      <c r="K75" s="18" t="n">
        <v>0.7469698</v>
      </c>
      <c r="L75" s="20" t="n">
        <v>0.3019685</v>
      </c>
      <c r="M75" s="18" t="n">
        <v>0</v>
      </c>
      <c r="N75" s="20" t="n">
        <v>0</v>
      </c>
      <c r="O75" s="18" t="n">
        <v>0</v>
      </c>
      <c r="P75" s="20" t="n">
        <v>0</v>
      </c>
      <c r="Q75" s="18" t="n">
        <v>2.7978782</v>
      </c>
      <c r="R75" s="20" t="n">
        <v>0.87739788</v>
      </c>
    </row>
    <row r="76" spans="1:18">
      <c r="A76" s="15" t="s">
        <v>418</v>
      </c>
      <c r="B76" s="17" t="n">
        <v>14167</v>
      </c>
      <c r="C76" s="18">
        <f>(12466.0/B76*100)</f>
        <v/>
      </c>
      <c r="D76" s="19" t="n">
        <v>1701</v>
      </c>
      <c r="E76" s="18" t="n">
        <v>36.04275135</v>
      </c>
      <c r="F76" s="20" t="n">
        <v>1.41875229</v>
      </c>
      <c r="G76" s="18" t="n">
        <v>62.12149505</v>
      </c>
      <c r="H76" s="20" t="n">
        <v>1.44464154</v>
      </c>
      <c r="I76" s="18" t="s">
        <v>349</v>
      </c>
      <c r="J76" s="20" t="s">
        <v>349</v>
      </c>
      <c r="K76" s="18" t="n">
        <v>0.81860719</v>
      </c>
      <c r="L76" s="20" t="n">
        <v>0.23639714</v>
      </c>
      <c r="M76" s="18" t="n">
        <v>0</v>
      </c>
      <c r="N76" s="20" t="n">
        <v>0</v>
      </c>
      <c r="O76" s="18" t="n">
        <v>0</v>
      </c>
      <c r="P76" s="20" t="n">
        <v>0</v>
      </c>
      <c r="Q76" s="18" t="n">
        <v>1.01714641</v>
      </c>
      <c r="R76" s="20" t="n">
        <v>0.29688327</v>
      </c>
    </row>
    <row r="77" spans="1:18">
      <c r="A77" s="15" t="s">
        <v>419</v>
      </c>
      <c r="B77" s="17" t="n">
        <v>6062</v>
      </c>
      <c r="C77" s="18">
        <f>(5330.0/B77*100)</f>
        <v/>
      </c>
      <c r="D77" s="19" t="n">
        <v>732</v>
      </c>
      <c r="E77" s="18" t="n">
        <v>26.58163599</v>
      </c>
      <c r="F77" s="20" t="n">
        <v>1.60604756</v>
      </c>
      <c r="G77" s="18" t="n">
        <v>72.85361589</v>
      </c>
      <c r="H77" s="20" t="n">
        <v>1.65920979</v>
      </c>
      <c r="I77" s="18" t="s">
        <v>349</v>
      </c>
      <c r="J77" s="20" t="s">
        <v>349</v>
      </c>
      <c r="K77" s="18" t="n">
        <v>0.1839983</v>
      </c>
      <c r="L77" s="20" t="n">
        <v>0.12752032</v>
      </c>
      <c r="M77" s="18" t="n">
        <v>0</v>
      </c>
      <c r="N77" s="20" t="n">
        <v>0</v>
      </c>
      <c r="O77" s="18" t="n">
        <v>0</v>
      </c>
      <c r="P77" s="20" t="n">
        <v>0</v>
      </c>
      <c r="Q77" s="18" t="n">
        <v>0.38074982</v>
      </c>
      <c r="R77" s="20" t="n">
        <v>0.24246356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(7769.0/B81*100)</f>
        <v/>
      </c>
      <c r="D81" s="19" t="n">
        <v>1092</v>
      </c>
      <c r="E81" s="18" t="n">
        <v>48.66061071</v>
      </c>
      <c r="F81" s="20" t="n">
        <v>1.73832548</v>
      </c>
      <c r="G81" s="18" t="n">
        <v>50.95773968</v>
      </c>
      <c r="H81" s="20" t="n">
        <v>1.71259567</v>
      </c>
      <c r="I81" s="18" t="s">
        <v>349</v>
      </c>
      <c r="J81" s="20" t="s">
        <v>349</v>
      </c>
      <c r="K81" s="18" t="n">
        <v>0.13225564</v>
      </c>
      <c r="L81" s="20" t="n">
        <v>0.33689963</v>
      </c>
      <c r="M81" s="18" t="n">
        <v>0</v>
      </c>
      <c r="N81" s="20" t="n">
        <v>0</v>
      </c>
      <c r="O81" s="18" t="n">
        <v>0</v>
      </c>
      <c r="P81" s="20" t="n">
        <v>0</v>
      </c>
      <c r="Q81" s="18" t="n">
        <v>0.24939397</v>
      </c>
      <c r="R81" s="20" t="n">
        <v>0.17546033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(12825.0/B7*100)</f>
        <v/>
      </c>
      <c r="D7" s="19" t="n">
        <v>1705</v>
      </c>
      <c r="E7" s="18" t="n">
        <v>0</v>
      </c>
      <c r="F7" s="20" t="n">
        <v>0</v>
      </c>
      <c r="G7" s="18" t="n">
        <v>0</v>
      </c>
      <c r="H7" s="20" t="n">
        <v>0</v>
      </c>
      <c r="I7" s="18" t="s">
        <v>349</v>
      </c>
      <c r="J7" s="20" t="s">
        <v>349</v>
      </c>
      <c r="K7" s="18" t="n">
        <v>0</v>
      </c>
      <c r="L7" s="20" t="n">
        <v>0</v>
      </c>
      <c r="M7" s="18" t="n">
        <v>100</v>
      </c>
      <c r="N7" s="20" t="n">
        <v>0</v>
      </c>
      <c r="O7" s="18" t="n">
        <v>0</v>
      </c>
      <c r="P7" s="20" t="n">
        <v>0</v>
      </c>
      <c r="Q7" s="18" t="n">
        <v>0</v>
      </c>
      <c r="R7" s="20" t="n">
        <v>0</v>
      </c>
    </row>
    <row r="8" spans="1:18">
      <c r="A8" s="15" t="s">
        <v>350</v>
      </c>
      <c r="B8" s="17" t="n">
        <v>7007</v>
      </c>
      <c r="C8" s="18">
        <f>(6171.0/B8*100)</f>
        <v/>
      </c>
      <c r="D8" s="19" t="n">
        <v>836</v>
      </c>
      <c r="E8" s="18" t="n">
        <v>0</v>
      </c>
      <c r="F8" s="20" t="n">
        <v>0</v>
      </c>
      <c r="G8" s="18" t="n">
        <v>0</v>
      </c>
      <c r="H8" s="20" t="n">
        <v>0</v>
      </c>
      <c r="I8" s="18" t="s">
        <v>349</v>
      </c>
      <c r="J8" s="20" t="s">
        <v>349</v>
      </c>
      <c r="K8" s="18" t="n">
        <v>0</v>
      </c>
      <c r="L8" s="20" t="n">
        <v>0</v>
      </c>
      <c r="M8" s="18" t="n">
        <v>100</v>
      </c>
      <c r="N8" s="20" t="n">
        <v>0</v>
      </c>
      <c r="O8" s="18" t="n">
        <v>0</v>
      </c>
      <c r="P8" s="20" t="n">
        <v>0</v>
      </c>
      <c r="Q8" s="18" t="n">
        <v>0</v>
      </c>
      <c r="R8" s="20" t="n">
        <v>0</v>
      </c>
    </row>
    <row r="9" spans="1:18">
      <c r="A9" s="15" t="s">
        <v>351</v>
      </c>
      <c r="B9" s="17" t="n">
        <v>9651</v>
      </c>
      <c r="C9" s="18">
        <f>(8500.0/B9*100)</f>
        <v/>
      </c>
      <c r="D9" s="19" t="n">
        <v>1151</v>
      </c>
      <c r="E9" s="18" t="n">
        <v>0</v>
      </c>
      <c r="F9" s="20" t="n">
        <v>0</v>
      </c>
      <c r="G9" s="18" t="n">
        <v>0</v>
      </c>
      <c r="H9" s="20" t="n">
        <v>0</v>
      </c>
      <c r="I9" s="18" t="s">
        <v>349</v>
      </c>
      <c r="J9" s="20" t="s">
        <v>349</v>
      </c>
      <c r="K9" s="18" t="n">
        <v>0</v>
      </c>
      <c r="L9" s="20" t="n">
        <v>0</v>
      </c>
      <c r="M9" s="18" t="n">
        <v>100</v>
      </c>
      <c r="N9" s="20" t="n">
        <v>0</v>
      </c>
      <c r="O9" s="18" t="n">
        <v>0</v>
      </c>
      <c r="P9" s="20" t="n">
        <v>0</v>
      </c>
      <c r="Q9" s="18" t="n">
        <v>0</v>
      </c>
      <c r="R9" s="20" t="n">
        <v>0</v>
      </c>
    </row>
    <row r="10" spans="1:18">
      <c r="A10" s="15" t="s">
        <v>352</v>
      </c>
      <c r="B10" s="17" t="n">
        <v>20058</v>
      </c>
      <c r="C10" s="18">
        <f>(17587.0/B10*100)</f>
        <v/>
      </c>
      <c r="D10" s="19" t="n">
        <v>2471</v>
      </c>
      <c r="E10" s="18" t="n">
        <v>0</v>
      </c>
      <c r="F10" s="20" t="n">
        <v>0</v>
      </c>
      <c r="G10" s="18" t="n">
        <v>0</v>
      </c>
      <c r="H10" s="20" t="n">
        <v>0</v>
      </c>
      <c r="I10" s="18" t="s">
        <v>349</v>
      </c>
      <c r="J10" s="20" t="s">
        <v>349</v>
      </c>
      <c r="K10" s="18" t="n">
        <v>0</v>
      </c>
      <c r="L10" s="20" t="n">
        <v>0</v>
      </c>
      <c r="M10" s="18" t="n">
        <v>100</v>
      </c>
      <c r="N10" s="20" t="n">
        <v>0</v>
      </c>
      <c r="O10" s="18" t="n">
        <v>0</v>
      </c>
      <c r="P10" s="20" t="n">
        <v>0</v>
      </c>
      <c r="Q10" s="18" t="n">
        <v>0</v>
      </c>
      <c r="R10" s="20" t="n">
        <v>0</v>
      </c>
    </row>
    <row r="11" spans="1:18">
      <c r="A11" s="15" t="s">
        <v>353</v>
      </c>
      <c r="B11" s="17" t="n">
        <v>7053</v>
      </c>
      <c r="C11" s="18">
        <f>(6207.0/B11*100)</f>
        <v/>
      </c>
      <c r="D11" s="19" t="n">
        <v>846</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6894</v>
      </c>
      <c r="C12" s="18">
        <f>(6059.0/B12*100)</f>
        <v/>
      </c>
      <c r="D12" s="19" t="n">
        <v>835</v>
      </c>
      <c r="E12" s="18" t="n">
        <v>0</v>
      </c>
      <c r="F12" s="20" t="n">
        <v>0</v>
      </c>
      <c r="G12" s="18" t="n">
        <v>0</v>
      </c>
      <c r="H12" s="20" t="n">
        <v>0</v>
      </c>
      <c r="I12" s="18" t="s">
        <v>349</v>
      </c>
      <c r="J12" s="20" t="s">
        <v>349</v>
      </c>
      <c r="K12" s="18" t="n">
        <v>0</v>
      </c>
      <c r="L12" s="20" t="n">
        <v>0</v>
      </c>
      <c r="M12" s="18" t="n">
        <v>100</v>
      </c>
      <c r="N12" s="20" t="n">
        <v>0</v>
      </c>
      <c r="O12" s="18" t="n">
        <v>0</v>
      </c>
      <c r="P12" s="20" t="n">
        <v>0</v>
      </c>
      <c r="Q12" s="18" t="n">
        <v>0</v>
      </c>
      <c r="R12" s="20" t="n">
        <v>0</v>
      </c>
    </row>
    <row r="13" spans="1:18">
      <c r="A13" s="15" t="s">
        <v>355</v>
      </c>
      <c r="B13" s="17" t="n">
        <v>7161</v>
      </c>
      <c r="C13" s="18">
        <f>(6332.0/B13*100)</f>
        <v/>
      </c>
      <c r="D13" s="19" t="n">
        <v>829</v>
      </c>
      <c r="E13" s="18" t="n">
        <v>0</v>
      </c>
      <c r="F13" s="20" t="n">
        <v>0</v>
      </c>
      <c r="G13" s="18" t="n">
        <v>0</v>
      </c>
      <c r="H13" s="20" t="n">
        <v>0</v>
      </c>
      <c r="I13" s="18" t="s">
        <v>349</v>
      </c>
      <c r="J13" s="20" t="s">
        <v>349</v>
      </c>
      <c r="K13" s="18" t="n">
        <v>0</v>
      </c>
      <c r="L13" s="20" t="n">
        <v>0</v>
      </c>
      <c r="M13" s="18" t="n">
        <v>100</v>
      </c>
      <c r="N13" s="20" t="n">
        <v>0</v>
      </c>
      <c r="O13" s="18" t="n">
        <v>0</v>
      </c>
      <c r="P13" s="20" t="n">
        <v>0</v>
      </c>
      <c r="Q13" s="18" t="n">
        <v>0</v>
      </c>
      <c r="R13" s="20" t="n">
        <v>0</v>
      </c>
    </row>
    <row r="14" spans="1:18">
      <c r="A14" s="15" t="s">
        <v>356</v>
      </c>
      <c r="B14" s="17" t="n">
        <v>5587</v>
      </c>
      <c r="C14" s="18">
        <f>(4888.0/B14*100)</f>
        <v/>
      </c>
      <c r="D14" s="19" t="n">
        <v>699</v>
      </c>
      <c r="E14" s="18" t="n">
        <v>0</v>
      </c>
      <c r="F14" s="20" t="n">
        <v>0</v>
      </c>
      <c r="G14" s="18" t="n">
        <v>0</v>
      </c>
      <c r="H14" s="20" t="n">
        <v>0</v>
      </c>
      <c r="I14" s="18" t="s">
        <v>349</v>
      </c>
      <c r="J14" s="20" t="s">
        <v>349</v>
      </c>
      <c r="K14" s="18" t="n">
        <v>0</v>
      </c>
      <c r="L14" s="20" t="n">
        <v>0</v>
      </c>
      <c r="M14" s="18" t="n">
        <v>100</v>
      </c>
      <c r="N14" s="20" t="n">
        <v>0</v>
      </c>
      <c r="O14" s="18" t="n">
        <v>0</v>
      </c>
      <c r="P14" s="20" t="n">
        <v>0</v>
      </c>
      <c r="Q14" s="18" t="n">
        <v>0</v>
      </c>
      <c r="R14" s="20" t="n">
        <v>0</v>
      </c>
    </row>
    <row r="15" spans="1:18">
      <c r="A15" s="15" t="s">
        <v>357</v>
      </c>
      <c r="B15" s="17" t="n">
        <v>5882</v>
      </c>
      <c r="C15" s="18">
        <f>(5152.0/B15*100)</f>
        <v/>
      </c>
      <c r="D15" s="19" t="n">
        <v>730</v>
      </c>
      <c r="E15" s="18" t="n">
        <v>0</v>
      </c>
      <c r="F15" s="20" t="n">
        <v>0</v>
      </c>
      <c r="G15" s="18" t="n">
        <v>0</v>
      </c>
      <c r="H15" s="20" t="n">
        <v>0</v>
      </c>
      <c r="I15" s="18" t="s">
        <v>349</v>
      </c>
      <c r="J15" s="20" t="s">
        <v>349</v>
      </c>
      <c r="K15" s="18" t="n">
        <v>0</v>
      </c>
      <c r="L15" s="20" t="n">
        <v>0</v>
      </c>
      <c r="M15" s="18" t="n">
        <v>100</v>
      </c>
      <c r="N15" s="20" t="n">
        <v>0</v>
      </c>
      <c r="O15" s="18" t="n">
        <v>0</v>
      </c>
      <c r="P15" s="20" t="n">
        <v>0</v>
      </c>
      <c r="Q15" s="18" t="n">
        <v>0</v>
      </c>
      <c r="R15" s="20" t="n">
        <v>0</v>
      </c>
    </row>
    <row r="16" spans="1:18">
      <c r="A16" s="15" t="s">
        <v>358</v>
      </c>
      <c r="B16" s="17" t="n">
        <v>6108</v>
      </c>
      <c r="C16" s="18">
        <f>(5343.0/B16*100)</f>
        <v/>
      </c>
      <c r="D16" s="19" t="n">
        <v>765</v>
      </c>
      <c r="E16" s="18" t="n">
        <v>0</v>
      </c>
      <c r="F16" s="20" t="n">
        <v>0</v>
      </c>
      <c r="G16" s="18" t="n">
        <v>0</v>
      </c>
      <c r="H16" s="20" t="n">
        <v>0</v>
      </c>
      <c r="I16" s="18" t="s">
        <v>349</v>
      </c>
      <c r="J16" s="20" t="s">
        <v>349</v>
      </c>
      <c r="K16" s="18" t="n">
        <v>0</v>
      </c>
      <c r="L16" s="20" t="n">
        <v>0</v>
      </c>
      <c r="M16" s="18" t="n">
        <v>100</v>
      </c>
      <c r="N16" s="20" t="n">
        <v>0</v>
      </c>
      <c r="O16" s="18" t="n">
        <v>0</v>
      </c>
      <c r="P16" s="20" t="n">
        <v>0</v>
      </c>
      <c r="Q16" s="18" t="n">
        <v>0</v>
      </c>
      <c r="R16" s="20" t="n">
        <v>0</v>
      </c>
    </row>
    <row r="17" spans="1:18">
      <c r="A17" s="15" t="s">
        <v>359</v>
      </c>
      <c r="B17" s="17" t="n">
        <v>6504</v>
      </c>
      <c r="C17" s="18">
        <f>(5737.0/B17*100)</f>
        <v/>
      </c>
      <c r="D17" s="19" t="n">
        <v>767</v>
      </c>
      <c r="E17" s="18" t="n">
        <v>0</v>
      </c>
      <c r="F17" s="20" t="n">
        <v>0</v>
      </c>
      <c r="G17" s="18" t="n">
        <v>0</v>
      </c>
      <c r="H17" s="20" t="n">
        <v>0</v>
      </c>
      <c r="I17" s="18" t="s">
        <v>349</v>
      </c>
      <c r="J17" s="20" t="s">
        <v>349</v>
      </c>
      <c r="K17" s="18" t="n">
        <v>0</v>
      </c>
      <c r="L17" s="20" t="n">
        <v>0</v>
      </c>
      <c r="M17" s="18" t="n">
        <v>100</v>
      </c>
      <c r="N17" s="20" t="n">
        <v>0</v>
      </c>
      <c r="O17" s="18" t="n">
        <v>0</v>
      </c>
      <c r="P17" s="20" t="n">
        <v>0</v>
      </c>
      <c r="Q17" s="18" t="n">
        <v>0</v>
      </c>
      <c r="R17" s="20" t="n">
        <v>0</v>
      </c>
    </row>
    <row r="18" spans="1:18">
      <c r="A18" s="15" t="s">
        <v>360</v>
      </c>
      <c r="B18" s="17" t="n">
        <v>5532</v>
      </c>
      <c r="C18" s="18">
        <f>(4837.0/B18*100)</f>
        <v/>
      </c>
      <c r="D18" s="19" t="n">
        <v>695</v>
      </c>
      <c r="E18" s="18" t="n">
        <v>0</v>
      </c>
      <c r="F18" s="20" t="n">
        <v>0</v>
      </c>
      <c r="G18" s="18" t="n">
        <v>0</v>
      </c>
      <c r="H18" s="20" t="n">
        <v>0</v>
      </c>
      <c r="I18" s="18" t="s">
        <v>349</v>
      </c>
      <c r="J18" s="20" t="s">
        <v>349</v>
      </c>
      <c r="K18" s="18" t="n">
        <v>0</v>
      </c>
      <c r="L18" s="20" t="n">
        <v>0</v>
      </c>
      <c r="M18" s="18" t="n">
        <v>100</v>
      </c>
      <c r="N18" s="20" t="n">
        <v>0</v>
      </c>
      <c r="O18" s="18" t="n">
        <v>0</v>
      </c>
      <c r="P18" s="20" t="n">
        <v>0</v>
      </c>
      <c r="Q18" s="18" t="n">
        <v>0</v>
      </c>
      <c r="R18" s="20" t="n">
        <v>0</v>
      </c>
    </row>
    <row r="19" spans="1:18">
      <c r="A19" s="15" t="s">
        <v>361</v>
      </c>
      <c r="B19" s="17" t="n">
        <v>5658</v>
      </c>
      <c r="C19" s="18">
        <f>(4958.0/B19*100)</f>
        <v/>
      </c>
      <c r="D19" s="19" t="n">
        <v>700</v>
      </c>
      <c r="E19" s="18" t="n">
        <v>0</v>
      </c>
      <c r="F19" s="20" t="n">
        <v>0</v>
      </c>
      <c r="G19" s="18" t="n">
        <v>0</v>
      </c>
      <c r="H19" s="20" t="n">
        <v>0</v>
      </c>
      <c r="I19" s="18" t="s">
        <v>349</v>
      </c>
      <c r="J19" s="20" t="s">
        <v>349</v>
      </c>
      <c r="K19" s="18" t="n">
        <v>0</v>
      </c>
      <c r="L19" s="20" t="n">
        <v>0</v>
      </c>
      <c r="M19" s="18" t="n">
        <v>100</v>
      </c>
      <c r="N19" s="20" t="n">
        <v>0</v>
      </c>
      <c r="O19" s="18" t="n">
        <v>0</v>
      </c>
      <c r="P19" s="20" t="n">
        <v>0</v>
      </c>
      <c r="Q19" s="18" t="n">
        <v>0</v>
      </c>
      <c r="R19" s="20" t="n">
        <v>0</v>
      </c>
    </row>
    <row r="20" spans="1:18">
      <c r="A20" s="15" t="s">
        <v>362</v>
      </c>
      <c r="B20" s="17" t="n">
        <v>3371</v>
      </c>
      <c r="C20" s="18">
        <f>(2951.0/B20*100)</f>
        <v/>
      </c>
      <c r="D20" s="19" t="n">
        <v>420</v>
      </c>
      <c r="E20" s="18" t="n">
        <v>0</v>
      </c>
      <c r="F20" s="20" t="n">
        <v>0</v>
      </c>
      <c r="G20" s="18" t="n">
        <v>0</v>
      </c>
      <c r="H20" s="20" t="n">
        <v>0</v>
      </c>
      <c r="I20" s="18" t="s">
        <v>349</v>
      </c>
      <c r="J20" s="20" t="s">
        <v>349</v>
      </c>
      <c r="K20" s="18" t="n">
        <v>0</v>
      </c>
      <c r="L20" s="20" t="n">
        <v>0</v>
      </c>
      <c r="M20" s="18" t="n">
        <v>100</v>
      </c>
      <c r="N20" s="20" t="n">
        <v>0</v>
      </c>
      <c r="O20" s="18" t="n">
        <v>0</v>
      </c>
      <c r="P20" s="20" t="n">
        <v>0</v>
      </c>
      <c r="Q20" s="18" t="n">
        <v>0</v>
      </c>
      <c r="R20" s="20" t="n">
        <v>0</v>
      </c>
    </row>
    <row r="21" spans="1:18">
      <c r="A21" s="15" t="s">
        <v>363</v>
      </c>
      <c r="B21" s="17" t="n">
        <v>5741</v>
      </c>
      <c r="C21" s="18">
        <f>(4781.0/B21*100)</f>
        <v/>
      </c>
      <c r="D21" s="19" t="n">
        <v>960</v>
      </c>
      <c r="E21" s="18" t="n">
        <v>0</v>
      </c>
      <c r="F21" s="20" t="n">
        <v>0</v>
      </c>
      <c r="G21" s="18" t="n">
        <v>0</v>
      </c>
      <c r="H21" s="20" t="n">
        <v>0</v>
      </c>
      <c r="I21" s="18" t="s">
        <v>349</v>
      </c>
      <c r="J21" s="20" t="s">
        <v>349</v>
      </c>
      <c r="K21" s="18" t="n">
        <v>0</v>
      </c>
      <c r="L21" s="20" t="n">
        <v>0</v>
      </c>
      <c r="M21" s="18" t="n">
        <v>100</v>
      </c>
      <c r="N21" s="20" t="n">
        <v>0</v>
      </c>
      <c r="O21" s="18" t="n">
        <v>0</v>
      </c>
      <c r="P21" s="20" t="n">
        <v>0</v>
      </c>
      <c r="Q21" s="18" t="n">
        <v>0</v>
      </c>
      <c r="R21" s="20" t="n">
        <v>0</v>
      </c>
    </row>
    <row r="22" spans="1:18">
      <c r="A22" s="15" t="s">
        <v>364</v>
      </c>
      <c r="B22" s="17" t="n">
        <v>6598</v>
      </c>
      <c r="C22" s="18">
        <f>(5782.0/B22*100)</f>
        <v/>
      </c>
      <c r="D22" s="19" t="n">
        <v>816</v>
      </c>
      <c r="E22" s="18" t="n">
        <v>0</v>
      </c>
      <c r="F22" s="20" t="n">
        <v>0</v>
      </c>
      <c r="G22" s="18" t="n">
        <v>0</v>
      </c>
      <c r="H22" s="20" t="n">
        <v>0</v>
      </c>
      <c r="I22" s="18" t="s">
        <v>349</v>
      </c>
      <c r="J22" s="20" t="s">
        <v>349</v>
      </c>
      <c r="K22" s="18" t="n">
        <v>0</v>
      </c>
      <c r="L22" s="20" t="n">
        <v>0</v>
      </c>
      <c r="M22" s="18" t="n">
        <v>100</v>
      </c>
      <c r="N22" s="20" t="n">
        <v>0</v>
      </c>
      <c r="O22" s="18" t="n">
        <v>0</v>
      </c>
      <c r="P22" s="20" t="n">
        <v>0</v>
      </c>
      <c r="Q22" s="18" t="n">
        <v>0</v>
      </c>
      <c r="R22" s="20" t="n">
        <v>0</v>
      </c>
    </row>
    <row r="23" spans="1:18">
      <c r="A23" s="15" t="s">
        <v>365</v>
      </c>
      <c r="B23" s="17" t="n">
        <v>11583</v>
      </c>
      <c r="C23" s="18">
        <f>(10158.0/B23*100)</f>
        <v/>
      </c>
      <c r="D23" s="19" t="n">
        <v>1425</v>
      </c>
      <c r="E23" s="18" t="n">
        <v>0</v>
      </c>
      <c r="F23" s="20" t="n">
        <v>0</v>
      </c>
      <c r="G23" s="18" t="n">
        <v>0</v>
      </c>
      <c r="H23" s="20" t="n">
        <v>0</v>
      </c>
      <c r="I23" s="18" t="s">
        <v>349</v>
      </c>
      <c r="J23" s="20" t="s">
        <v>349</v>
      </c>
      <c r="K23" s="18" t="n">
        <v>0</v>
      </c>
      <c r="L23" s="20" t="n">
        <v>0</v>
      </c>
      <c r="M23" s="18" t="n">
        <v>100</v>
      </c>
      <c r="N23" s="20" t="n">
        <v>0</v>
      </c>
      <c r="O23" s="18" t="n">
        <v>0</v>
      </c>
      <c r="P23" s="20" t="n">
        <v>0</v>
      </c>
      <c r="Q23" s="18" t="n">
        <v>0</v>
      </c>
      <c r="R23" s="20" t="n">
        <v>0</v>
      </c>
    </row>
    <row r="24" spans="1:18">
      <c r="A24" s="15" t="s">
        <v>366</v>
      </c>
      <c r="B24" s="17" t="n">
        <v>6647</v>
      </c>
      <c r="C24" s="18">
        <f>(5806.0/B24*100)</f>
        <v/>
      </c>
      <c r="D24" s="19" t="n">
        <v>841</v>
      </c>
      <c r="E24" s="18" t="n">
        <v>0</v>
      </c>
      <c r="F24" s="20" t="n">
        <v>0</v>
      </c>
      <c r="G24" s="18" t="n">
        <v>0</v>
      </c>
      <c r="H24" s="20" t="n">
        <v>0</v>
      </c>
      <c r="I24" s="18" t="s">
        <v>349</v>
      </c>
      <c r="J24" s="20" t="s">
        <v>349</v>
      </c>
      <c r="K24" s="18" t="n">
        <v>0</v>
      </c>
      <c r="L24" s="20" t="n">
        <v>0</v>
      </c>
      <c r="M24" s="18" t="n">
        <v>100</v>
      </c>
      <c r="N24" s="20" t="n">
        <v>0</v>
      </c>
      <c r="O24" s="18" t="n">
        <v>0</v>
      </c>
      <c r="P24" s="20" t="n">
        <v>0</v>
      </c>
      <c r="Q24" s="18" t="n">
        <v>0</v>
      </c>
      <c r="R24" s="20" t="n">
        <v>0</v>
      </c>
    </row>
    <row r="25" spans="1:18">
      <c r="A25" s="15" t="s">
        <v>367</v>
      </c>
      <c r="B25" s="17" t="n">
        <v>5581</v>
      </c>
      <c r="C25" s="18">
        <f>(4905.0/B25*100)</f>
        <v/>
      </c>
      <c r="D25" s="19" t="n">
        <v>676</v>
      </c>
      <c r="E25" s="18" t="n">
        <v>0</v>
      </c>
      <c r="F25" s="20" t="n">
        <v>0</v>
      </c>
      <c r="G25" s="18" t="n">
        <v>0</v>
      </c>
      <c r="H25" s="20" t="n">
        <v>0</v>
      </c>
      <c r="I25" s="18" t="s">
        <v>349</v>
      </c>
      <c r="J25" s="20" t="s">
        <v>349</v>
      </c>
      <c r="K25" s="18" t="n">
        <v>0</v>
      </c>
      <c r="L25" s="20" t="n">
        <v>0</v>
      </c>
      <c r="M25" s="18" t="n">
        <v>100</v>
      </c>
      <c r="N25" s="20" t="n">
        <v>0</v>
      </c>
      <c r="O25" s="18" t="n">
        <v>0</v>
      </c>
      <c r="P25" s="20" t="n">
        <v>0</v>
      </c>
      <c r="Q25" s="18" t="n">
        <v>0</v>
      </c>
      <c r="R25" s="20" t="n">
        <v>0</v>
      </c>
    </row>
    <row r="26" spans="1:18">
      <c r="A26" s="15" t="s">
        <v>368</v>
      </c>
      <c r="B26" s="17" t="n">
        <v>4869</v>
      </c>
      <c r="C26" s="18">
        <f>(4282.0/B26*100)</f>
        <v/>
      </c>
      <c r="D26" s="19" t="n">
        <v>587</v>
      </c>
      <c r="E26" s="18" t="n">
        <v>0</v>
      </c>
      <c r="F26" s="20" t="n">
        <v>0</v>
      </c>
      <c r="G26" s="18" t="n">
        <v>0</v>
      </c>
      <c r="H26" s="20" t="n">
        <v>0</v>
      </c>
      <c r="I26" s="18" t="s">
        <v>349</v>
      </c>
      <c r="J26" s="20" t="s">
        <v>349</v>
      </c>
      <c r="K26" s="18" t="n">
        <v>0</v>
      </c>
      <c r="L26" s="20" t="n">
        <v>0</v>
      </c>
      <c r="M26" s="18" t="n">
        <v>100</v>
      </c>
      <c r="N26" s="20" t="n">
        <v>0</v>
      </c>
      <c r="O26" s="18" t="n">
        <v>0</v>
      </c>
      <c r="P26" s="20" t="n">
        <v>0</v>
      </c>
      <c r="Q26" s="18" t="n">
        <v>0</v>
      </c>
      <c r="R26" s="20" t="n">
        <v>0</v>
      </c>
    </row>
    <row r="27" spans="1:18">
      <c r="A27" s="15" t="s">
        <v>369</v>
      </c>
      <c r="B27" s="17" t="n">
        <v>5299</v>
      </c>
      <c r="C27" s="18">
        <f>(4657.0/B27*100)</f>
        <v/>
      </c>
      <c r="D27" s="19" t="n">
        <v>642</v>
      </c>
      <c r="E27" s="18" t="n">
        <v>0</v>
      </c>
      <c r="F27" s="20" t="n">
        <v>0</v>
      </c>
      <c r="G27" s="18" t="n">
        <v>0</v>
      </c>
      <c r="H27" s="20" t="n">
        <v>0</v>
      </c>
      <c r="I27" s="18" t="s">
        <v>349</v>
      </c>
      <c r="J27" s="20" t="s">
        <v>349</v>
      </c>
      <c r="K27" s="18" t="n">
        <v>0</v>
      </c>
      <c r="L27" s="20" t="n">
        <v>0</v>
      </c>
      <c r="M27" s="18" t="n">
        <v>100</v>
      </c>
      <c r="N27" s="20" t="n">
        <v>0</v>
      </c>
      <c r="O27" s="18" t="n">
        <v>0</v>
      </c>
      <c r="P27" s="20" t="n">
        <v>0</v>
      </c>
      <c r="Q27" s="18" t="n">
        <v>0</v>
      </c>
      <c r="R27" s="20" t="n">
        <v>0</v>
      </c>
    </row>
    <row r="28" spans="1:18">
      <c r="A28" s="15" t="s">
        <v>370</v>
      </c>
      <c r="B28" s="17" t="n">
        <v>7568</v>
      </c>
      <c r="C28" s="18">
        <f>(6671.0/B28*100)</f>
        <v/>
      </c>
      <c r="D28" s="19" t="n">
        <v>897</v>
      </c>
      <c r="E28" s="18" t="n">
        <v>0</v>
      </c>
      <c r="F28" s="20" t="n">
        <v>0</v>
      </c>
      <c r="G28" s="18" t="n">
        <v>0</v>
      </c>
      <c r="H28" s="20" t="n">
        <v>0</v>
      </c>
      <c r="I28" s="18" t="s">
        <v>349</v>
      </c>
      <c r="J28" s="20" t="s">
        <v>349</v>
      </c>
      <c r="K28" s="18" t="n">
        <v>0</v>
      </c>
      <c r="L28" s="20" t="n">
        <v>0</v>
      </c>
      <c r="M28" s="18" t="n">
        <v>100</v>
      </c>
      <c r="N28" s="20" t="n">
        <v>0</v>
      </c>
      <c r="O28" s="18" t="n">
        <v>0</v>
      </c>
      <c r="P28" s="20" t="n">
        <v>0</v>
      </c>
      <c r="Q28" s="18" t="n">
        <v>0</v>
      </c>
      <c r="R28" s="20" t="n">
        <v>0</v>
      </c>
    </row>
    <row r="29" spans="1:18">
      <c r="A29" s="15" t="s">
        <v>371</v>
      </c>
      <c r="B29" s="17" t="n">
        <v>5385</v>
      </c>
      <c r="C29" s="18">
        <f>(4755.0/B29*100)</f>
        <v/>
      </c>
      <c r="D29" s="19" t="n">
        <v>630</v>
      </c>
      <c r="E29" s="18" t="n">
        <v>0</v>
      </c>
      <c r="F29" s="20" t="n">
        <v>0</v>
      </c>
      <c r="G29" s="18" t="n">
        <v>0</v>
      </c>
      <c r="H29" s="20" t="n">
        <v>0</v>
      </c>
      <c r="I29" s="18" t="s">
        <v>349</v>
      </c>
      <c r="J29" s="20" t="s">
        <v>349</v>
      </c>
      <c r="K29" s="18" t="n">
        <v>0</v>
      </c>
      <c r="L29" s="20" t="n">
        <v>0</v>
      </c>
      <c r="M29" s="18" t="n">
        <v>100</v>
      </c>
      <c r="N29" s="20" t="n">
        <v>0</v>
      </c>
      <c r="O29" s="18" t="n">
        <v>0</v>
      </c>
      <c r="P29" s="20" t="n">
        <v>0</v>
      </c>
      <c r="Q29" s="18" t="n">
        <v>0</v>
      </c>
      <c r="R29" s="20" t="n">
        <v>0</v>
      </c>
    </row>
    <row r="30" spans="1:18">
      <c r="A30" s="15" t="s">
        <v>372</v>
      </c>
      <c r="B30" s="17" t="n">
        <v>4520</v>
      </c>
      <c r="C30" s="18">
        <f>(3960.0/B30*100)</f>
        <v/>
      </c>
      <c r="D30" s="19" t="n">
        <v>560</v>
      </c>
      <c r="E30" s="18" t="n">
        <v>0</v>
      </c>
      <c r="F30" s="20" t="n">
        <v>0</v>
      </c>
      <c r="G30" s="18" t="n">
        <v>0</v>
      </c>
      <c r="H30" s="20" t="n">
        <v>0</v>
      </c>
      <c r="I30" s="18" t="s">
        <v>349</v>
      </c>
      <c r="J30" s="20" t="s">
        <v>349</v>
      </c>
      <c r="K30" s="18" t="n">
        <v>0</v>
      </c>
      <c r="L30" s="20" t="n">
        <v>0</v>
      </c>
      <c r="M30" s="18" t="n">
        <v>100</v>
      </c>
      <c r="N30" s="20" t="n">
        <v>0</v>
      </c>
      <c r="O30" s="18" t="n">
        <v>0</v>
      </c>
      <c r="P30" s="20" t="n">
        <v>0</v>
      </c>
      <c r="Q30" s="18" t="n">
        <v>0</v>
      </c>
      <c r="R30" s="20" t="n">
        <v>0</v>
      </c>
    </row>
    <row r="31" spans="1:18">
      <c r="A31" s="15" t="s">
        <v>373</v>
      </c>
      <c r="B31" s="17" t="n">
        <v>5456</v>
      </c>
      <c r="C31" s="18">
        <f>(4775.0/B31*100)</f>
        <v/>
      </c>
      <c r="D31" s="19" t="n">
        <v>681</v>
      </c>
      <c r="E31" s="18" t="n">
        <v>0</v>
      </c>
      <c r="F31" s="20" t="n">
        <v>0</v>
      </c>
      <c r="G31" s="18" t="n">
        <v>0</v>
      </c>
      <c r="H31" s="20" t="n">
        <v>0</v>
      </c>
      <c r="I31" s="18" t="s">
        <v>349</v>
      </c>
      <c r="J31" s="20" t="s">
        <v>349</v>
      </c>
      <c r="K31" s="18" t="n">
        <v>0</v>
      </c>
      <c r="L31" s="20" t="n">
        <v>0</v>
      </c>
      <c r="M31" s="18" t="n">
        <v>100</v>
      </c>
      <c r="N31" s="20" t="n">
        <v>0</v>
      </c>
      <c r="O31" s="18" t="n">
        <v>0</v>
      </c>
      <c r="P31" s="20" t="n">
        <v>0</v>
      </c>
      <c r="Q31" s="18" t="n">
        <v>0</v>
      </c>
      <c r="R31" s="20" t="n">
        <v>0</v>
      </c>
    </row>
    <row r="32" spans="1:18">
      <c r="A32" s="15" t="s">
        <v>374</v>
      </c>
      <c r="B32" s="17" t="n">
        <v>4478</v>
      </c>
      <c r="C32" s="18">
        <f>(3730.0/B32*100)</f>
        <v/>
      </c>
      <c r="D32" s="19" t="n">
        <v>748</v>
      </c>
      <c r="E32" s="18" t="n">
        <v>0</v>
      </c>
      <c r="F32" s="20" t="n">
        <v>0</v>
      </c>
      <c r="G32" s="18" t="n">
        <v>0</v>
      </c>
      <c r="H32" s="20" t="n">
        <v>0</v>
      </c>
      <c r="I32" s="18" t="s">
        <v>349</v>
      </c>
      <c r="J32" s="20" t="s">
        <v>349</v>
      </c>
      <c r="K32" s="18" t="n">
        <v>0</v>
      </c>
      <c r="L32" s="20" t="n">
        <v>0</v>
      </c>
      <c r="M32" s="18" t="n">
        <v>100</v>
      </c>
      <c r="N32" s="20" t="n">
        <v>0</v>
      </c>
      <c r="O32" s="18" t="n">
        <v>0</v>
      </c>
      <c r="P32" s="20" t="n">
        <v>0</v>
      </c>
      <c r="Q32" s="18" t="n">
        <v>0</v>
      </c>
      <c r="R32" s="20" t="n">
        <v>0</v>
      </c>
    </row>
    <row r="33" spans="1:18">
      <c r="A33" s="15" t="s">
        <v>375</v>
      </c>
      <c r="B33" s="17" t="n">
        <v>7325</v>
      </c>
      <c r="C33" s="18">
        <f>(6424.0/B33*100)</f>
        <v/>
      </c>
      <c r="D33" s="19" t="n">
        <v>901</v>
      </c>
      <c r="E33" s="18" t="n">
        <v>0</v>
      </c>
      <c r="F33" s="20" t="n">
        <v>0</v>
      </c>
      <c r="G33" s="18" t="n">
        <v>0</v>
      </c>
      <c r="H33" s="20" t="n">
        <v>0</v>
      </c>
      <c r="I33" s="18" t="s">
        <v>349</v>
      </c>
      <c r="J33" s="20" t="s">
        <v>349</v>
      </c>
      <c r="K33" s="18" t="n">
        <v>0</v>
      </c>
      <c r="L33" s="20" t="n">
        <v>0</v>
      </c>
      <c r="M33" s="18" t="n">
        <v>100</v>
      </c>
      <c r="N33" s="20" t="n">
        <v>0</v>
      </c>
      <c r="O33" s="18" t="n">
        <v>0</v>
      </c>
      <c r="P33" s="20" t="n">
        <v>0</v>
      </c>
      <c r="Q33" s="18" t="n">
        <v>0</v>
      </c>
      <c r="R33" s="20" t="n">
        <v>0</v>
      </c>
    </row>
    <row r="34" spans="1:18">
      <c r="A34" s="15" t="s">
        <v>376</v>
      </c>
      <c r="B34" s="17" t="n">
        <v>6350</v>
      </c>
      <c r="C34" s="18">
        <f>(5587.0/B34*100)</f>
        <v/>
      </c>
      <c r="D34" s="19" t="n">
        <v>763</v>
      </c>
      <c r="E34" s="18" t="n">
        <v>0</v>
      </c>
      <c r="F34" s="20" t="n">
        <v>0</v>
      </c>
      <c r="G34" s="18" t="n">
        <v>0</v>
      </c>
      <c r="H34" s="20" t="n">
        <v>0</v>
      </c>
      <c r="I34" s="18" t="s">
        <v>349</v>
      </c>
      <c r="J34" s="20" t="s">
        <v>349</v>
      </c>
      <c r="K34" s="18" t="n">
        <v>0</v>
      </c>
      <c r="L34" s="20" t="n">
        <v>0</v>
      </c>
      <c r="M34" s="18" t="n">
        <v>100</v>
      </c>
      <c r="N34" s="20" t="n">
        <v>0</v>
      </c>
      <c r="O34" s="18" t="n">
        <v>0</v>
      </c>
      <c r="P34" s="20" t="n">
        <v>0</v>
      </c>
      <c r="Q34" s="18" t="n">
        <v>0</v>
      </c>
      <c r="R34" s="20" t="n">
        <v>0</v>
      </c>
    </row>
    <row r="35" spans="1:18">
      <c r="A35" s="15" t="s">
        <v>377</v>
      </c>
      <c r="B35" s="17" t="n">
        <v>6406</v>
      </c>
      <c r="C35" s="18">
        <f>(5627.0/B35*100)</f>
        <v/>
      </c>
      <c r="D35" s="19" t="n">
        <v>779</v>
      </c>
      <c r="E35" s="18" t="n">
        <v>0</v>
      </c>
      <c r="F35" s="20" t="n">
        <v>0</v>
      </c>
      <c r="G35" s="18" t="n">
        <v>0</v>
      </c>
      <c r="H35" s="20" t="n">
        <v>0</v>
      </c>
      <c r="I35" s="18" t="s">
        <v>349</v>
      </c>
      <c r="J35" s="20" t="s">
        <v>349</v>
      </c>
      <c r="K35" s="18" t="n">
        <v>0</v>
      </c>
      <c r="L35" s="20" t="n">
        <v>0</v>
      </c>
      <c r="M35" s="18" t="n">
        <v>100</v>
      </c>
      <c r="N35" s="20" t="n">
        <v>0</v>
      </c>
      <c r="O35" s="18" t="n">
        <v>0</v>
      </c>
      <c r="P35" s="20" t="n">
        <v>0</v>
      </c>
      <c r="Q35" s="18" t="n">
        <v>0</v>
      </c>
      <c r="R35" s="20" t="n">
        <v>0</v>
      </c>
    </row>
    <row r="36" spans="1:18">
      <c r="A36" s="15" t="s">
        <v>378</v>
      </c>
      <c r="B36" s="17" t="n">
        <v>6736</v>
      </c>
      <c r="C36" s="18">
        <f>(5915.0/B36*100)</f>
        <v/>
      </c>
      <c r="D36" s="19" t="n">
        <v>821</v>
      </c>
      <c r="E36" s="18" t="n">
        <v>0</v>
      </c>
      <c r="F36" s="20" t="n">
        <v>0</v>
      </c>
      <c r="G36" s="18" t="n">
        <v>0</v>
      </c>
      <c r="H36" s="20" t="n">
        <v>0</v>
      </c>
      <c r="I36" s="18" t="s">
        <v>349</v>
      </c>
      <c r="J36" s="20" t="s">
        <v>349</v>
      </c>
      <c r="K36" s="18" t="n">
        <v>0</v>
      </c>
      <c r="L36" s="20" t="n">
        <v>0</v>
      </c>
      <c r="M36" s="18" t="n">
        <v>100</v>
      </c>
      <c r="N36" s="20" t="n">
        <v>0</v>
      </c>
      <c r="O36" s="18" t="n">
        <v>0</v>
      </c>
      <c r="P36" s="20" t="n">
        <v>0</v>
      </c>
      <c r="Q36" s="18" t="n">
        <v>0</v>
      </c>
      <c r="R36" s="20" t="n">
        <v>0</v>
      </c>
    </row>
    <row r="37" spans="1:18">
      <c r="A37" s="15" t="s">
        <v>379</v>
      </c>
      <c r="B37" s="17" t="n">
        <v>5458</v>
      </c>
      <c r="C37" s="18">
        <f>(4785.0/B37*100)</f>
        <v/>
      </c>
      <c r="D37" s="19" t="n">
        <v>673</v>
      </c>
      <c r="E37" s="18" t="n">
        <v>0</v>
      </c>
      <c r="F37" s="20" t="n">
        <v>0</v>
      </c>
      <c r="G37" s="18" t="n">
        <v>0</v>
      </c>
      <c r="H37" s="20" t="n">
        <v>0</v>
      </c>
      <c r="I37" s="18" t="s">
        <v>349</v>
      </c>
      <c r="J37" s="20" t="s">
        <v>349</v>
      </c>
      <c r="K37" s="18" t="n">
        <v>0</v>
      </c>
      <c r="L37" s="20" t="n">
        <v>0</v>
      </c>
      <c r="M37" s="18" t="n">
        <v>100</v>
      </c>
      <c r="N37" s="20" t="n">
        <v>0</v>
      </c>
      <c r="O37" s="18" t="n">
        <v>0</v>
      </c>
      <c r="P37" s="20" t="n">
        <v>0</v>
      </c>
      <c r="Q37" s="18" t="n">
        <v>0</v>
      </c>
      <c r="R37" s="20" t="n">
        <v>0</v>
      </c>
    </row>
    <row r="38" spans="1:18">
      <c r="A38" s="15" t="s">
        <v>380</v>
      </c>
      <c r="B38" s="17" t="n">
        <v>5860</v>
      </c>
      <c r="C38" s="18">
        <f>(4910.0/B38*100)</f>
        <v/>
      </c>
      <c r="D38" s="19" t="n">
        <v>950</v>
      </c>
      <c r="E38" s="18" t="n">
        <v>0</v>
      </c>
      <c r="F38" s="20" t="n">
        <v>0</v>
      </c>
      <c r="G38" s="18" t="n">
        <v>0</v>
      </c>
      <c r="H38" s="20" t="n">
        <v>0</v>
      </c>
      <c r="I38" s="18" t="s">
        <v>349</v>
      </c>
      <c r="J38" s="20" t="s">
        <v>349</v>
      </c>
      <c r="K38" s="18" t="n">
        <v>0</v>
      </c>
      <c r="L38" s="20" t="n">
        <v>0</v>
      </c>
      <c r="M38" s="18" t="n">
        <v>100</v>
      </c>
      <c r="N38" s="20" t="n">
        <v>0</v>
      </c>
      <c r="O38" s="18" t="n">
        <v>0</v>
      </c>
      <c r="P38" s="20" t="n">
        <v>0</v>
      </c>
      <c r="Q38" s="18" t="n">
        <v>0</v>
      </c>
      <c r="R38" s="20" t="n">
        <v>0</v>
      </c>
    </row>
    <row r="39" spans="1:18">
      <c r="A39" s="15" t="s">
        <v>381</v>
      </c>
      <c r="B39" s="17" t="n">
        <v>5895</v>
      </c>
      <c r="C39" s="18">
        <f>(5170.0/B39*100)</f>
        <v/>
      </c>
      <c r="D39" s="19" t="n">
        <v>725</v>
      </c>
      <c r="E39" s="18" t="n">
        <v>0</v>
      </c>
      <c r="F39" s="20" t="n">
        <v>0</v>
      </c>
      <c r="G39" s="18" t="n">
        <v>0</v>
      </c>
      <c r="H39" s="20" t="n">
        <v>0</v>
      </c>
      <c r="I39" s="18" t="s">
        <v>349</v>
      </c>
      <c r="J39" s="20" t="s">
        <v>349</v>
      </c>
      <c r="K39" s="18" t="n">
        <v>0</v>
      </c>
      <c r="L39" s="20" t="n">
        <v>0</v>
      </c>
      <c r="M39" s="18" t="n">
        <v>100</v>
      </c>
      <c r="N39" s="20" t="n">
        <v>0</v>
      </c>
      <c r="O39" s="18" t="n">
        <v>0</v>
      </c>
      <c r="P39" s="20" t="n">
        <v>0</v>
      </c>
      <c r="Q39" s="18" t="n">
        <v>0</v>
      </c>
      <c r="R39" s="20" t="n">
        <v>0</v>
      </c>
    </row>
    <row r="40" spans="1:18">
      <c r="A40" s="15" t="s">
        <v>382</v>
      </c>
      <c r="B40" s="17" t="n">
        <v>14157</v>
      </c>
      <c r="C40" s="18">
        <f>(12416.0/B40*100)</f>
        <v/>
      </c>
      <c r="D40" s="19" t="n">
        <v>1741</v>
      </c>
      <c r="E40" s="18" t="n">
        <v>0</v>
      </c>
      <c r="F40" s="20" t="n">
        <v>0</v>
      </c>
      <c r="G40" s="18" t="n">
        <v>0</v>
      </c>
      <c r="H40" s="20" t="n">
        <v>0</v>
      </c>
      <c r="I40" s="18" t="s">
        <v>349</v>
      </c>
      <c r="J40" s="20" t="s">
        <v>349</v>
      </c>
      <c r="K40" s="18" t="n">
        <v>0</v>
      </c>
      <c r="L40" s="20" t="n">
        <v>0</v>
      </c>
      <c r="M40" s="18" t="n">
        <v>100</v>
      </c>
      <c r="N40" s="20" t="n">
        <v>0</v>
      </c>
      <c r="O40" s="18" t="n">
        <v>0</v>
      </c>
      <c r="P40" s="20" t="n">
        <v>0</v>
      </c>
      <c r="Q40" s="18" t="n">
        <v>0</v>
      </c>
      <c r="R40" s="20" t="n">
        <v>0</v>
      </c>
    </row>
    <row r="41" spans="1:18">
      <c r="A41" s="15" t="s">
        <v>383</v>
      </c>
      <c r="B41" s="17" t="n">
        <v>5712</v>
      </c>
      <c r="C41" s="18">
        <f>(5014.0/B41*100)</f>
        <v/>
      </c>
      <c r="D41" s="19" t="n">
        <v>698</v>
      </c>
      <c r="E41" s="18" t="n">
        <v>0</v>
      </c>
      <c r="F41" s="20" t="n">
        <v>0</v>
      </c>
      <c r="G41" s="18" t="n">
        <v>0</v>
      </c>
      <c r="H41" s="20" t="n">
        <v>0</v>
      </c>
      <c r="I41" s="18" t="s">
        <v>349</v>
      </c>
      <c r="J41" s="20" t="s">
        <v>349</v>
      </c>
      <c r="K41" s="18" t="n">
        <v>0</v>
      </c>
      <c r="L41" s="20" t="n">
        <v>0</v>
      </c>
      <c r="M41" s="18" t="n">
        <v>100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(20544.0/B46*100)</f>
        <v/>
      </c>
      <c r="D46" s="19" t="n">
        <v>2597</v>
      </c>
      <c r="E46" s="18" t="n">
        <v>0</v>
      </c>
      <c r="F46" s="20" t="n">
        <v>0</v>
      </c>
      <c r="G46" s="18" t="n">
        <v>0</v>
      </c>
      <c r="H46" s="20" t="n">
        <v>0</v>
      </c>
      <c r="I46" s="18" t="s">
        <v>349</v>
      </c>
      <c r="J46" s="20" t="s">
        <v>349</v>
      </c>
      <c r="K46" s="18" t="n">
        <v>0</v>
      </c>
      <c r="L46" s="20" t="n">
        <v>0</v>
      </c>
      <c r="M46" s="18" t="n">
        <v>100</v>
      </c>
      <c r="N46" s="20" t="n">
        <v>0</v>
      </c>
      <c r="O46" s="18" t="n">
        <v>0</v>
      </c>
      <c r="P46" s="20" t="n">
        <v>0</v>
      </c>
      <c r="Q46" s="18" t="n">
        <v>0</v>
      </c>
      <c r="R46" s="20" t="n">
        <v>0</v>
      </c>
    </row>
    <row r="47" spans="1:18">
      <c r="A47" s="15" t="s">
        <v>389</v>
      </c>
      <c r="B47" s="17" t="n">
        <v>5928</v>
      </c>
      <c r="C47" s="18">
        <f>(5204.0/B47*100)</f>
        <v/>
      </c>
      <c r="D47" s="19" t="n">
        <v>724</v>
      </c>
      <c r="E47" s="18" t="n">
        <v>0</v>
      </c>
      <c r="F47" s="20" t="n">
        <v>0</v>
      </c>
      <c r="G47" s="18" t="n">
        <v>0</v>
      </c>
      <c r="H47" s="20" t="n">
        <v>0</v>
      </c>
      <c r="I47" s="18" t="s">
        <v>349</v>
      </c>
      <c r="J47" s="20" t="s">
        <v>349</v>
      </c>
      <c r="K47" s="18" t="n">
        <v>0</v>
      </c>
      <c r="L47" s="20" t="n">
        <v>0</v>
      </c>
      <c r="M47" s="18" t="n">
        <v>100</v>
      </c>
      <c r="N47" s="20" t="n">
        <v>0</v>
      </c>
      <c r="O47" s="18" t="n">
        <v>0</v>
      </c>
      <c r="P47" s="20" t="n">
        <v>0</v>
      </c>
      <c r="Q47" s="18" t="n">
        <v>0</v>
      </c>
      <c r="R47" s="20" t="n">
        <v>0</v>
      </c>
    </row>
    <row r="48" spans="1:18">
      <c r="A48" s="15" t="s">
        <v>390</v>
      </c>
      <c r="B48" s="17" t="n">
        <v>9841</v>
      </c>
      <c r="C48" s="18">
        <f>(8640.0/B48*100)</f>
        <v/>
      </c>
      <c r="D48" s="19" t="n">
        <v>1201</v>
      </c>
      <c r="E48" s="18" t="n">
        <v>0</v>
      </c>
      <c r="F48" s="20" t="n">
        <v>0</v>
      </c>
      <c r="G48" s="18" t="n">
        <v>0</v>
      </c>
      <c r="H48" s="20" t="n">
        <v>0</v>
      </c>
      <c r="I48" s="18" t="s">
        <v>349</v>
      </c>
      <c r="J48" s="20" t="s">
        <v>349</v>
      </c>
      <c r="K48" s="18" t="n">
        <v>0</v>
      </c>
      <c r="L48" s="20" t="n">
        <v>0</v>
      </c>
      <c r="M48" s="18" t="n">
        <v>100</v>
      </c>
      <c r="N48" s="20" t="n">
        <v>0</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(10340.0/B50*100)</f>
        <v/>
      </c>
      <c r="D50" s="19" t="n">
        <v>1455</v>
      </c>
      <c r="E50" s="18" t="n">
        <v>0</v>
      </c>
      <c r="F50" s="20" t="n">
        <v>0</v>
      </c>
      <c r="G50" s="18" t="n">
        <v>0</v>
      </c>
      <c r="H50" s="20" t="n">
        <v>0</v>
      </c>
      <c r="I50" s="18" t="s">
        <v>349</v>
      </c>
      <c r="J50" s="20" t="s">
        <v>349</v>
      </c>
      <c r="K50" s="18" t="n">
        <v>0</v>
      </c>
      <c r="L50" s="20" t="n">
        <v>0</v>
      </c>
      <c r="M50" s="18" t="n">
        <v>100</v>
      </c>
      <c r="N50" s="20" t="n">
        <v>0</v>
      </c>
      <c r="O50" s="18" t="n">
        <v>0</v>
      </c>
      <c r="P50" s="20" t="n">
        <v>0</v>
      </c>
      <c r="Q50" s="18" t="n">
        <v>0</v>
      </c>
      <c r="R50" s="20" t="n">
        <v>0</v>
      </c>
    </row>
    <row r="51" spans="1:18">
      <c r="A51" s="15" t="s">
        <v>393</v>
      </c>
      <c r="B51" s="17" t="n">
        <v>6866</v>
      </c>
      <c r="C51" s="18">
        <f>(6107.0/B51*100)</f>
        <v/>
      </c>
      <c r="D51" s="19" t="n">
        <v>759</v>
      </c>
      <c r="E51" s="18" t="n">
        <v>0</v>
      </c>
      <c r="F51" s="20" t="n">
        <v>0</v>
      </c>
      <c r="G51" s="18" t="n">
        <v>0</v>
      </c>
      <c r="H51" s="20" t="n">
        <v>0</v>
      </c>
      <c r="I51" s="18" t="s">
        <v>349</v>
      </c>
      <c r="J51" s="20" t="s">
        <v>349</v>
      </c>
      <c r="K51" s="18" t="n">
        <v>0</v>
      </c>
      <c r="L51" s="20" t="n">
        <v>0</v>
      </c>
      <c r="M51" s="18" t="n">
        <v>100</v>
      </c>
      <c r="N51" s="20" t="n">
        <v>0</v>
      </c>
      <c r="O51" s="18" t="n">
        <v>0</v>
      </c>
      <c r="P51" s="20" t="n">
        <v>0</v>
      </c>
      <c r="Q51" s="18" t="n">
        <v>0</v>
      </c>
      <c r="R51" s="20" t="n">
        <v>0</v>
      </c>
    </row>
    <row r="52" spans="1:18">
      <c r="A52" s="15" t="s">
        <v>394</v>
      </c>
      <c r="B52" s="17" t="n">
        <v>5809</v>
      </c>
      <c r="C52" s="18">
        <f>(5097.0/B52*100)</f>
        <v/>
      </c>
      <c r="D52" s="19" t="n">
        <v>712</v>
      </c>
      <c r="E52" s="18" t="n">
        <v>0</v>
      </c>
      <c r="F52" s="20" t="n">
        <v>0</v>
      </c>
      <c r="G52" s="18" t="n">
        <v>0</v>
      </c>
      <c r="H52" s="20" t="n">
        <v>0</v>
      </c>
      <c r="I52" s="18" t="s">
        <v>349</v>
      </c>
      <c r="J52" s="20" t="s">
        <v>349</v>
      </c>
      <c r="K52" s="18" t="n">
        <v>0</v>
      </c>
      <c r="L52" s="20" t="n">
        <v>0</v>
      </c>
      <c r="M52" s="18" t="n">
        <v>100</v>
      </c>
      <c r="N52" s="20" t="n">
        <v>0</v>
      </c>
      <c r="O52" s="18" t="n">
        <v>0</v>
      </c>
      <c r="P52" s="20" t="n">
        <v>0</v>
      </c>
      <c r="Q52" s="18" t="n">
        <v>0</v>
      </c>
      <c r="R52" s="20" t="n">
        <v>0</v>
      </c>
    </row>
    <row r="53" spans="1:18">
      <c r="A53" s="15" t="s">
        <v>395</v>
      </c>
      <c r="B53" s="17" t="n">
        <v>5571</v>
      </c>
      <c r="C53" s="18">
        <f>(4873.0/B53*100)</f>
        <v/>
      </c>
      <c r="D53" s="19" t="n">
        <v>698</v>
      </c>
      <c r="E53" s="18" t="n">
        <v>0</v>
      </c>
      <c r="F53" s="20" t="n">
        <v>0</v>
      </c>
      <c r="G53" s="18" t="n">
        <v>0</v>
      </c>
      <c r="H53" s="20" t="n">
        <v>0</v>
      </c>
      <c r="I53" s="18" t="s">
        <v>349</v>
      </c>
      <c r="J53" s="20" t="s">
        <v>349</v>
      </c>
      <c r="K53" s="18" t="n">
        <v>0</v>
      </c>
      <c r="L53" s="20" t="n">
        <v>0</v>
      </c>
      <c r="M53" s="18" t="n">
        <v>100</v>
      </c>
      <c r="N53" s="20" t="n">
        <v>0</v>
      </c>
      <c r="O53" s="18" t="n">
        <v>0</v>
      </c>
      <c r="P53" s="20" t="n">
        <v>0</v>
      </c>
      <c r="Q53" s="18" t="n">
        <v>0</v>
      </c>
      <c r="R53" s="20" t="n">
        <v>0</v>
      </c>
    </row>
    <row r="54" spans="1:18">
      <c r="A54" s="15" t="s">
        <v>396</v>
      </c>
      <c r="B54" s="17" t="n">
        <v>4740</v>
      </c>
      <c r="C54" s="18">
        <f>(3965.0/B54*100)</f>
        <v/>
      </c>
      <c r="D54" s="19" t="n">
        <v>775</v>
      </c>
      <c r="E54" s="18" t="n">
        <v>0</v>
      </c>
      <c r="F54" s="20" t="n">
        <v>0</v>
      </c>
      <c r="G54" s="18" t="n">
        <v>0</v>
      </c>
      <c r="H54" s="20" t="n">
        <v>0</v>
      </c>
      <c r="I54" s="18" t="s">
        <v>349</v>
      </c>
      <c r="J54" s="20" t="s">
        <v>349</v>
      </c>
      <c r="K54" s="18" t="n">
        <v>0</v>
      </c>
      <c r="L54" s="20" t="n">
        <v>0</v>
      </c>
      <c r="M54" s="18" t="n">
        <v>100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(4703.0/B56*100)</f>
        <v/>
      </c>
      <c r="D56" s="19" t="n">
        <v>656</v>
      </c>
      <c r="E56" s="18" t="n">
        <v>0</v>
      </c>
      <c r="F56" s="20" t="n">
        <v>0</v>
      </c>
      <c r="G56" s="18" t="n">
        <v>0</v>
      </c>
      <c r="H56" s="20" t="n">
        <v>0</v>
      </c>
      <c r="I56" s="18" t="s">
        <v>349</v>
      </c>
      <c r="J56" s="20" t="s">
        <v>349</v>
      </c>
      <c r="K56" s="18" t="n">
        <v>0</v>
      </c>
      <c r="L56" s="20" t="n">
        <v>0</v>
      </c>
      <c r="M56" s="18" t="n">
        <v>100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(5741.0/B61*100)</f>
        <v/>
      </c>
      <c r="D61" s="19" t="n">
        <v>784</v>
      </c>
      <c r="E61" s="18" t="n">
        <v>0</v>
      </c>
      <c r="F61" s="20" t="n">
        <v>0</v>
      </c>
      <c r="G61" s="18" t="n">
        <v>0</v>
      </c>
      <c r="H61" s="20" t="n">
        <v>0</v>
      </c>
      <c r="I61" s="18" t="s">
        <v>349</v>
      </c>
      <c r="J61" s="20" t="s">
        <v>349</v>
      </c>
      <c r="K61" s="18" t="n">
        <v>0</v>
      </c>
      <c r="L61" s="20" t="n">
        <v>0</v>
      </c>
      <c r="M61" s="18" t="n">
        <v>100</v>
      </c>
      <c r="N61" s="20" t="n">
        <v>0</v>
      </c>
      <c r="O61" s="18" t="n">
        <v>0</v>
      </c>
      <c r="P61" s="20" t="n">
        <v>0</v>
      </c>
      <c r="Q61" s="18" t="n">
        <v>0</v>
      </c>
      <c r="R61" s="20" t="n">
        <v>0</v>
      </c>
    </row>
    <row r="62" spans="1:18">
      <c r="A62" s="15" t="s">
        <v>404</v>
      </c>
      <c r="B62" s="17" t="n">
        <v>4476</v>
      </c>
      <c r="C62" s="18">
        <f>(3943.0/B62*100)</f>
        <v/>
      </c>
      <c r="D62" s="19" t="n">
        <v>533</v>
      </c>
      <c r="E62" s="18" t="n">
        <v>0</v>
      </c>
      <c r="F62" s="20" t="n">
        <v>0</v>
      </c>
      <c r="G62" s="18" t="n">
        <v>0</v>
      </c>
      <c r="H62" s="20" t="n">
        <v>0</v>
      </c>
      <c r="I62" s="18" t="s">
        <v>349</v>
      </c>
      <c r="J62" s="20" t="s">
        <v>349</v>
      </c>
      <c r="K62" s="18" t="n">
        <v>0</v>
      </c>
      <c r="L62" s="20" t="n">
        <v>0</v>
      </c>
      <c r="M62" s="18" t="n">
        <v>100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(4960.0/B66*100)</f>
        <v/>
      </c>
      <c r="D66" s="19" t="n">
        <v>705</v>
      </c>
      <c r="E66" s="18" t="n">
        <v>0</v>
      </c>
      <c r="F66" s="20" t="n">
        <v>0</v>
      </c>
      <c r="G66" s="18" t="n">
        <v>0</v>
      </c>
      <c r="H66" s="20" t="n">
        <v>0</v>
      </c>
      <c r="I66" s="18" t="s">
        <v>349</v>
      </c>
      <c r="J66" s="20" t="s">
        <v>349</v>
      </c>
      <c r="K66" s="18" t="n">
        <v>0</v>
      </c>
      <c r="L66" s="20" t="n">
        <v>0</v>
      </c>
      <c r="M66" s="18" t="n">
        <v>100</v>
      </c>
      <c r="N66" s="20" t="n">
        <v>0</v>
      </c>
      <c r="O66" s="18" t="n">
        <v>0</v>
      </c>
      <c r="P66" s="20" t="n">
        <v>0</v>
      </c>
      <c r="Q66" s="18" t="n">
        <v>0</v>
      </c>
      <c r="R66" s="20" t="n">
        <v>0</v>
      </c>
    </row>
    <row r="67" spans="1:18">
      <c r="A67" s="15" t="s">
        <v>409</v>
      </c>
      <c r="B67" s="17" t="n">
        <v>6971</v>
      </c>
      <c r="C67" s="18">
        <f>(6147.0/B67*100)</f>
        <v/>
      </c>
      <c r="D67" s="19" t="n">
        <v>824</v>
      </c>
      <c r="E67" s="18" t="n">
        <v>0</v>
      </c>
      <c r="F67" s="20" t="n">
        <v>0</v>
      </c>
      <c r="G67" s="18" t="n">
        <v>0</v>
      </c>
      <c r="H67" s="20" t="n">
        <v>0</v>
      </c>
      <c r="I67" s="18" t="s">
        <v>349</v>
      </c>
      <c r="J67" s="20" t="s">
        <v>349</v>
      </c>
      <c r="K67" s="18" t="n">
        <v>0</v>
      </c>
      <c r="L67" s="20" t="n">
        <v>0</v>
      </c>
      <c r="M67" s="18" t="n">
        <v>100</v>
      </c>
      <c r="N67" s="20" t="n">
        <v>0</v>
      </c>
      <c r="O67" s="18" t="n">
        <v>0</v>
      </c>
      <c r="P67" s="20" t="n">
        <v>0</v>
      </c>
      <c r="Q67" s="18" t="n">
        <v>0</v>
      </c>
      <c r="R67" s="20" t="n">
        <v>0</v>
      </c>
    </row>
    <row r="68" spans="1:18">
      <c r="A68" s="15" t="s">
        <v>410</v>
      </c>
      <c r="B68" s="17" t="n">
        <v>12083</v>
      </c>
      <c r="C68" s="18">
        <f>(10091.0/B68*100)</f>
        <v/>
      </c>
      <c r="D68" s="19" t="n">
        <v>1992</v>
      </c>
      <c r="E68" s="18" t="n">
        <v>0</v>
      </c>
      <c r="F68" s="20" t="n">
        <v>0</v>
      </c>
      <c r="G68" s="18" t="n">
        <v>0</v>
      </c>
      <c r="H68" s="20" t="n">
        <v>0</v>
      </c>
      <c r="I68" s="18" t="s">
        <v>349</v>
      </c>
      <c r="J68" s="20" t="s">
        <v>349</v>
      </c>
      <c r="K68" s="18" t="n">
        <v>0</v>
      </c>
      <c r="L68" s="20" t="n">
        <v>0</v>
      </c>
      <c r="M68" s="18" t="n">
        <v>100</v>
      </c>
      <c r="N68" s="20" t="n">
        <v>0</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(5311.0/B70*100)</f>
        <v/>
      </c>
      <c r="D70" s="19" t="n">
        <v>725</v>
      </c>
      <c r="E70" s="18" t="n">
        <v>0</v>
      </c>
      <c r="F70" s="20" t="n">
        <v>0</v>
      </c>
      <c r="G70" s="18" t="n">
        <v>0</v>
      </c>
      <c r="H70" s="20" t="n">
        <v>0</v>
      </c>
      <c r="I70" s="18" t="s">
        <v>349</v>
      </c>
      <c r="J70" s="20" t="s">
        <v>349</v>
      </c>
      <c r="K70" s="18" t="n">
        <v>0</v>
      </c>
      <c r="L70" s="20" t="n">
        <v>0</v>
      </c>
      <c r="M70" s="18" t="n">
        <v>100</v>
      </c>
      <c r="N70" s="20" t="n">
        <v>0</v>
      </c>
      <c r="O70" s="18" t="n">
        <v>0</v>
      </c>
      <c r="P70" s="20" t="n">
        <v>0</v>
      </c>
      <c r="Q70" s="18" t="n">
        <v>0</v>
      </c>
      <c r="R70" s="20" t="n">
        <v>0</v>
      </c>
    </row>
    <row r="71" spans="1:18">
      <c r="A71" s="15" t="s">
        <v>413</v>
      </c>
      <c r="B71" s="17" t="n">
        <v>6115</v>
      </c>
      <c r="C71" s="18">
        <f>(5376.0/B71*100)</f>
        <v/>
      </c>
      <c r="D71" s="19" t="n">
        <v>739</v>
      </c>
      <c r="E71" s="18" t="n">
        <v>0</v>
      </c>
      <c r="F71" s="20" t="n">
        <v>0</v>
      </c>
      <c r="G71" s="18" t="n">
        <v>0</v>
      </c>
      <c r="H71" s="20" t="n">
        <v>0</v>
      </c>
      <c r="I71" s="18" t="s">
        <v>349</v>
      </c>
      <c r="J71" s="20" t="s">
        <v>349</v>
      </c>
      <c r="K71" s="18" t="n">
        <v>0</v>
      </c>
      <c r="L71" s="20" t="n">
        <v>0</v>
      </c>
      <c r="M71" s="18" t="n">
        <v>100</v>
      </c>
      <c r="N71" s="20" t="n">
        <v>0</v>
      </c>
      <c r="O71" s="18" t="n">
        <v>0</v>
      </c>
      <c r="P71" s="20" t="n">
        <v>0</v>
      </c>
      <c r="Q71" s="18" t="n">
        <v>0</v>
      </c>
      <c r="R71" s="20" t="n">
        <v>0</v>
      </c>
    </row>
    <row r="72" spans="1:18">
      <c r="A72" s="15" t="s">
        <v>414</v>
      </c>
      <c r="B72" s="17" t="n">
        <v>7708</v>
      </c>
      <c r="C72" s="18">
        <f>(6767.0/B72*100)</f>
        <v/>
      </c>
      <c r="D72" s="19" t="n">
        <v>941</v>
      </c>
      <c r="E72" s="18" t="n">
        <v>0</v>
      </c>
      <c r="F72" s="20" t="n">
        <v>0</v>
      </c>
      <c r="G72" s="18" t="n">
        <v>0</v>
      </c>
      <c r="H72" s="20" t="n">
        <v>0</v>
      </c>
      <c r="I72" s="18" t="s">
        <v>349</v>
      </c>
      <c r="J72" s="20" t="s">
        <v>349</v>
      </c>
      <c r="K72" s="18" t="n">
        <v>0</v>
      </c>
      <c r="L72" s="20" t="n">
        <v>0</v>
      </c>
      <c r="M72" s="18" t="n">
        <v>100</v>
      </c>
      <c r="N72" s="20" t="n">
        <v>0</v>
      </c>
      <c r="O72" s="18" t="n">
        <v>0</v>
      </c>
      <c r="P72" s="20" t="n">
        <v>0</v>
      </c>
      <c r="Q72" s="18" t="n">
        <v>0</v>
      </c>
      <c r="R72" s="20" t="n">
        <v>0</v>
      </c>
    </row>
    <row r="73" spans="1:18">
      <c r="A73" s="15" t="s">
        <v>415</v>
      </c>
      <c r="B73" s="17" t="n">
        <v>8249</v>
      </c>
      <c r="C73" s="18">
        <f>(7216.0/B73*100)</f>
        <v/>
      </c>
      <c r="D73" s="19" t="n">
        <v>1033</v>
      </c>
      <c r="E73" s="18" t="n">
        <v>0</v>
      </c>
      <c r="F73" s="20" t="n">
        <v>0</v>
      </c>
      <c r="G73" s="18" t="n">
        <v>0</v>
      </c>
      <c r="H73" s="20" t="n">
        <v>0</v>
      </c>
      <c r="I73" s="18" t="s">
        <v>349</v>
      </c>
      <c r="J73" s="20" t="s">
        <v>349</v>
      </c>
      <c r="K73" s="18" t="n">
        <v>0</v>
      </c>
      <c r="L73" s="20" t="n">
        <v>0</v>
      </c>
      <c r="M73" s="18" t="n">
        <v>100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(4770.0/B75*100)</f>
        <v/>
      </c>
      <c r="D75" s="19" t="n">
        <v>605</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14167</v>
      </c>
      <c r="C76" s="18">
        <f>(12464.0/B76*100)</f>
        <v/>
      </c>
      <c r="D76" s="19" t="n">
        <v>1703</v>
      </c>
      <c r="E76" s="18" t="n">
        <v>0</v>
      </c>
      <c r="F76" s="20" t="n">
        <v>0</v>
      </c>
      <c r="G76" s="18" t="n">
        <v>0</v>
      </c>
      <c r="H76" s="20" t="n">
        <v>0</v>
      </c>
      <c r="I76" s="18" t="s">
        <v>349</v>
      </c>
      <c r="J76" s="20" t="s">
        <v>349</v>
      </c>
      <c r="K76" s="18" t="n">
        <v>0</v>
      </c>
      <c r="L76" s="20" t="n">
        <v>0</v>
      </c>
      <c r="M76" s="18" t="n">
        <v>100</v>
      </c>
      <c r="N76" s="20" t="n">
        <v>0</v>
      </c>
      <c r="O76" s="18" t="n">
        <v>0</v>
      </c>
      <c r="P76" s="20" t="n">
        <v>0</v>
      </c>
      <c r="Q76" s="18" t="n">
        <v>0</v>
      </c>
      <c r="R76" s="20" t="n">
        <v>0</v>
      </c>
    </row>
    <row r="77" spans="1:18">
      <c r="A77" s="15" t="s">
        <v>419</v>
      </c>
      <c r="B77" s="17" t="n">
        <v>6062</v>
      </c>
      <c r="C77" s="18">
        <f>(5329.0/B77*100)</f>
        <v/>
      </c>
      <c r="D77" s="19" t="n">
        <v>733</v>
      </c>
      <c r="E77" s="18" t="n">
        <v>0</v>
      </c>
      <c r="F77" s="20" t="n">
        <v>0</v>
      </c>
      <c r="G77" s="18" t="n">
        <v>0</v>
      </c>
      <c r="H77" s="20" t="n">
        <v>0</v>
      </c>
      <c r="I77" s="18" t="s">
        <v>349</v>
      </c>
      <c r="J77" s="20" t="s">
        <v>349</v>
      </c>
      <c r="K77" s="18" t="n">
        <v>0</v>
      </c>
      <c r="L77" s="20" t="n">
        <v>0</v>
      </c>
      <c r="M77" s="18" t="n">
        <v>100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(7768.0/B81*100)</f>
        <v/>
      </c>
      <c r="D81" s="19" t="n">
        <v>1093</v>
      </c>
      <c r="E81" s="18" t="n">
        <v>0</v>
      </c>
      <c r="F81" s="20" t="n">
        <v>0</v>
      </c>
      <c r="G81" s="18" t="n">
        <v>0</v>
      </c>
      <c r="H81" s="20" t="n">
        <v>0</v>
      </c>
      <c r="I81" s="18" t="s">
        <v>349</v>
      </c>
      <c r="J81" s="20" t="s">
        <v>349</v>
      </c>
      <c r="K81" s="18" t="n">
        <v>0</v>
      </c>
      <c r="L81" s="20" t="n">
        <v>0</v>
      </c>
      <c r="M81" s="18" t="n">
        <v>100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(12835.0/B7*100)</f>
        <v/>
      </c>
      <c r="D7" s="19" t="n">
        <v>1695</v>
      </c>
      <c r="E7" s="18" t="n">
        <v>64.55318964</v>
      </c>
      <c r="F7" s="20" t="n">
        <v>1.427376</v>
      </c>
      <c r="G7" s="18" t="n">
        <v>24.28750841</v>
      </c>
      <c r="H7" s="20" t="n">
        <v>1.14847625</v>
      </c>
      <c r="I7" s="18" t="s">
        <v>349</v>
      </c>
      <c r="J7" s="20" t="s">
        <v>349</v>
      </c>
      <c r="K7" s="18" t="n">
        <v>0.46384031</v>
      </c>
      <c r="L7" s="20" t="n">
        <v>0.18009566</v>
      </c>
      <c r="M7" s="18" t="n">
        <v>0.04416779</v>
      </c>
      <c r="N7" s="20" t="n">
        <v>0.0380025</v>
      </c>
      <c r="O7" s="18" t="n">
        <v>0</v>
      </c>
      <c r="P7" s="20" t="n">
        <v>0</v>
      </c>
      <c r="Q7" s="18" t="n">
        <v>10.65129385</v>
      </c>
      <c r="R7" s="20" t="n">
        <v>0.95427531</v>
      </c>
    </row>
    <row r="8" spans="1:18">
      <c r="A8" s="15" t="s">
        <v>350</v>
      </c>
      <c r="B8" s="17" t="n">
        <v>7007</v>
      </c>
      <c r="C8" s="18">
        <f>(6170.0/B8*100)</f>
        <v/>
      </c>
      <c r="D8" s="19" t="n">
        <v>837</v>
      </c>
      <c r="E8" s="18" t="n">
        <v>61.41048873</v>
      </c>
      <c r="F8" s="20" t="n">
        <v>2.08602571</v>
      </c>
      <c r="G8" s="18" t="n">
        <v>23.33905206</v>
      </c>
      <c r="H8" s="20" t="n">
        <v>1.73985278</v>
      </c>
      <c r="I8" s="18" t="s">
        <v>349</v>
      </c>
      <c r="J8" s="20" t="s">
        <v>349</v>
      </c>
      <c r="K8" s="18" t="n">
        <v>0.43537651</v>
      </c>
      <c r="L8" s="20" t="n">
        <v>0.24607892</v>
      </c>
      <c r="M8" s="18" t="n">
        <v>0</v>
      </c>
      <c r="N8" s="20" t="n">
        <v>0</v>
      </c>
      <c r="O8" s="18" t="n">
        <v>0</v>
      </c>
      <c r="P8" s="20" t="n">
        <v>0</v>
      </c>
      <c r="Q8" s="18" t="n">
        <v>14.8150827</v>
      </c>
      <c r="R8" s="20" t="n">
        <v>1.48709662</v>
      </c>
    </row>
    <row r="9" spans="1:18">
      <c r="A9" s="15" t="s">
        <v>351</v>
      </c>
      <c r="B9" s="17" t="n">
        <v>9651</v>
      </c>
      <c r="C9" s="18">
        <f>(8511.0/B9*100)</f>
        <v/>
      </c>
      <c r="D9" s="19" t="n">
        <v>1140</v>
      </c>
      <c r="E9" s="18" t="n">
        <v>64.94416212</v>
      </c>
      <c r="F9" s="20" t="n">
        <v>1.55824432</v>
      </c>
      <c r="G9" s="18" t="n">
        <v>22.59291373</v>
      </c>
      <c r="H9" s="20" t="n">
        <v>1.3654668</v>
      </c>
      <c r="I9" s="18" t="s">
        <v>349</v>
      </c>
      <c r="J9" s="20" t="s">
        <v>349</v>
      </c>
      <c r="K9" s="18" t="n">
        <v>0.29841645</v>
      </c>
      <c r="L9" s="20" t="n">
        <v>0.22920271</v>
      </c>
      <c r="M9" s="18" t="n">
        <v>0.41505022</v>
      </c>
      <c r="N9" s="20" t="n">
        <v>0.17319314</v>
      </c>
      <c r="O9" s="18" t="n">
        <v>0</v>
      </c>
      <c r="P9" s="20" t="n">
        <v>0</v>
      </c>
      <c r="Q9" s="18" t="n">
        <v>11.74945749</v>
      </c>
      <c r="R9" s="20" t="n">
        <v>1.02510027</v>
      </c>
    </row>
    <row r="10" spans="1:18">
      <c r="A10" s="15" t="s">
        <v>352</v>
      </c>
      <c r="B10" s="17" t="n">
        <v>20058</v>
      </c>
      <c r="C10" s="18">
        <f>(17603.0/B10*100)</f>
        <v/>
      </c>
      <c r="D10" s="19" t="n">
        <v>2455</v>
      </c>
      <c r="E10" s="18" t="n">
        <v>63.59684247</v>
      </c>
      <c r="F10" s="20" t="n">
        <v>1.49295068</v>
      </c>
      <c r="G10" s="18" t="n">
        <v>28.44860606</v>
      </c>
      <c r="H10" s="20" t="n">
        <v>1.31193376</v>
      </c>
      <c r="I10" s="18" t="s">
        <v>349</v>
      </c>
      <c r="J10" s="20" t="s">
        <v>349</v>
      </c>
      <c r="K10" s="18" t="n">
        <v>0.4039736</v>
      </c>
      <c r="L10" s="20" t="n">
        <v>0.1921891</v>
      </c>
      <c r="M10" s="18" t="n">
        <v>0.20840406</v>
      </c>
      <c r="N10" s="20" t="n">
        <v>0.11877438</v>
      </c>
      <c r="O10" s="18" t="n">
        <v>0</v>
      </c>
      <c r="P10" s="20" t="n">
        <v>0</v>
      </c>
      <c r="Q10" s="18" t="n">
        <v>7.34217382</v>
      </c>
      <c r="R10" s="20" t="n">
        <v>0.69808321</v>
      </c>
    </row>
    <row r="11" spans="1:18">
      <c r="A11" s="15" t="s">
        <v>353</v>
      </c>
      <c r="B11" s="17" t="n">
        <v>7053</v>
      </c>
      <c r="C11" s="18">
        <f>(6214.0/B11*100)</f>
        <v/>
      </c>
      <c r="D11" s="19" t="n">
        <v>839</v>
      </c>
      <c r="E11" s="18" t="n">
        <v>67.09962242</v>
      </c>
      <c r="F11" s="20" t="n">
        <v>2.02013751</v>
      </c>
      <c r="G11" s="18" t="n">
        <v>5.19473505</v>
      </c>
      <c r="H11" s="20" t="n">
        <v>0.86598345</v>
      </c>
      <c r="I11" s="18" t="s">
        <v>349</v>
      </c>
      <c r="J11" s="20" t="s">
        <v>349</v>
      </c>
      <c r="K11" s="18" t="n">
        <v>0.27003182</v>
      </c>
      <c r="L11" s="20" t="n">
        <v>0.15337087</v>
      </c>
      <c r="M11" s="18" t="n">
        <v>0.05274309</v>
      </c>
      <c r="N11" s="20" t="n">
        <v>0.05747541</v>
      </c>
      <c r="O11" s="18" t="n">
        <v>0</v>
      </c>
      <c r="P11" s="20" t="n">
        <v>0</v>
      </c>
      <c r="Q11" s="18" t="n">
        <v>27.38286761</v>
      </c>
      <c r="R11" s="20" t="n">
        <v>2.05237126</v>
      </c>
    </row>
    <row r="12" spans="1:18">
      <c r="A12" s="15" t="s">
        <v>354</v>
      </c>
      <c r="B12" s="17" t="n">
        <v>6894</v>
      </c>
      <c r="C12" s="18">
        <f>(6060.0/B12*100)</f>
        <v/>
      </c>
      <c r="D12" s="19" t="n">
        <v>834</v>
      </c>
      <c r="E12" s="18" t="n">
        <v>55.73637069</v>
      </c>
      <c r="F12" s="20" t="n">
        <v>2.10657724</v>
      </c>
      <c r="G12" s="18" t="n">
        <v>23.53104988</v>
      </c>
      <c r="H12" s="20" t="n">
        <v>1.62284607</v>
      </c>
      <c r="I12" s="18" t="s">
        <v>349</v>
      </c>
      <c r="J12" s="20" t="s">
        <v>349</v>
      </c>
      <c r="K12" s="18" t="n">
        <v>0</v>
      </c>
      <c r="L12" s="20" t="n">
        <v>0</v>
      </c>
      <c r="M12" s="18" t="n">
        <v>0.11512092</v>
      </c>
      <c r="N12" s="20" t="n">
        <v>0.10288783</v>
      </c>
      <c r="O12" s="18" t="n">
        <v>0</v>
      </c>
      <c r="P12" s="20" t="n">
        <v>0</v>
      </c>
      <c r="Q12" s="18" t="n">
        <v>20.61745851</v>
      </c>
      <c r="R12" s="20" t="n">
        <v>1.72557076</v>
      </c>
    </row>
    <row r="13" spans="1:18">
      <c r="A13" s="15" t="s">
        <v>355</v>
      </c>
      <c r="B13" s="17" t="n">
        <v>7161</v>
      </c>
      <c r="C13" s="18">
        <f>(6340.0/B13*100)</f>
        <v/>
      </c>
      <c r="D13" s="19" t="n">
        <v>821</v>
      </c>
      <c r="E13" s="18" t="n">
        <v>62.47320727</v>
      </c>
      <c r="F13" s="20" t="n">
        <v>1.7816618</v>
      </c>
      <c r="G13" s="18" t="n">
        <v>25.91602374</v>
      </c>
      <c r="H13" s="20" t="n">
        <v>1.87961036</v>
      </c>
      <c r="I13" s="18" t="s">
        <v>349</v>
      </c>
      <c r="J13" s="20" t="s">
        <v>349</v>
      </c>
      <c r="K13" s="18" t="n">
        <v>0.64628137</v>
      </c>
      <c r="L13" s="20" t="n">
        <v>0.34098713</v>
      </c>
      <c r="M13" s="18" t="n">
        <v>0</v>
      </c>
      <c r="N13" s="20" t="n">
        <v>0</v>
      </c>
      <c r="O13" s="18" t="n">
        <v>0</v>
      </c>
      <c r="P13" s="20" t="n">
        <v>0</v>
      </c>
      <c r="Q13" s="18" t="n">
        <v>10.96448762</v>
      </c>
      <c r="R13" s="20" t="n">
        <v>1.31600467</v>
      </c>
    </row>
    <row r="14" spans="1:18">
      <c r="A14" s="15" t="s">
        <v>356</v>
      </c>
      <c r="B14" s="17" t="n">
        <v>5587</v>
      </c>
      <c r="C14" s="18">
        <f>(4892.0/B14*100)</f>
        <v/>
      </c>
      <c r="D14" s="19" t="n">
        <v>695</v>
      </c>
      <c r="E14" s="18" t="n">
        <v>61.41859129</v>
      </c>
      <c r="F14" s="20" t="n">
        <v>1.95608063</v>
      </c>
      <c r="G14" s="18" t="n">
        <v>29.79190861</v>
      </c>
      <c r="H14" s="20" t="n">
        <v>1.96517115</v>
      </c>
      <c r="I14" s="18" t="s">
        <v>349</v>
      </c>
      <c r="J14" s="20" t="s">
        <v>349</v>
      </c>
      <c r="K14" s="18" t="n">
        <v>0.11762268</v>
      </c>
      <c r="L14" s="20" t="n">
        <v>0.11726654</v>
      </c>
      <c r="M14" s="18" t="n">
        <v>0</v>
      </c>
      <c r="N14" s="20" t="n">
        <v>0</v>
      </c>
      <c r="O14" s="18" t="n">
        <v>0</v>
      </c>
      <c r="P14" s="20" t="n">
        <v>0</v>
      </c>
      <c r="Q14" s="18" t="n">
        <v>8.67187742</v>
      </c>
      <c r="R14" s="20" t="n">
        <v>1.15735256</v>
      </c>
    </row>
    <row r="15" spans="1:18">
      <c r="A15" s="15" t="s">
        <v>357</v>
      </c>
      <c r="B15" s="17" t="n">
        <v>5882</v>
      </c>
      <c r="C15" s="18">
        <f>(5154.0/B15*100)</f>
        <v/>
      </c>
      <c r="D15" s="19" t="n">
        <v>728</v>
      </c>
      <c r="E15" s="18" t="n">
        <v>61.77733457</v>
      </c>
      <c r="F15" s="20" t="n">
        <v>1.93925276</v>
      </c>
      <c r="G15" s="18" t="n">
        <v>24.53166583</v>
      </c>
      <c r="H15" s="20" t="n">
        <v>1.80109905</v>
      </c>
      <c r="I15" s="18" t="s">
        <v>349</v>
      </c>
      <c r="J15" s="20" t="s">
        <v>349</v>
      </c>
      <c r="K15" s="18" t="n">
        <v>0.13329401</v>
      </c>
      <c r="L15" s="20" t="n">
        <v>0.13093967</v>
      </c>
      <c r="M15" s="18" t="n">
        <v>0</v>
      </c>
      <c r="N15" s="20" t="n">
        <v>0</v>
      </c>
      <c r="O15" s="18" t="n">
        <v>0</v>
      </c>
      <c r="P15" s="20" t="n">
        <v>0</v>
      </c>
      <c r="Q15" s="18" t="n">
        <v>13.55770559</v>
      </c>
      <c r="R15" s="20" t="n">
        <v>1.32840372</v>
      </c>
    </row>
    <row r="16" spans="1:18">
      <c r="A16" s="15" t="s">
        <v>358</v>
      </c>
      <c r="B16" s="17" t="n">
        <v>6108</v>
      </c>
      <c r="C16" s="18">
        <f>(5345.0/B16*100)</f>
        <v/>
      </c>
      <c r="D16" s="19" t="n">
        <v>763</v>
      </c>
      <c r="E16" s="18" t="n">
        <v>62.71355912</v>
      </c>
      <c r="F16" s="20" t="n">
        <v>1.74589527</v>
      </c>
      <c r="G16" s="18" t="n">
        <v>16.37675151</v>
      </c>
      <c r="H16" s="20" t="n">
        <v>1.37329812</v>
      </c>
      <c r="I16" s="18" t="s">
        <v>349</v>
      </c>
      <c r="J16" s="20" t="s">
        <v>349</v>
      </c>
      <c r="K16" s="18" t="n">
        <v>0.63270371</v>
      </c>
      <c r="L16" s="20" t="n">
        <v>0.28706498</v>
      </c>
      <c r="M16" s="18" t="n">
        <v>0</v>
      </c>
      <c r="N16" s="20" t="n">
        <v>0</v>
      </c>
      <c r="O16" s="18" t="n">
        <v>0</v>
      </c>
      <c r="P16" s="20" t="n">
        <v>0</v>
      </c>
      <c r="Q16" s="18" t="n">
        <v>20.27698566</v>
      </c>
      <c r="R16" s="20" t="n">
        <v>1.5857785</v>
      </c>
    </row>
    <row r="17" spans="1:18">
      <c r="A17" s="15" t="s">
        <v>359</v>
      </c>
      <c r="B17" s="17" t="n">
        <v>6504</v>
      </c>
      <c r="C17" s="18">
        <f>(5740.0/B17*100)</f>
        <v/>
      </c>
      <c r="D17" s="19" t="n">
        <v>764</v>
      </c>
      <c r="E17" s="18" t="n">
        <v>57.99412108</v>
      </c>
      <c r="F17" s="20" t="n">
        <v>1.82421002</v>
      </c>
      <c r="G17" s="18" t="n">
        <v>29.7016708</v>
      </c>
      <c r="H17" s="20" t="n">
        <v>1.73934668</v>
      </c>
      <c r="I17" s="18" t="s">
        <v>349</v>
      </c>
      <c r="J17" s="20" t="s">
        <v>349</v>
      </c>
      <c r="K17" s="18" t="n">
        <v>0.2953542</v>
      </c>
      <c r="L17" s="20" t="n">
        <v>0.17819006</v>
      </c>
      <c r="M17" s="18" t="n">
        <v>0</v>
      </c>
      <c r="N17" s="20" t="n">
        <v>0</v>
      </c>
      <c r="O17" s="18" t="n">
        <v>0</v>
      </c>
      <c r="P17" s="20" t="n">
        <v>0</v>
      </c>
      <c r="Q17" s="18" t="n">
        <v>12.00885392</v>
      </c>
      <c r="R17" s="20" t="n">
        <v>1.12781187</v>
      </c>
    </row>
    <row r="18" spans="1:18">
      <c r="A18" s="15" t="s">
        <v>360</v>
      </c>
      <c r="B18" s="17" t="n">
        <v>5532</v>
      </c>
      <c r="C18" s="18">
        <f>(4840.0/B18*100)</f>
        <v/>
      </c>
      <c r="D18" s="19" t="n">
        <v>692</v>
      </c>
      <c r="E18" s="18" t="n">
        <v>72.50077992</v>
      </c>
      <c r="F18" s="20" t="n">
        <v>1.73571502</v>
      </c>
      <c r="G18" s="18" t="n">
        <v>9.07837827</v>
      </c>
      <c r="H18" s="20" t="n">
        <v>1.06471464</v>
      </c>
      <c r="I18" s="18" t="s">
        <v>349</v>
      </c>
      <c r="J18" s="20" t="s">
        <v>349</v>
      </c>
      <c r="K18" s="18" t="n">
        <v>0.52590086</v>
      </c>
      <c r="L18" s="20" t="n">
        <v>0.39917023</v>
      </c>
      <c r="M18" s="18" t="n">
        <v>0</v>
      </c>
      <c r="N18" s="20" t="n">
        <v>0</v>
      </c>
      <c r="O18" s="18" t="n">
        <v>0</v>
      </c>
      <c r="P18" s="20" t="n">
        <v>0</v>
      </c>
      <c r="Q18" s="18" t="n">
        <v>17.89494095</v>
      </c>
      <c r="R18" s="20" t="n">
        <v>1.51438312</v>
      </c>
    </row>
    <row r="19" spans="1:18">
      <c r="A19" s="15" t="s">
        <v>361</v>
      </c>
      <c r="B19" s="17" t="n">
        <v>5658</v>
      </c>
      <c r="C19" s="18">
        <f>(4958.0/B19*100)</f>
        <v/>
      </c>
      <c r="D19" s="19" t="n">
        <v>700</v>
      </c>
      <c r="E19" s="18" t="n">
        <v>61.2428506</v>
      </c>
      <c r="F19" s="20" t="n">
        <v>1.88632578</v>
      </c>
      <c r="G19" s="18" t="n">
        <v>19.86200911</v>
      </c>
      <c r="H19" s="20" t="n">
        <v>1.5384081</v>
      </c>
      <c r="I19" s="18" t="s">
        <v>349</v>
      </c>
      <c r="J19" s="20" t="s">
        <v>349</v>
      </c>
      <c r="K19" s="18" t="n">
        <v>0</v>
      </c>
      <c r="L19" s="20" t="n">
        <v>0</v>
      </c>
      <c r="M19" s="18" t="n">
        <v>0</v>
      </c>
      <c r="N19" s="20" t="n">
        <v>0</v>
      </c>
      <c r="O19" s="18" t="n">
        <v>0</v>
      </c>
      <c r="P19" s="20" t="n">
        <v>0</v>
      </c>
      <c r="Q19" s="18" t="n">
        <v>18.89514029</v>
      </c>
      <c r="R19" s="20" t="n">
        <v>1.64762953</v>
      </c>
    </row>
    <row r="20" spans="1:18">
      <c r="A20" s="15" t="s">
        <v>362</v>
      </c>
      <c r="B20" s="17" t="n">
        <v>3371</v>
      </c>
      <c r="C20" s="18">
        <f>(2959.0/B20*100)</f>
        <v/>
      </c>
      <c r="D20" s="19" t="n">
        <v>412</v>
      </c>
      <c r="E20" s="18" t="n">
        <v>65.70438897</v>
      </c>
      <c r="F20" s="20" t="n">
        <v>2.16915803</v>
      </c>
      <c r="G20" s="18" t="n">
        <v>22.48785295</v>
      </c>
      <c r="H20" s="20" t="n">
        <v>1.67581694</v>
      </c>
      <c r="I20" s="18" t="s">
        <v>349</v>
      </c>
      <c r="J20" s="20" t="s">
        <v>349</v>
      </c>
      <c r="K20" s="18" t="n">
        <v>0.22859981</v>
      </c>
      <c r="L20" s="20" t="n">
        <v>0.22954229</v>
      </c>
      <c r="M20" s="18" t="n">
        <v>0.57799577</v>
      </c>
      <c r="N20" s="20" t="n">
        <v>0.3427804</v>
      </c>
      <c r="O20" s="18" t="n">
        <v>0</v>
      </c>
      <c r="P20" s="20" t="n">
        <v>0</v>
      </c>
      <c r="Q20" s="18" t="n">
        <v>11.00116249</v>
      </c>
      <c r="R20" s="20" t="n">
        <v>1.455577</v>
      </c>
    </row>
    <row r="21" spans="1:18">
      <c r="A21" s="15" t="s">
        <v>363</v>
      </c>
      <c r="B21" s="17" t="n">
        <v>5741</v>
      </c>
      <c r="C21" s="18">
        <f>(4783.0/B21*100)</f>
        <v/>
      </c>
      <c r="D21" s="19" t="n">
        <v>958</v>
      </c>
      <c r="E21" s="18" t="n">
        <v>74.45999255</v>
      </c>
      <c r="F21" s="20" t="n">
        <v>1.59419138</v>
      </c>
      <c r="G21" s="18" t="n">
        <v>17.55478923</v>
      </c>
      <c r="H21" s="20" t="n">
        <v>1.4020598</v>
      </c>
      <c r="I21" s="18" t="s">
        <v>349</v>
      </c>
      <c r="J21" s="20" t="s">
        <v>349</v>
      </c>
      <c r="K21" s="18" t="n">
        <v>0.09012594</v>
      </c>
      <c r="L21" s="20" t="n">
        <v>0.09022506</v>
      </c>
      <c r="M21" s="18" t="n">
        <v>0.12544111</v>
      </c>
      <c r="N21" s="20" t="n">
        <v>0.12530996</v>
      </c>
      <c r="O21" s="18" t="n">
        <v>0</v>
      </c>
      <c r="P21" s="20" t="n">
        <v>0</v>
      </c>
      <c r="Q21" s="18" t="n">
        <v>7.76965117</v>
      </c>
      <c r="R21" s="20" t="n">
        <v>0.9192704</v>
      </c>
    </row>
    <row r="22" spans="1:18">
      <c r="A22" s="15" t="s">
        <v>364</v>
      </c>
      <c r="B22" s="17" t="n">
        <v>6598</v>
      </c>
      <c r="C22" s="18">
        <f>(5790.0/B22*100)</f>
        <v/>
      </c>
      <c r="D22" s="19" t="n">
        <v>808</v>
      </c>
      <c r="E22" s="18" t="n">
        <v>64.75911843999999</v>
      </c>
      <c r="F22" s="20" t="n">
        <v>1.82537972</v>
      </c>
      <c r="G22" s="18" t="n">
        <v>12.54215511</v>
      </c>
      <c r="H22" s="20" t="n">
        <v>1.26393046</v>
      </c>
      <c r="I22" s="18" t="s">
        <v>349</v>
      </c>
      <c r="J22" s="20" t="s">
        <v>349</v>
      </c>
      <c r="K22" s="18" t="n">
        <v>0.53159156</v>
      </c>
      <c r="L22" s="20" t="n">
        <v>0.29526491</v>
      </c>
      <c r="M22" s="18" t="n">
        <v>0</v>
      </c>
      <c r="N22" s="20" t="n">
        <v>0</v>
      </c>
      <c r="O22" s="18" t="n">
        <v>0</v>
      </c>
      <c r="P22" s="20" t="n">
        <v>0</v>
      </c>
      <c r="Q22" s="18" t="n">
        <v>22.16713489</v>
      </c>
      <c r="R22" s="20" t="n">
        <v>1.61184672</v>
      </c>
    </row>
    <row r="23" spans="1:18">
      <c r="A23" s="15" t="s">
        <v>365</v>
      </c>
      <c r="B23" s="17" t="n">
        <v>11583</v>
      </c>
      <c r="C23" s="18">
        <f>(10161.0/B23*100)</f>
        <v/>
      </c>
      <c r="D23" s="19" t="n">
        <v>1422</v>
      </c>
      <c r="E23" s="18" t="n">
        <v>55.44743369</v>
      </c>
      <c r="F23" s="20" t="n">
        <v>2.04398675</v>
      </c>
      <c r="G23" s="18" t="n">
        <v>21.29991515</v>
      </c>
      <c r="H23" s="20" t="n">
        <v>1.59150995</v>
      </c>
      <c r="I23" s="18" t="s">
        <v>349</v>
      </c>
      <c r="J23" s="20" t="s">
        <v>349</v>
      </c>
      <c r="K23" s="18" t="n">
        <v>0.00620987</v>
      </c>
      <c r="L23" s="20" t="n">
        <v>0.00624834</v>
      </c>
      <c r="M23" s="18" t="n">
        <v>0.00196175</v>
      </c>
      <c r="N23" s="20" t="n">
        <v>0.00196535</v>
      </c>
      <c r="O23" s="18" t="n">
        <v>0</v>
      </c>
      <c r="P23" s="20" t="n">
        <v>0</v>
      </c>
      <c r="Q23" s="18" t="n">
        <v>23.24447955</v>
      </c>
      <c r="R23" s="20" t="n">
        <v>1.75311793</v>
      </c>
    </row>
    <row r="24" spans="1:18">
      <c r="A24" s="15" t="s">
        <v>366</v>
      </c>
      <c r="B24" s="17" t="n">
        <v>6647</v>
      </c>
      <c r="C24" s="18">
        <f>(5811.0/B24*100)</f>
        <v/>
      </c>
      <c r="D24" s="19" t="n">
        <v>836</v>
      </c>
      <c r="E24" s="18" t="n">
        <v>47.41907632</v>
      </c>
      <c r="F24" s="20" t="n">
        <v>1.7286743</v>
      </c>
      <c r="G24" s="18" t="n">
        <v>40.06845761</v>
      </c>
      <c r="H24" s="20" t="n">
        <v>1.63999348</v>
      </c>
      <c r="I24" s="18" t="s">
        <v>349</v>
      </c>
      <c r="J24" s="20" t="s">
        <v>349</v>
      </c>
      <c r="K24" s="18" t="n">
        <v>0.11048869</v>
      </c>
      <c r="L24" s="20" t="n">
        <v>0.11163034</v>
      </c>
      <c r="M24" s="18" t="n">
        <v>0.1169795</v>
      </c>
      <c r="N24" s="20" t="n">
        <v>0.11705937</v>
      </c>
      <c r="O24" s="18" t="n">
        <v>0</v>
      </c>
      <c r="P24" s="20" t="n">
        <v>0</v>
      </c>
      <c r="Q24" s="18" t="n">
        <v>12.28499789</v>
      </c>
      <c r="R24" s="20" t="n">
        <v>1.08672684</v>
      </c>
    </row>
    <row r="25" spans="1:18">
      <c r="A25" s="15" t="s">
        <v>367</v>
      </c>
      <c r="B25" s="17" t="n">
        <v>5581</v>
      </c>
      <c r="C25" s="18">
        <f>(4905.0/B25*100)</f>
        <v/>
      </c>
      <c r="D25" s="19" t="n">
        <v>676</v>
      </c>
      <c r="E25" s="18" t="n">
        <v>54.41191484</v>
      </c>
      <c r="F25" s="20" t="n">
        <v>2.1368603</v>
      </c>
      <c r="G25" s="18" t="n">
        <v>33.89552905</v>
      </c>
      <c r="H25" s="20" t="n">
        <v>2.11809732</v>
      </c>
      <c r="I25" s="18" t="s">
        <v>349</v>
      </c>
      <c r="J25" s="20" t="s">
        <v>349</v>
      </c>
      <c r="K25" s="18" t="n">
        <v>0</v>
      </c>
      <c r="L25" s="20" t="n">
        <v>0</v>
      </c>
      <c r="M25" s="18" t="n">
        <v>0</v>
      </c>
      <c r="N25" s="20" t="n">
        <v>0</v>
      </c>
      <c r="O25" s="18" t="n">
        <v>0</v>
      </c>
      <c r="P25" s="20" t="n">
        <v>0</v>
      </c>
      <c r="Q25" s="18" t="n">
        <v>11.69255611</v>
      </c>
      <c r="R25" s="20" t="n">
        <v>1.30705965</v>
      </c>
    </row>
    <row r="26" spans="1:18">
      <c r="A26" s="15" t="s">
        <v>368</v>
      </c>
      <c r="B26" s="17" t="n">
        <v>4869</v>
      </c>
      <c r="C26" s="18">
        <f>(4282.0/B26*100)</f>
        <v/>
      </c>
      <c r="D26" s="19" t="n">
        <v>587</v>
      </c>
      <c r="E26" s="18" t="n">
        <v>69.86038742</v>
      </c>
      <c r="F26" s="20" t="n">
        <v>1.7123943</v>
      </c>
      <c r="G26" s="18" t="n">
        <v>18.69366386</v>
      </c>
      <c r="H26" s="20" t="n">
        <v>1.36165784</v>
      </c>
      <c r="I26" s="18" t="s">
        <v>349</v>
      </c>
      <c r="J26" s="20" t="s">
        <v>349</v>
      </c>
      <c r="K26" s="18" t="n">
        <v>0</v>
      </c>
      <c r="L26" s="20" t="n">
        <v>0</v>
      </c>
      <c r="M26" s="18" t="n">
        <v>0</v>
      </c>
      <c r="N26" s="20" t="n">
        <v>0</v>
      </c>
      <c r="O26" s="18" t="n">
        <v>0</v>
      </c>
      <c r="P26" s="20" t="n">
        <v>0</v>
      </c>
      <c r="Q26" s="18" t="n">
        <v>11.44594872</v>
      </c>
      <c r="R26" s="20" t="n">
        <v>1.36926871</v>
      </c>
    </row>
    <row r="27" spans="1:18">
      <c r="A27" s="15" t="s">
        <v>369</v>
      </c>
      <c r="B27" s="17" t="n">
        <v>5299</v>
      </c>
      <c r="C27" s="18">
        <f>(4659.0/B27*100)</f>
        <v/>
      </c>
      <c r="D27" s="19" t="n">
        <v>640</v>
      </c>
      <c r="E27" s="18" t="n">
        <v>66.46676334999999</v>
      </c>
      <c r="F27" s="20" t="n">
        <v>1.9548422</v>
      </c>
      <c r="G27" s="18" t="n">
        <v>18.62247852</v>
      </c>
      <c r="H27" s="20" t="n">
        <v>1.49520291</v>
      </c>
      <c r="I27" s="18" t="s">
        <v>349</v>
      </c>
      <c r="J27" s="20" t="s">
        <v>349</v>
      </c>
      <c r="K27" s="18" t="n">
        <v>0.32222968</v>
      </c>
      <c r="L27" s="20" t="n">
        <v>0.22860873</v>
      </c>
      <c r="M27" s="18" t="n">
        <v>0</v>
      </c>
      <c r="N27" s="20" t="n">
        <v>0</v>
      </c>
      <c r="O27" s="18" t="n">
        <v>0</v>
      </c>
      <c r="P27" s="20" t="n">
        <v>0</v>
      </c>
      <c r="Q27" s="18" t="n">
        <v>14.58852844</v>
      </c>
      <c r="R27" s="20" t="n">
        <v>1.3652645</v>
      </c>
    </row>
    <row r="28" spans="1:18">
      <c r="A28" s="15" t="s">
        <v>370</v>
      </c>
      <c r="B28" s="17" t="n">
        <v>7568</v>
      </c>
      <c r="C28" s="18">
        <f>(6707.0/B28*100)</f>
        <v/>
      </c>
      <c r="D28" s="19" t="n">
        <v>861</v>
      </c>
      <c r="E28" s="18" t="n">
        <v>80.58831963999999</v>
      </c>
      <c r="F28" s="20" t="n">
        <v>1.59280469</v>
      </c>
      <c r="G28" s="18" t="n">
        <v>8.448028020000001</v>
      </c>
      <c r="H28" s="20" t="n">
        <v>1.10696159</v>
      </c>
      <c r="I28" s="18" t="s">
        <v>349</v>
      </c>
      <c r="J28" s="20" t="s">
        <v>349</v>
      </c>
      <c r="K28" s="18" t="n">
        <v>0.6440366199999999</v>
      </c>
      <c r="L28" s="20" t="n">
        <v>0.37014415</v>
      </c>
      <c r="M28" s="18" t="n">
        <v>0</v>
      </c>
      <c r="N28" s="20" t="n">
        <v>0</v>
      </c>
      <c r="O28" s="18" t="n">
        <v>0</v>
      </c>
      <c r="P28" s="20" t="n">
        <v>0</v>
      </c>
      <c r="Q28" s="18" t="n">
        <v>10.31961573</v>
      </c>
      <c r="R28" s="20" t="n">
        <v>1.08079947</v>
      </c>
    </row>
    <row r="29" spans="1:18">
      <c r="A29" s="15" t="s">
        <v>371</v>
      </c>
      <c r="B29" s="17" t="n">
        <v>5385</v>
      </c>
      <c r="C29" s="18">
        <f>(4755.0/B29*100)</f>
        <v/>
      </c>
      <c r="D29" s="19" t="n">
        <v>630</v>
      </c>
      <c r="E29" s="18" t="n">
        <v>72.56526658</v>
      </c>
      <c r="F29" s="20" t="n">
        <v>2.02462909</v>
      </c>
      <c r="G29" s="18" t="n">
        <v>18.77681465</v>
      </c>
      <c r="H29" s="20" t="n">
        <v>1.56094665</v>
      </c>
      <c r="I29" s="18" t="s">
        <v>349</v>
      </c>
      <c r="J29" s="20" t="s">
        <v>349</v>
      </c>
      <c r="K29" s="18" t="n">
        <v>0.16168784</v>
      </c>
      <c r="L29" s="20" t="n">
        <v>0.16030023</v>
      </c>
      <c r="M29" s="18" t="n">
        <v>0.12152089</v>
      </c>
      <c r="N29" s="20" t="n">
        <v>0.11573515</v>
      </c>
      <c r="O29" s="18" t="n">
        <v>0</v>
      </c>
      <c r="P29" s="20" t="n">
        <v>0</v>
      </c>
      <c r="Q29" s="18" t="n">
        <v>8.374710049999999</v>
      </c>
      <c r="R29" s="20" t="n">
        <v>1.30744578</v>
      </c>
    </row>
    <row r="30" spans="1:18">
      <c r="A30" s="15" t="s">
        <v>372</v>
      </c>
      <c r="B30" s="17" t="n">
        <v>4520</v>
      </c>
      <c r="C30" s="18">
        <f>(3971.0/B30*100)</f>
        <v/>
      </c>
      <c r="D30" s="19" t="n">
        <v>549</v>
      </c>
      <c r="E30" s="18" t="n">
        <v>61.40273873</v>
      </c>
      <c r="F30" s="20" t="n">
        <v>1.89377289</v>
      </c>
      <c r="G30" s="18" t="n">
        <v>22.56884925</v>
      </c>
      <c r="H30" s="20" t="n">
        <v>1.88092049</v>
      </c>
      <c r="I30" s="18" t="s">
        <v>349</v>
      </c>
      <c r="J30" s="20" t="s">
        <v>349</v>
      </c>
      <c r="K30" s="18" t="n">
        <v>0.46625644</v>
      </c>
      <c r="L30" s="20" t="n">
        <v>0.38759184</v>
      </c>
      <c r="M30" s="18" t="n">
        <v>0.36666712</v>
      </c>
      <c r="N30" s="20" t="n">
        <v>0.33157963</v>
      </c>
      <c r="O30" s="18" t="n">
        <v>0</v>
      </c>
      <c r="P30" s="20" t="n">
        <v>0</v>
      </c>
      <c r="Q30" s="18" t="n">
        <v>15.19548845</v>
      </c>
      <c r="R30" s="20" t="n">
        <v>1.35367311</v>
      </c>
    </row>
    <row r="31" spans="1:18">
      <c r="A31" s="15" t="s">
        <v>373</v>
      </c>
      <c r="B31" s="17" t="n">
        <v>5456</v>
      </c>
      <c r="C31" s="18">
        <f>(4781.0/B31*100)</f>
        <v/>
      </c>
      <c r="D31" s="19" t="n">
        <v>675</v>
      </c>
      <c r="E31" s="18" t="n">
        <v>56.64547099</v>
      </c>
      <c r="F31" s="20" t="n">
        <v>2.07371155</v>
      </c>
      <c r="G31" s="18" t="n">
        <v>25.15965736</v>
      </c>
      <c r="H31" s="20" t="n">
        <v>1.74138483</v>
      </c>
      <c r="I31" s="18" t="s">
        <v>349</v>
      </c>
      <c r="J31" s="20" t="s">
        <v>349</v>
      </c>
      <c r="K31" s="18" t="n">
        <v>0.60344014</v>
      </c>
      <c r="L31" s="20" t="n">
        <v>0.29740025</v>
      </c>
      <c r="M31" s="18" t="n">
        <v>0.15331662</v>
      </c>
      <c r="N31" s="20" t="n">
        <v>0.12858929</v>
      </c>
      <c r="O31" s="18" t="n">
        <v>0</v>
      </c>
      <c r="P31" s="20" t="n">
        <v>0</v>
      </c>
      <c r="Q31" s="18" t="n">
        <v>17.43811488</v>
      </c>
      <c r="R31" s="20" t="n">
        <v>1.49674113</v>
      </c>
    </row>
    <row r="32" spans="1:18">
      <c r="A32" s="15" t="s">
        <v>374</v>
      </c>
      <c r="B32" s="17" t="n">
        <v>4478</v>
      </c>
      <c r="C32" s="18">
        <f>(3732.0/B32*100)</f>
        <v/>
      </c>
      <c r="D32" s="19" t="n">
        <v>746</v>
      </c>
      <c r="E32" s="18" t="n">
        <v>60.61349441</v>
      </c>
      <c r="F32" s="20" t="n">
        <v>1.78032474</v>
      </c>
      <c r="G32" s="18" t="n">
        <v>24.53286458</v>
      </c>
      <c r="H32" s="20" t="n">
        <v>1.47357468</v>
      </c>
      <c r="I32" s="18" t="s">
        <v>349</v>
      </c>
      <c r="J32" s="20" t="s">
        <v>349</v>
      </c>
      <c r="K32" s="18" t="n">
        <v>0</v>
      </c>
      <c r="L32" s="20" t="n">
        <v>0</v>
      </c>
      <c r="M32" s="18" t="n">
        <v>0</v>
      </c>
      <c r="N32" s="20" t="n">
        <v>0</v>
      </c>
      <c r="O32" s="18" t="n">
        <v>0</v>
      </c>
      <c r="P32" s="20" t="n">
        <v>0</v>
      </c>
      <c r="Q32" s="18" t="n">
        <v>14.85364101</v>
      </c>
      <c r="R32" s="20" t="n">
        <v>1.36018873</v>
      </c>
    </row>
    <row r="33" spans="1:18">
      <c r="A33" s="15" t="s">
        <v>375</v>
      </c>
      <c r="B33" s="17" t="n">
        <v>7325</v>
      </c>
      <c r="C33" s="18">
        <f>(6435.0/B33*100)</f>
        <v/>
      </c>
      <c r="D33" s="19" t="n">
        <v>890</v>
      </c>
      <c r="E33" s="18" t="n">
        <v>61.37876316</v>
      </c>
      <c r="F33" s="20" t="n">
        <v>1.95458785</v>
      </c>
      <c r="G33" s="18" t="n">
        <v>20.3163021</v>
      </c>
      <c r="H33" s="20" t="n">
        <v>1.65298667</v>
      </c>
      <c r="I33" s="18" t="s">
        <v>349</v>
      </c>
      <c r="J33" s="20" t="s">
        <v>349</v>
      </c>
      <c r="K33" s="18" t="n">
        <v>0.21111418</v>
      </c>
      <c r="L33" s="20" t="n">
        <v>0.21553065</v>
      </c>
      <c r="M33" s="18" t="n">
        <v>0.14984103</v>
      </c>
      <c r="N33" s="20" t="n">
        <v>0.12956539</v>
      </c>
      <c r="O33" s="18" t="n">
        <v>0</v>
      </c>
      <c r="P33" s="20" t="n">
        <v>0</v>
      </c>
      <c r="Q33" s="18" t="n">
        <v>17.94397953</v>
      </c>
      <c r="R33" s="20" t="n">
        <v>1.75490363</v>
      </c>
    </row>
    <row r="34" spans="1:18">
      <c r="A34" s="15" t="s">
        <v>376</v>
      </c>
      <c r="B34" s="17" t="n">
        <v>6350</v>
      </c>
      <c r="C34" s="18">
        <f>(5593.0/B34*100)</f>
        <v/>
      </c>
      <c r="D34" s="19" t="n">
        <v>757</v>
      </c>
      <c r="E34" s="18" t="n">
        <v>67.68068239999999</v>
      </c>
      <c r="F34" s="20" t="n">
        <v>1.74752074</v>
      </c>
      <c r="G34" s="18" t="n">
        <v>21.84747518</v>
      </c>
      <c r="H34" s="20" t="n">
        <v>1.73175774</v>
      </c>
      <c r="I34" s="18" t="s">
        <v>349</v>
      </c>
      <c r="J34" s="20" t="s">
        <v>349</v>
      </c>
      <c r="K34" s="18" t="n">
        <v>0</v>
      </c>
      <c r="L34" s="20" t="n">
        <v>0</v>
      </c>
      <c r="M34" s="18" t="n">
        <v>0</v>
      </c>
      <c r="N34" s="20" t="n">
        <v>0</v>
      </c>
      <c r="O34" s="18" t="n">
        <v>0</v>
      </c>
      <c r="P34" s="20" t="n">
        <v>0</v>
      </c>
      <c r="Q34" s="18" t="n">
        <v>10.47184243</v>
      </c>
      <c r="R34" s="20" t="n">
        <v>1.13939318</v>
      </c>
    </row>
    <row r="35" spans="1:18">
      <c r="A35" s="15" t="s">
        <v>377</v>
      </c>
      <c r="B35" s="17" t="n">
        <v>6406</v>
      </c>
      <c r="C35" s="18">
        <f>(5627.0/B35*100)</f>
        <v/>
      </c>
      <c r="D35" s="19" t="n">
        <v>779</v>
      </c>
      <c r="E35" s="18" t="n">
        <v>59.06511577</v>
      </c>
      <c r="F35" s="20" t="n">
        <v>1.92678486</v>
      </c>
      <c r="G35" s="18" t="n">
        <v>28.80473733</v>
      </c>
      <c r="H35" s="20" t="n">
        <v>1.95625637</v>
      </c>
      <c r="I35" s="18" t="s">
        <v>349</v>
      </c>
      <c r="J35" s="20" t="s">
        <v>349</v>
      </c>
      <c r="K35" s="18" t="n">
        <v>0.18431198</v>
      </c>
      <c r="L35" s="20" t="n">
        <v>0.10772328</v>
      </c>
      <c r="M35" s="18" t="n">
        <v>0</v>
      </c>
      <c r="N35" s="20" t="n">
        <v>0</v>
      </c>
      <c r="O35" s="18" t="n">
        <v>0</v>
      </c>
      <c r="P35" s="20" t="n">
        <v>0</v>
      </c>
      <c r="Q35" s="18" t="n">
        <v>11.94583492</v>
      </c>
      <c r="R35" s="20" t="n">
        <v>1.47473954</v>
      </c>
    </row>
    <row r="36" spans="1:18">
      <c r="A36" s="15" t="s">
        <v>378</v>
      </c>
      <c r="B36" s="17" t="n">
        <v>6736</v>
      </c>
      <c r="C36" s="18">
        <f>(5926.0/B36*100)</f>
        <v/>
      </c>
      <c r="D36" s="19" t="n">
        <v>810</v>
      </c>
      <c r="E36" s="18" t="n">
        <v>60.73995032</v>
      </c>
      <c r="F36" s="20" t="n">
        <v>1.97600232</v>
      </c>
      <c r="G36" s="18" t="n">
        <v>18.32630482</v>
      </c>
      <c r="H36" s="20" t="n">
        <v>1.42578954</v>
      </c>
      <c r="I36" s="18" t="s">
        <v>349</v>
      </c>
      <c r="J36" s="20" t="s">
        <v>349</v>
      </c>
      <c r="K36" s="18" t="n">
        <v>0.60494635</v>
      </c>
      <c r="L36" s="20" t="n">
        <v>0.41877862</v>
      </c>
      <c r="M36" s="18" t="n">
        <v>0.23490116</v>
      </c>
      <c r="N36" s="20" t="n">
        <v>0.23551893</v>
      </c>
      <c r="O36" s="18" t="n">
        <v>0</v>
      </c>
      <c r="P36" s="20" t="n">
        <v>0</v>
      </c>
      <c r="Q36" s="18" t="n">
        <v>20.09389735</v>
      </c>
      <c r="R36" s="20" t="n">
        <v>1.49156523</v>
      </c>
    </row>
    <row r="37" spans="1:18">
      <c r="A37" s="15" t="s">
        <v>379</v>
      </c>
      <c r="B37" s="17" t="n">
        <v>5458</v>
      </c>
      <c r="C37" s="18">
        <f>(4801.0/B37*100)</f>
        <v/>
      </c>
      <c r="D37" s="19" t="n">
        <v>657</v>
      </c>
      <c r="E37" s="18" t="n">
        <v>51.70700622</v>
      </c>
      <c r="F37" s="20" t="n">
        <v>2.16953288</v>
      </c>
      <c r="G37" s="18" t="n">
        <v>29.3495141</v>
      </c>
      <c r="H37" s="20" t="n">
        <v>2.03555774</v>
      </c>
      <c r="I37" s="18" t="s">
        <v>349</v>
      </c>
      <c r="J37" s="20" t="s">
        <v>349</v>
      </c>
      <c r="K37" s="18" t="n">
        <v>0.85239624</v>
      </c>
      <c r="L37" s="20" t="n">
        <v>0.39770926</v>
      </c>
      <c r="M37" s="18" t="n">
        <v>0</v>
      </c>
      <c r="N37" s="20" t="n">
        <v>0</v>
      </c>
      <c r="O37" s="18" t="n">
        <v>0</v>
      </c>
      <c r="P37" s="20" t="n">
        <v>0</v>
      </c>
      <c r="Q37" s="18" t="n">
        <v>18.09108343</v>
      </c>
      <c r="R37" s="20" t="n">
        <v>1.69162482</v>
      </c>
    </row>
    <row r="38" spans="1:18">
      <c r="A38" s="15" t="s">
        <v>380</v>
      </c>
      <c r="B38" s="17" t="n">
        <v>5860</v>
      </c>
      <c r="C38" s="18">
        <f>(4917.0/B38*100)</f>
        <v/>
      </c>
      <c r="D38" s="19" t="n">
        <v>943</v>
      </c>
      <c r="E38" s="18" t="n">
        <v>52.68657282</v>
      </c>
      <c r="F38" s="20" t="n">
        <v>2.45923401</v>
      </c>
      <c r="G38" s="18" t="n">
        <v>37.32210703</v>
      </c>
      <c r="H38" s="20" t="n">
        <v>2.25536552</v>
      </c>
      <c r="I38" s="18" t="s">
        <v>349</v>
      </c>
      <c r="J38" s="20" t="s">
        <v>349</v>
      </c>
      <c r="K38" s="18" t="n">
        <v>0.1167295</v>
      </c>
      <c r="L38" s="20" t="n">
        <v>0.09326857</v>
      </c>
      <c r="M38" s="18" t="n">
        <v>0.01684401</v>
      </c>
      <c r="N38" s="20" t="n">
        <v>0.01638516</v>
      </c>
      <c r="O38" s="18" t="n">
        <v>0</v>
      </c>
      <c r="P38" s="20" t="n">
        <v>0</v>
      </c>
      <c r="Q38" s="18" t="n">
        <v>9.85774664</v>
      </c>
      <c r="R38" s="20" t="n">
        <v>1.09622899</v>
      </c>
    </row>
    <row r="39" spans="1:18">
      <c r="A39" s="15" t="s">
        <v>381</v>
      </c>
      <c r="B39" s="17" t="n">
        <v>5895</v>
      </c>
      <c r="C39" s="18">
        <f>(5170.0/B39*100)</f>
        <v/>
      </c>
      <c r="D39" s="19" t="n">
        <v>725</v>
      </c>
      <c r="E39" s="18" t="n">
        <v>76.79818313</v>
      </c>
      <c r="F39" s="20" t="n">
        <v>1.7392788</v>
      </c>
      <c r="G39" s="18" t="n">
        <v>7.37036795</v>
      </c>
      <c r="H39" s="20" t="n">
        <v>1.08900036</v>
      </c>
      <c r="I39" s="18" t="s">
        <v>349</v>
      </c>
      <c r="J39" s="20" t="s">
        <v>349</v>
      </c>
      <c r="K39" s="18" t="n">
        <v>0.34205797</v>
      </c>
      <c r="L39" s="20" t="n">
        <v>0.20767611</v>
      </c>
      <c r="M39" s="18" t="n">
        <v>0</v>
      </c>
      <c r="N39" s="20" t="n">
        <v>0</v>
      </c>
      <c r="O39" s="18" t="n">
        <v>0</v>
      </c>
      <c r="P39" s="20" t="n">
        <v>0</v>
      </c>
      <c r="Q39" s="18" t="n">
        <v>15.48939094</v>
      </c>
      <c r="R39" s="20" t="n">
        <v>1.69853618</v>
      </c>
    </row>
    <row r="40" spans="1:18">
      <c r="A40" s="15" t="s">
        <v>382</v>
      </c>
      <c r="B40" s="17" t="n">
        <v>14157</v>
      </c>
      <c r="C40" s="18">
        <f>(12423.0/B40*100)</f>
        <v/>
      </c>
      <c r="D40" s="19" t="n">
        <v>1734</v>
      </c>
      <c r="E40" s="18" t="n">
        <v>66.9320014</v>
      </c>
      <c r="F40" s="20" t="n">
        <v>1.53983354</v>
      </c>
      <c r="G40" s="18" t="n">
        <v>20.3695941</v>
      </c>
      <c r="H40" s="20" t="n">
        <v>1.517368</v>
      </c>
      <c r="I40" s="18" t="s">
        <v>349</v>
      </c>
      <c r="J40" s="20" t="s">
        <v>349</v>
      </c>
      <c r="K40" s="18" t="n">
        <v>0.3557081</v>
      </c>
      <c r="L40" s="20" t="n">
        <v>0.24392993</v>
      </c>
      <c r="M40" s="18" t="n">
        <v>0.09347778</v>
      </c>
      <c r="N40" s="20" t="n">
        <v>0.08977147000000001</v>
      </c>
      <c r="O40" s="18" t="n">
        <v>0</v>
      </c>
      <c r="P40" s="20" t="n">
        <v>0</v>
      </c>
      <c r="Q40" s="18" t="n">
        <v>12.24921862</v>
      </c>
      <c r="R40" s="20" t="n">
        <v>1.24198913</v>
      </c>
    </row>
    <row r="41" spans="1:18">
      <c r="A41" s="15" t="s">
        <v>383</v>
      </c>
      <c r="B41" s="17" t="n">
        <v>5712</v>
      </c>
      <c r="C41" s="18">
        <f>(5025.0/B41*100)</f>
        <v/>
      </c>
      <c r="D41" s="19" t="n">
        <v>687</v>
      </c>
      <c r="E41" s="18" t="n">
        <v>85.08192173</v>
      </c>
      <c r="F41" s="20" t="n">
        <v>1.43531069</v>
      </c>
      <c r="G41" s="18" t="n">
        <v>10.23288797</v>
      </c>
      <c r="H41" s="20" t="n">
        <v>1.15383243</v>
      </c>
      <c r="I41" s="18" t="s">
        <v>349</v>
      </c>
      <c r="J41" s="20" t="s">
        <v>349</v>
      </c>
      <c r="K41" s="18" t="n">
        <v>1.05201068</v>
      </c>
      <c r="L41" s="20" t="n">
        <v>0.51686646</v>
      </c>
      <c r="M41" s="18" t="n">
        <v>0</v>
      </c>
      <c r="N41" s="20" t="n">
        <v>0</v>
      </c>
      <c r="O41" s="18" t="n">
        <v>0</v>
      </c>
      <c r="P41" s="20" t="n">
        <v>0</v>
      </c>
      <c r="Q41" s="18" t="n">
        <v>3.63317963</v>
      </c>
      <c r="R41" s="20" t="n">
        <v>0.73385002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(20691.0/B46*100)</f>
        <v/>
      </c>
      <c r="D46" s="19" t="n">
        <v>2450</v>
      </c>
      <c r="E46" s="18" t="n">
        <v>67.12625606</v>
      </c>
      <c r="F46" s="20" t="n">
        <v>1.46691946</v>
      </c>
      <c r="G46" s="18" t="n">
        <v>6.21533912</v>
      </c>
      <c r="H46" s="20" t="n">
        <v>0.7056365</v>
      </c>
      <c r="I46" s="18" t="s">
        <v>349</v>
      </c>
      <c r="J46" s="20" t="s">
        <v>349</v>
      </c>
      <c r="K46" s="18" t="n">
        <v>0.81857631</v>
      </c>
      <c r="L46" s="20" t="n">
        <v>0.26333282</v>
      </c>
      <c r="M46" s="18" t="n">
        <v>0.25896151</v>
      </c>
      <c r="N46" s="20" t="n">
        <v>0.13135003</v>
      </c>
      <c r="O46" s="18" t="n">
        <v>0</v>
      </c>
      <c r="P46" s="20" t="n">
        <v>0</v>
      </c>
      <c r="Q46" s="18" t="n">
        <v>25.58086701</v>
      </c>
      <c r="R46" s="20" t="n">
        <v>1.46078245</v>
      </c>
    </row>
    <row r="47" spans="1:18">
      <c r="A47" s="15" t="s">
        <v>389</v>
      </c>
      <c r="B47" s="17" t="n">
        <v>5928</v>
      </c>
      <c r="C47" s="18">
        <f>(5206.0/B47*100)</f>
        <v/>
      </c>
      <c r="D47" s="19" t="n">
        <v>722</v>
      </c>
      <c r="E47" s="18" t="n">
        <v>68.84907117</v>
      </c>
      <c r="F47" s="20" t="n">
        <v>1.75856871</v>
      </c>
      <c r="G47" s="18" t="n">
        <v>13.82099217</v>
      </c>
      <c r="H47" s="20" t="n">
        <v>1.39536896</v>
      </c>
      <c r="I47" s="18" t="s">
        <v>349</v>
      </c>
      <c r="J47" s="20" t="s">
        <v>349</v>
      </c>
      <c r="K47" s="18" t="n">
        <v>0.38778146</v>
      </c>
      <c r="L47" s="20" t="n">
        <v>0.25953531</v>
      </c>
      <c r="M47" s="18" t="n">
        <v>0</v>
      </c>
      <c r="N47" s="20" t="n">
        <v>0</v>
      </c>
      <c r="O47" s="18" t="n">
        <v>0</v>
      </c>
      <c r="P47" s="20" t="n">
        <v>0</v>
      </c>
      <c r="Q47" s="18" t="n">
        <v>16.9421552</v>
      </c>
      <c r="R47" s="20" t="n">
        <v>1.42185419</v>
      </c>
    </row>
    <row r="48" spans="1:18">
      <c r="A48" s="15" t="s">
        <v>390</v>
      </c>
      <c r="B48" s="17" t="n">
        <v>9841</v>
      </c>
      <c r="C48" s="18">
        <f>(8642.0/B48*100)</f>
        <v/>
      </c>
      <c r="D48" s="19" t="n">
        <v>1199</v>
      </c>
      <c r="E48" s="18" t="n">
        <v>43.27798413</v>
      </c>
      <c r="F48" s="20" t="n">
        <v>1.93842941</v>
      </c>
      <c r="G48" s="18" t="n">
        <v>52.11765654</v>
      </c>
      <c r="H48" s="20" t="n">
        <v>2.07565232</v>
      </c>
      <c r="I48" s="18" t="s">
        <v>349</v>
      </c>
      <c r="J48" s="20" t="s">
        <v>349</v>
      </c>
      <c r="K48" s="18" t="n">
        <v>0.27012364</v>
      </c>
      <c r="L48" s="20" t="n">
        <v>0.18738509</v>
      </c>
      <c r="M48" s="18" t="n">
        <v>0</v>
      </c>
      <c r="N48" s="20" t="n">
        <v>0</v>
      </c>
      <c r="O48" s="18" t="n">
        <v>0</v>
      </c>
      <c r="P48" s="20" t="n">
        <v>0</v>
      </c>
      <c r="Q48" s="18" t="n">
        <v>4.33423569</v>
      </c>
      <c r="R48" s="20" t="n">
        <v>0.7095159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(10358.0/B50*100)</f>
        <v/>
      </c>
      <c r="D50" s="19" t="n">
        <v>1437</v>
      </c>
      <c r="E50" s="18" t="n">
        <v>82.19627121000001</v>
      </c>
      <c r="F50" s="20" t="n">
        <v>1.31714954</v>
      </c>
      <c r="G50" s="18" t="n">
        <v>3.60172543</v>
      </c>
      <c r="H50" s="20" t="n">
        <v>0.66815124</v>
      </c>
      <c r="I50" s="18" t="s">
        <v>349</v>
      </c>
      <c r="J50" s="20" t="s">
        <v>349</v>
      </c>
      <c r="K50" s="18" t="n">
        <v>0.42303975</v>
      </c>
      <c r="L50" s="20" t="n">
        <v>0.20958409</v>
      </c>
      <c r="M50" s="18" t="n">
        <v>0.9842322100000001</v>
      </c>
      <c r="N50" s="20" t="n">
        <v>0.3099665</v>
      </c>
      <c r="O50" s="18" t="n">
        <v>0</v>
      </c>
      <c r="P50" s="20" t="n">
        <v>0</v>
      </c>
      <c r="Q50" s="18" t="n">
        <v>12.79473141</v>
      </c>
      <c r="R50" s="20" t="n">
        <v>1.24937237</v>
      </c>
    </row>
    <row r="51" spans="1:18">
      <c r="A51" s="15" t="s">
        <v>393</v>
      </c>
      <c r="B51" s="17" t="n">
        <v>6866</v>
      </c>
      <c r="C51" s="18">
        <f>(6126.0/B51*100)</f>
        <v/>
      </c>
      <c r="D51" s="19" t="n">
        <v>740</v>
      </c>
      <c r="E51" s="18" t="n">
        <v>74.55740724</v>
      </c>
      <c r="F51" s="20" t="n">
        <v>1.71519469</v>
      </c>
      <c r="G51" s="18" t="n">
        <v>4.85604677</v>
      </c>
      <c r="H51" s="20" t="n">
        <v>0.84506171</v>
      </c>
      <c r="I51" s="18" t="s">
        <v>349</v>
      </c>
      <c r="J51" s="20" t="s">
        <v>349</v>
      </c>
      <c r="K51" s="18" t="n">
        <v>0.11386955</v>
      </c>
      <c r="L51" s="20" t="n">
        <v>0.09656557</v>
      </c>
      <c r="M51" s="18" t="n">
        <v>0</v>
      </c>
      <c r="N51" s="20" t="n">
        <v>0</v>
      </c>
      <c r="O51" s="18" t="n">
        <v>0</v>
      </c>
      <c r="P51" s="20" t="n">
        <v>0</v>
      </c>
      <c r="Q51" s="18" t="n">
        <v>20.47267644</v>
      </c>
      <c r="R51" s="20" t="n">
        <v>1.62015201</v>
      </c>
    </row>
    <row r="52" spans="1:18">
      <c r="A52" s="15" t="s">
        <v>394</v>
      </c>
      <c r="B52" s="17" t="n">
        <v>5809</v>
      </c>
      <c r="C52" s="18">
        <f>(5098.0/B52*100)</f>
        <v/>
      </c>
      <c r="D52" s="19" t="n">
        <v>711</v>
      </c>
      <c r="E52" s="18" t="n">
        <v>65.99213146</v>
      </c>
      <c r="F52" s="20" t="n">
        <v>1.93326789</v>
      </c>
      <c r="G52" s="18" t="n">
        <v>12.18335566</v>
      </c>
      <c r="H52" s="20" t="n">
        <v>1.39957808</v>
      </c>
      <c r="I52" s="18" t="s">
        <v>349</v>
      </c>
      <c r="J52" s="20" t="s">
        <v>349</v>
      </c>
      <c r="K52" s="18" t="n">
        <v>0</v>
      </c>
      <c r="L52" s="20" t="n">
        <v>0</v>
      </c>
      <c r="M52" s="18" t="n">
        <v>0.23217806</v>
      </c>
      <c r="N52" s="20" t="n">
        <v>0.15002814</v>
      </c>
      <c r="O52" s="18" t="n">
        <v>0</v>
      </c>
      <c r="P52" s="20" t="n">
        <v>0</v>
      </c>
      <c r="Q52" s="18" t="n">
        <v>21.59233482</v>
      </c>
      <c r="R52" s="20" t="n">
        <v>1.46672617</v>
      </c>
    </row>
    <row r="53" spans="1:18">
      <c r="A53" s="15" t="s">
        <v>395</v>
      </c>
      <c r="B53" s="17" t="n">
        <v>5571</v>
      </c>
      <c r="C53" s="18">
        <f>(4874.0/B53*100)</f>
        <v/>
      </c>
      <c r="D53" s="19" t="n">
        <v>697</v>
      </c>
      <c r="E53" s="18" t="n">
        <v>71.34061032</v>
      </c>
      <c r="F53" s="20" t="n">
        <v>1.91468327</v>
      </c>
      <c r="G53" s="18" t="n">
        <v>13.20177074</v>
      </c>
      <c r="H53" s="20" t="n">
        <v>1.40429651</v>
      </c>
      <c r="I53" s="18" t="s">
        <v>349</v>
      </c>
      <c r="J53" s="20" t="s">
        <v>349</v>
      </c>
      <c r="K53" s="18" t="n">
        <v>0.41617298</v>
      </c>
      <c r="L53" s="20" t="n">
        <v>0.20076635</v>
      </c>
      <c r="M53" s="18" t="n">
        <v>0</v>
      </c>
      <c r="N53" s="20" t="n">
        <v>0</v>
      </c>
      <c r="O53" s="18" t="n">
        <v>0</v>
      </c>
      <c r="P53" s="20" t="n">
        <v>0</v>
      </c>
      <c r="Q53" s="18" t="n">
        <v>15.04144596</v>
      </c>
      <c r="R53" s="20" t="n">
        <v>1.34711502</v>
      </c>
    </row>
    <row r="54" spans="1:18">
      <c r="A54" s="15" t="s">
        <v>396</v>
      </c>
      <c r="B54" s="17" t="n">
        <v>4740</v>
      </c>
      <c r="C54" s="18">
        <f>(3968.0/B54*100)</f>
        <v/>
      </c>
      <c r="D54" s="19" t="n">
        <v>772</v>
      </c>
      <c r="E54" s="18" t="n">
        <v>63.76914545</v>
      </c>
      <c r="F54" s="20" t="n">
        <v>2.04454415</v>
      </c>
      <c r="G54" s="18" t="n">
        <v>1.31300258</v>
      </c>
      <c r="H54" s="20" t="n">
        <v>0.43952085</v>
      </c>
      <c r="I54" s="18" t="s">
        <v>349</v>
      </c>
      <c r="J54" s="20" t="s">
        <v>349</v>
      </c>
      <c r="K54" s="18" t="n">
        <v>8.46860826</v>
      </c>
      <c r="L54" s="20" t="n">
        <v>1.2972315</v>
      </c>
      <c r="M54" s="18" t="n">
        <v>0.80055938</v>
      </c>
      <c r="N54" s="20" t="n">
        <v>0.70621092</v>
      </c>
      <c r="O54" s="18" t="n">
        <v>0</v>
      </c>
      <c r="P54" s="20" t="n">
        <v>0</v>
      </c>
      <c r="Q54" s="18" t="n">
        <v>25.64868433</v>
      </c>
      <c r="R54" s="20" t="n">
        <v>1.70881384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(4700.0/B56*100)</f>
        <v/>
      </c>
      <c r="D56" s="19" t="n">
        <v>659</v>
      </c>
      <c r="E56" s="18" t="n">
        <v>47.67578376</v>
      </c>
      <c r="F56" s="20" t="n">
        <v>2.1590968</v>
      </c>
      <c r="G56" s="18" t="n">
        <v>45.77244162</v>
      </c>
      <c r="H56" s="20" t="n">
        <v>2.23410953</v>
      </c>
      <c r="I56" s="18" t="s">
        <v>349</v>
      </c>
      <c r="J56" s="20" t="s">
        <v>349</v>
      </c>
      <c r="K56" s="18" t="n">
        <v>0.13916767</v>
      </c>
      <c r="L56" s="20" t="n">
        <v>0.15511238</v>
      </c>
      <c r="M56" s="18" t="n">
        <v>0</v>
      </c>
      <c r="N56" s="20" t="n">
        <v>0</v>
      </c>
      <c r="O56" s="18" t="n">
        <v>0</v>
      </c>
      <c r="P56" s="20" t="n">
        <v>0</v>
      </c>
      <c r="Q56" s="18" t="n">
        <v>6.41260695</v>
      </c>
      <c r="R56" s="20" t="n">
        <v>0.95286855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(5745.0/B61*100)</f>
        <v/>
      </c>
      <c r="D61" s="19" t="n">
        <v>780</v>
      </c>
      <c r="E61" s="18" t="n">
        <v>65.12172753</v>
      </c>
      <c r="F61" s="20" t="n">
        <v>1.81731686</v>
      </c>
      <c r="G61" s="18" t="n">
        <v>18.16119896</v>
      </c>
      <c r="H61" s="20" t="n">
        <v>1.786106</v>
      </c>
      <c r="I61" s="18" t="s">
        <v>349</v>
      </c>
      <c r="J61" s="20" t="s">
        <v>349</v>
      </c>
      <c r="K61" s="18" t="n">
        <v>0.1154473</v>
      </c>
      <c r="L61" s="20" t="n">
        <v>0.16296882</v>
      </c>
      <c r="M61" s="18" t="n">
        <v>0</v>
      </c>
      <c r="N61" s="20" t="n">
        <v>0</v>
      </c>
      <c r="O61" s="18" t="n">
        <v>0</v>
      </c>
      <c r="P61" s="20" t="n">
        <v>0</v>
      </c>
      <c r="Q61" s="18" t="n">
        <v>16.60162621</v>
      </c>
      <c r="R61" s="20" t="n">
        <v>1.68438386</v>
      </c>
    </row>
    <row r="62" spans="1:18">
      <c r="A62" s="15" t="s">
        <v>404</v>
      </c>
      <c r="B62" s="17" t="n">
        <v>4476</v>
      </c>
      <c r="C62" s="18">
        <f>(3946.0/B62*100)</f>
        <v/>
      </c>
      <c r="D62" s="19" t="n">
        <v>530</v>
      </c>
      <c r="E62" s="18" t="n">
        <v>53.93401863</v>
      </c>
      <c r="F62" s="20" t="n">
        <v>2.28374605</v>
      </c>
      <c r="G62" s="18" t="n">
        <v>41.54006541</v>
      </c>
      <c r="H62" s="20" t="n">
        <v>2.30750496</v>
      </c>
      <c r="I62" s="18" t="s">
        <v>349</v>
      </c>
      <c r="J62" s="20" t="s">
        <v>349</v>
      </c>
      <c r="K62" s="18" t="n">
        <v>0</v>
      </c>
      <c r="L62" s="20" t="n">
        <v>0</v>
      </c>
      <c r="M62" s="18" t="n">
        <v>0</v>
      </c>
      <c r="N62" s="20" t="n">
        <v>0</v>
      </c>
      <c r="O62" s="18" t="n">
        <v>0</v>
      </c>
      <c r="P62" s="20" t="n">
        <v>0</v>
      </c>
      <c r="Q62" s="18" t="n">
        <v>4.52591596</v>
      </c>
      <c r="R62" s="20" t="n">
        <v>0.92729873</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(4965.0/B66*100)</f>
        <v/>
      </c>
      <c r="D66" s="19" t="n">
        <v>700</v>
      </c>
      <c r="E66" s="18" t="n">
        <v>52.53712156</v>
      </c>
      <c r="F66" s="20" t="n">
        <v>1.68998984</v>
      </c>
      <c r="G66" s="18" t="n">
        <v>9.256967619999999</v>
      </c>
      <c r="H66" s="20" t="n">
        <v>1.10013327</v>
      </c>
      <c r="I66" s="18" t="s">
        <v>349</v>
      </c>
      <c r="J66" s="20" t="s">
        <v>349</v>
      </c>
      <c r="K66" s="18" t="n">
        <v>0.402513</v>
      </c>
      <c r="L66" s="20" t="n">
        <v>0.23333955</v>
      </c>
      <c r="M66" s="18" t="n">
        <v>0.24935513</v>
      </c>
      <c r="N66" s="20" t="n">
        <v>0.17408978</v>
      </c>
      <c r="O66" s="18" t="n">
        <v>0</v>
      </c>
      <c r="P66" s="20" t="n">
        <v>0</v>
      </c>
      <c r="Q66" s="18" t="n">
        <v>37.5540427</v>
      </c>
      <c r="R66" s="20" t="n">
        <v>1.57576845</v>
      </c>
    </row>
    <row r="67" spans="1:18">
      <c r="A67" s="15" t="s">
        <v>409</v>
      </c>
      <c r="B67" s="17" t="n">
        <v>6971</v>
      </c>
      <c r="C67" s="18">
        <f>(6183.0/B67*100)</f>
        <v/>
      </c>
      <c r="D67" s="19" t="n">
        <v>788</v>
      </c>
      <c r="E67" s="18" t="n">
        <v>71.35223683</v>
      </c>
      <c r="F67" s="20" t="n">
        <v>1.72850455</v>
      </c>
      <c r="G67" s="18" t="n">
        <v>4.56959121</v>
      </c>
      <c r="H67" s="20" t="n">
        <v>0.75584832</v>
      </c>
      <c r="I67" s="18" t="s">
        <v>349</v>
      </c>
      <c r="J67" s="20" t="s">
        <v>349</v>
      </c>
      <c r="K67" s="18" t="n">
        <v>0</v>
      </c>
      <c r="L67" s="20" t="n">
        <v>0</v>
      </c>
      <c r="M67" s="18" t="n">
        <v>0</v>
      </c>
      <c r="N67" s="20" t="n">
        <v>0</v>
      </c>
      <c r="O67" s="18" t="n">
        <v>0</v>
      </c>
      <c r="P67" s="20" t="n">
        <v>0</v>
      </c>
      <c r="Q67" s="18" t="n">
        <v>24.07817196</v>
      </c>
      <c r="R67" s="20" t="n">
        <v>1.704756</v>
      </c>
    </row>
    <row r="68" spans="1:18">
      <c r="A68" s="15" t="s">
        <v>410</v>
      </c>
      <c r="B68" s="17" t="n">
        <v>12083</v>
      </c>
      <c r="C68" s="18">
        <f>(10098.0/B68*100)</f>
        <v/>
      </c>
      <c r="D68" s="19" t="n">
        <v>1985</v>
      </c>
      <c r="E68" s="18" t="n">
        <v>74.99967313000001</v>
      </c>
      <c r="F68" s="20" t="n">
        <v>0.89594563</v>
      </c>
      <c r="G68" s="18" t="n">
        <v>8.57388357</v>
      </c>
      <c r="H68" s="20" t="n">
        <v>0.6527056</v>
      </c>
      <c r="I68" s="18" t="s">
        <v>349</v>
      </c>
      <c r="J68" s="20" t="s">
        <v>349</v>
      </c>
      <c r="K68" s="18" t="n">
        <v>1.75248404</v>
      </c>
      <c r="L68" s="20" t="n">
        <v>0.269223</v>
      </c>
      <c r="M68" s="18" t="n">
        <v>0.04781326</v>
      </c>
      <c r="N68" s="20" t="n">
        <v>0.04785694</v>
      </c>
      <c r="O68" s="18" t="n">
        <v>0</v>
      </c>
      <c r="P68" s="20" t="n">
        <v>0</v>
      </c>
      <c r="Q68" s="18" t="n">
        <v>14.626146</v>
      </c>
      <c r="R68" s="20" t="n">
        <v>0.7840321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(5326.0/B70*100)</f>
        <v/>
      </c>
      <c r="D70" s="19" t="n">
        <v>710</v>
      </c>
      <c r="E70" s="18" t="n">
        <v>60.47040057</v>
      </c>
      <c r="F70" s="20" t="n">
        <v>2.42923544</v>
      </c>
      <c r="G70" s="18" t="n">
        <v>21.43685378</v>
      </c>
      <c r="H70" s="20" t="n">
        <v>1.83860657</v>
      </c>
      <c r="I70" s="18" t="s">
        <v>349</v>
      </c>
      <c r="J70" s="20" t="s">
        <v>349</v>
      </c>
      <c r="K70" s="18" t="n">
        <v>0.07363884</v>
      </c>
      <c r="L70" s="20" t="n">
        <v>0.05216082</v>
      </c>
      <c r="M70" s="18" t="n">
        <v>1.9745879</v>
      </c>
      <c r="N70" s="20" t="n">
        <v>0.8339060700000001</v>
      </c>
      <c r="O70" s="18" t="n">
        <v>0</v>
      </c>
      <c r="P70" s="20" t="n">
        <v>0</v>
      </c>
      <c r="Q70" s="18" t="n">
        <v>16.04451892</v>
      </c>
      <c r="R70" s="20" t="n">
        <v>1.83751397</v>
      </c>
    </row>
    <row r="71" spans="1:18">
      <c r="A71" s="15" t="s">
        <v>413</v>
      </c>
      <c r="B71" s="17" t="n">
        <v>6115</v>
      </c>
      <c r="C71" s="18">
        <f>(5376.0/B71*100)</f>
        <v/>
      </c>
      <c r="D71" s="19" t="n">
        <v>739</v>
      </c>
      <c r="E71" s="18" t="n">
        <v>46.59164237</v>
      </c>
      <c r="F71" s="20" t="n">
        <v>1.72895071</v>
      </c>
      <c r="G71" s="18" t="n">
        <v>48.9145837</v>
      </c>
      <c r="H71" s="20" t="n">
        <v>1.77172752</v>
      </c>
      <c r="I71" s="18" t="s">
        <v>349</v>
      </c>
      <c r="J71" s="20" t="s">
        <v>349</v>
      </c>
      <c r="K71" s="18" t="n">
        <v>0.23834684</v>
      </c>
      <c r="L71" s="20" t="n">
        <v>0.16782581</v>
      </c>
      <c r="M71" s="18" t="n">
        <v>0</v>
      </c>
      <c r="N71" s="20" t="n">
        <v>0</v>
      </c>
      <c r="O71" s="18" t="n">
        <v>0</v>
      </c>
      <c r="P71" s="20" t="n">
        <v>0</v>
      </c>
      <c r="Q71" s="18" t="n">
        <v>4.25542709</v>
      </c>
      <c r="R71" s="20" t="n">
        <v>0.64628632</v>
      </c>
    </row>
    <row r="72" spans="1:18">
      <c r="A72" s="15" t="s">
        <v>414</v>
      </c>
      <c r="B72" s="17" t="n">
        <v>7708</v>
      </c>
      <c r="C72" s="18">
        <f>(6768.0/B72*100)</f>
        <v/>
      </c>
      <c r="D72" s="19" t="n">
        <v>940</v>
      </c>
      <c r="E72" s="18" t="n">
        <v>37.02956219</v>
      </c>
      <c r="F72" s="20" t="n">
        <v>1.80850216</v>
      </c>
      <c r="G72" s="18" t="n">
        <v>55.21133761</v>
      </c>
      <c r="H72" s="20" t="n">
        <v>2.04346552</v>
      </c>
      <c r="I72" s="18" t="s">
        <v>349</v>
      </c>
      <c r="J72" s="20" t="s">
        <v>349</v>
      </c>
      <c r="K72" s="18" t="n">
        <v>0.28397783</v>
      </c>
      <c r="L72" s="20" t="n">
        <v>0.20036399</v>
      </c>
      <c r="M72" s="18" t="n">
        <v>0</v>
      </c>
      <c r="N72" s="20" t="n">
        <v>0</v>
      </c>
      <c r="O72" s="18" t="n">
        <v>0</v>
      </c>
      <c r="P72" s="20" t="n">
        <v>0</v>
      </c>
      <c r="Q72" s="18" t="n">
        <v>7.47512238</v>
      </c>
      <c r="R72" s="20" t="n">
        <v>0.94685424</v>
      </c>
    </row>
    <row r="73" spans="1:18">
      <c r="A73" s="15" t="s">
        <v>415</v>
      </c>
      <c r="B73" s="17" t="n">
        <v>8249</v>
      </c>
      <c r="C73" s="18">
        <f>(7241.0/B73*100)</f>
        <v/>
      </c>
      <c r="D73" s="19" t="n">
        <v>1008</v>
      </c>
      <c r="E73" s="18" t="n">
        <v>85.74965133000001</v>
      </c>
      <c r="F73" s="20" t="n">
        <v>1.41705995</v>
      </c>
      <c r="G73" s="18" t="n">
        <v>8.33332772</v>
      </c>
      <c r="H73" s="20" t="n">
        <v>1.1706137</v>
      </c>
      <c r="I73" s="18" t="s">
        <v>349</v>
      </c>
      <c r="J73" s="20" t="s">
        <v>349</v>
      </c>
      <c r="K73" s="18" t="n">
        <v>0.03515546</v>
      </c>
      <c r="L73" s="20" t="n">
        <v>0.03698013</v>
      </c>
      <c r="M73" s="18" t="n">
        <v>0.06218558</v>
      </c>
      <c r="N73" s="20" t="n">
        <v>0.06200491</v>
      </c>
      <c r="O73" s="18" t="n">
        <v>0</v>
      </c>
      <c r="P73" s="20" t="n">
        <v>0</v>
      </c>
      <c r="Q73" s="18" t="n">
        <v>5.8196799</v>
      </c>
      <c r="R73" s="20" t="n">
        <v>1.04539852</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(4778.0/B75*100)</f>
        <v/>
      </c>
      <c r="D75" s="19" t="n">
        <v>597</v>
      </c>
      <c r="E75" s="18" t="n">
        <v>67.00040326</v>
      </c>
      <c r="F75" s="20" t="n">
        <v>2.08060466</v>
      </c>
      <c r="G75" s="18" t="n">
        <v>5.70992282</v>
      </c>
      <c r="H75" s="20" t="n">
        <v>1.05442355</v>
      </c>
      <c r="I75" s="18" t="s">
        <v>349</v>
      </c>
      <c r="J75" s="20" t="s">
        <v>349</v>
      </c>
      <c r="K75" s="18" t="n">
        <v>0.97739668</v>
      </c>
      <c r="L75" s="20" t="n">
        <v>0.34933378</v>
      </c>
      <c r="M75" s="18" t="n">
        <v>0.68613937</v>
      </c>
      <c r="N75" s="20" t="n">
        <v>0.40849009</v>
      </c>
      <c r="O75" s="18" t="n">
        <v>0</v>
      </c>
      <c r="P75" s="20" t="n">
        <v>0</v>
      </c>
      <c r="Q75" s="18" t="n">
        <v>25.62613787</v>
      </c>
      <c r="R75" s="20" t="n">
        <v>2.01279408</v>
      </c>
    </row>
    <row r="76" spans="1:18">
      <c r="A76" s="15" t="s">
        <v>418</v>
      </c>
      <c r="B76" s="17" t="n">
        <v>14167</v>
      </c>
      <c r="C76" s="18">
        <f>(12466.0/B76*100)</f>
        <v/>
      </c>
      <c r="D76" s="19" t="n">
        <v>1701</v>
      </c>
      <c r="E76" s="18" t="n">
        <v>78.95742078000001</v>
      </c>
      <c r="F76" s="20" t="n">
        <v>1.18834164</v>
      </c>
      <c r="G76" s="18" t="n">
        <v>11.20449605</v>
      </c>
      <c r="H76" s="20" t="n">
        <v>1.10401846</v>
      </c>
      <c r="I76" s="18" t="s">
        <v>349</v>
      </c>
      <c r="J76" s="20" t="s">
        <v>349</v>
      </c>
      <c r="K76" s="18" t="n">
        <v>1.01466541</v>
      </c>
      <c r="L76" s="20" t="n">
        <v>0.26473649</v>
      </c>
      <c r="M76" s="18" t="n">
        <v>0.14980421</v>
      </c>
      <c r="N76" s="20" t="n">
        <v>0.07134427</v>
      </c>
      <c r="O76" s="18" t="n">
        <v>0</v>
      </c>
      <c r="P76" s="20" t="n">
        <v>0</v>
      </c>
      <c r="Q76" s="18" t="n">
        <v>8.67361354</v>
      </c>
      <c r="R76" s="20" t="n">
        <v>0.91287527</v>
      </c>
    </row>
    <row r="77" spans="1:18">
      <c r="A77" s="15" t="s">
        <v>419</v>
      </c>
      <c r="B77" s="17" t="n">
        <v>6062</v>
      </c>
      <c r="C77" s="18">
        <f>(5333.0/B77*100)</f>
        <v/>
      </c>
      <c r="D77" s="19" t="n">
        <v>729</v>
      </c>
      <c r="E77" s="18" t="n">
        <v>56.13526279</v>
      </c>
      <c r="F77" s="20" t="n">
        <v>1.92153844</v>
      </c>
      <c r="G77" s="18" t="n">
        <v>3.48041643</v>
      </c>
      <c r="H77" s="20" t="n">
        <v>0.7041541100000001</v>
      </c>
      <c r="I77" s="18" t="s">
        <v>349</v>
      </c>
      <c r="J77" s="20" t="s">
        <v>349</v>
      </c>
      <c r="K77" s="18" t="n">
        <v>0.6256226</v>
      </c>
      <c r="L77" s="20" t="n">
        <v>0.33141865</v>
      </c>
      <c r="M77" s="18" t="n">
        <v>6.82286771</v>
      </c>
      <c r="N77" s="20" t="n">
        <v>0.99355279</v>
      </c>
      <c r="O77" s="18" t="n">
        <v>0</v>
      </c>
      <c r="P77" s="20" t="n">
        <v>0</v>
      </c>
      <c r="Q77" s="18" t="n">
        <v>32.93583047</v>
      </c>
      <c r="R77" s="20" t="n">
        <v>1.82387114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(7775.0/B81*100)</f>
        <v/>
      </c>
      <c r="D81" s="19" t="n">
        <v>1086</v>
      </c>
      <c r="E81" s="18" t="n">
        <v>78.15930982</v>
      </c>
      <c r="F81" s="20" t="n">
        <v>1.738575</v>
      </c>
      <c r="G81" s="18" t="n">
        <v>16.59772537</v>
      </c>
      <c r="H81" s="20" t="n">
        <v>1.61304003</v>
      </c>
      <c r="I81" s="18" t="s">
        <v>349</v>
      </c>
      <c r="J81" s="20" t="s">
        <v>349</v>
      </c>
      <c r="K81" s="18" t="n">
        <v>0.41544274</v>
      </c>
      <c r="L81" s="20" t="n">
        <v>0.38785404</v>
      </c>
      <c r="M81" s="18" t="n">
        <v>0.11853435</v>
      </c>
      <c r="N81" s="20" t="n">
        <v>0.11817256</v>
      </c>
      <c r="O81" s="18" t="n">
        <v>0</v>
      </c>
      <c r="P81" s="20" t="n">
        <v>0</v>
      </c>
      <c r="Q81" s="18" t="n">
        <v>4.70898773</v>
      </c>
      <c r="R81" s="20" t="n">
        <v>0.84215757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(12834.0/B7*100)</f>
        <v/>
      </c>
      <c r="D7" s="19" t="n">
        <v>1696</v>
      </c>
      <c r="E7" s="18" t="n">
        <v>65.81532203</v>
      </c>
      <c r="F7" s="20" t="n">
        <v>1.3042835</v>
      </c>
      <c r="G7" s="18" t="n">
        <v>14.21604973</v>
      </c>
      <c r="H7" s="20" t="n">
        <v>0.99187753</v>
      </c>
      <c r="I7" s="18" t="s">
        <v>349</v>
      </c>
      <c r="J7" s="20" t="s">
        <v>349</v>
      </c>
      <c r="K7" s="18" t="n">
        <v>0.63899784</v>
      </c>
      <c r="L7" s="20" t="n">
        <v>0.19766377</v>
      </c>
      <c r="M7" s="18" t="n">
        <v>0.04414586</v>
      </c>
      <c r="N7" s="20" t="n">
        <v>0.03798307</v>
      </c>
      <c r="O7" s="18" t="n">
        <v>0</v>
      </c>
      <c r="P7" s="20" t="n">
        <v>0</v>
      </c>
      <c r="Q7" s="18" t="n">
        <v>19.28548453</v>
      </c>
      <c r="R7" s="20" t="n">
        <v>1.14865466</v>
      </c>
    </row>
    <row r="8" spans="1:18">
      <c r="A8" s="15" t="s">
        <v>350</v>
      </c>
      <c r="B8" s="17" t="n">
        <v>7007</v>
      </c>
      <c r="C8" s="18">
        <f>(6170.0/B8*100)</f>
        <v/>
      </c>
      <c r="D8" s="19" t="n">
        <v>837</v>
      </c>
      <c r="E8" s="18" t="n">
        <v>51.81193492</v>
      </c>
      <c r="F8" s="20" t="n">
        <v>1.89677658</v>
      </c>
      <c r="G8" s="18" t="n">
        <v>14.59045159</v>
      </c>
      <c r="H8" s="20" t="n">
        <v>1.14432061</v>
      </c>
      <c r="I8" s="18" t="s">
        <v>349</v>
      </c>
      <c r="J8" s="20" t="s">
        <v>349</v>
      </c>
      <c r="K8" s="18" t="n">
        <v>0.43537651</v>
      </c>
      <c r="L8" s="20" t="n">
        <v>0.24607892</v>
      </c>
      <c r="M8" s="18" t="n">
        <v>0</v>
      </c>
      <c r="N8" s="20" t="n">
        <v>0</v>
      </c>
      <c r="O8" s="18" t="n">
        <v>0</v>
      </c>
      <c r="P8" s="20" t="n">
        <v>0</v>
      </c>
      <c r="Q8" s="18" t="n">
        <v>33.16223698</v>
      </c>
      <c r="R8" s="20" t="n">
        <v>1.59887927</v>
      </c>
    </row>
    <row r="9" spans="1:18">
      <c r="A9" s="15" t="s">
        <v>351</v>
      </c>
      <c r="B9" s="17" t="n">
        <v>9651</v>
      </c>
      <c r="C9" s="18">
        <f>(8511.0/B9*100)</f>
        <v/>
      </c>
      <c r="D9" s="19" t="n">
        <v>1140</v>
      </c>
      <c r="E9" s="18" t="n">
        <v>55.39574069</v>
      </c>
      <c r="F9" s="20" t="n">
        <v>1.33909709</v>
      </c>
      <c r="G9" s="18" t="n">
        <v>15.00446265</v>
      </c>
      <c r="H9" s="20" t="n">
        <v>1.26311486</v>
      </c>
      <c r="I9" s="18" t="s">
        <v>349</v>
      </c>
      <c r="J9" s="20" t="s">
        <v>349</v>
      </c>
      <c r="K9" s="18" t="n">
        <v>0.29841645</v>
      </c>
      <c r="L9" s="20" t="n">
        <v>0.22920271</v>
      </c>
      <c r="M9" s="18" t="n">
        <v>0.41505022</v>
      </c>
      <c r="N9" s="20" t="n">
        <v>0.17319314</v>
      </c>
      <c r="O9" s="18" t="n">
        <v>0</v>
      </c>
      <c r="P9" s="20" t="n">
        <v>0</v>
      </c>
      <c r="Q9" s="18" t="n">
        <v>28.88632999</v>
      </c>
      <c r="R9" s="20" t="n">
        <v>1.27508837</v>
      </c>
    </row>
    <row r="10" spans="1:18">
      <c r="A10" s="15" t="s">
        <v>352</v>
      </c>
      <c r="B10" s="17" t="n">
        <v>20058</v>
      </c>
      <c r="C10" s="18">
        <f>(17603.0/B10*100)</f>
        <v/>
      </c>
      <c r="D10" s="19" t="n">
        <v>2455</v>
      </c>
      <c r="E10" s="18" t="n">
        <v>64.98967893</v>
      </c>
      <c r="F10" s="20" t="n">
        <v>1.27086238</v>
      </c>
      <c r="G10" s="18" t="n">
        <v>16.99778971</v>
      </c>
      <c r="H10" s="20" t="n">
        <v>1.08514491</v>
      </c>
      <c r="I10" s="18" t="s">
        <v>349</v>
      </c>
      <c r="J10" s="20" t="s">
        <v>349</v>
      </c>
      <c r="K10" s="18" t="n">
        <v>0.51690937</v>
      </c>
      <c r="L10" s="20" t="n">
        <v>0.21114211</v>
      </c>
      <c r="M10" s="18" t="n">
        <v>0.20083773</v>
      </c>
      <c r="N10" s="20" t="n">
        <v>0.11840221</v>
      </c>
      <c r="O10" s="18" t="n">
        <v>0</v>
      </c>
      <c r="P10" s="20" t="n">
        <v>0</v>
      </c>
      <c r="Q10" s="18" t="n">
        <v>17.29478426</v>
      </c>
      <c r="R10" s="20" t="n">
        <v>1.12441701</v>
      </c>
    </row>
    <row r="11" spans="1:18">
      <c r="A11" s="15" t="s">
        <v>353</v>
      </c>
      <c r="B11" s="17" t="n">
        <v>7053</v>
      </c>
      <c r="C11" s="18">
        <f>(6213.0/B11*100)</f>
        <v/>
      </c>
      <c r="D11" s="19" t="n">
        <v>840</v>
      </c>
      <c r="E11" s="18" t="n">
        <v>52.52320795</v>
      </c>
      <c r="F11" s="20" t="n">
        <v>2.04095388</v>
      </c>
      <c r="G11" s="18" t="n">
        <v>4.04107721</v>
      </c>
      <c r="H11" s="20" t="n">
        <v>0.88519288</v>
      </c>
      <c r="I11" s="18" t="s">
        <v>349</v>
      </c>
      <c r="J11" s="20" t="s">
        <v>349</v>
      </c>
      <c r="K11" s="18" t="n">
        <v>0.2699404</v>
      </c>
      <c r="L11" s="20" t="n">
        <v>0.15331794</v>
      </c>
      <c r="M11" s="18" t="n">
        <v>0.05272524</v>
      </c>
      <c r="N11" s="20" t="n">
        <v>0.0574557</v>
      </c>
      <c r="O11" s="18" t="n">
        <v>0</v>
      </c>
      <c r="P11" s="20" t="n">
        <v>0</v>
      </c>
      <c r="Q11" s="18" t="n">
        <v>43.1130492</v>
      </c>
      <c r="R11" s="20" t="n">
        <v>2.12028193</v>
      </c>
    </row>
    <row r="12" spans="1:18">
      <c r="A12" s="15" t="s">
        <v>354</v>
      </c>
      <c r="B12" s="17" t="n">
        <v>6894</v>
      </c>
      <c r="C12" s="18">
        <f>(6060.0/B12*100)</f>
        <v/>
      </c>
      <c r="D12" s="19" t="n">
        <v>834</v>
      </c>
      <c r="E12" s="18" t="n">
        <v>61.58334386</v>
      </c>
      <c r="F12" s="20" t="n">
        <v>1.94216151</v>
      </c>
      <c r="G12" s="18" t="n">
        <v>8.82526631</v>
      </c>
      <c r="H12" s="20" t="n">
        <v>1.081881</v>
      </c>
      <c r="I12" s="18" t="s">
        <v>349</v>
      </c>
      <c r="J12" s="20" t="s">
        <v>349</v>
      </c>
      <c r="K12" s="18" t="n">
        <v>0.06007145</v>
      </c>
      <c r="L12" s="20" t="n">
        <v>0.06015595</v>
      </c>
      <c r="M12" s="18" t="n">
        <v>0.11512092</v>
      </c>
      <c r="N12" s="20" t="n">
        <v>0.10288783</v>
      </c>
      <c r="O12" s="18" t="n">
        <v>0</v>
      </c>
      <c r="P12" s="20" t="n">
        <v>0</v>
      </c>
      <c r="Q12" s="18" t="n">
        <v>29.41619746</v>
      </c>
      <c r="R12" s="20" t="n">
        <v>1.76428211</v>
      </c>
    </row>
    <row r="13" spans="1:18">
      <c r="A13" s="15" t="s">
        <v>355</v>
      </c>
      <c r="B13" s="17" t="n">
        <v>7161</v>
      </c>
      <c r="C13" s="18">
        <f>(6340.0/B13*100)</f>
        <v/>
      </c>
      <c r="D13" s="19" t="n">
        <v>821</v>
      </c>
      <c r="E13" s="18" t="n">
        <v>61.74962577</v>
      </c>
      <c r="F13" s="20" t="n">
        <v>1.77188488</v>
      </c>
      <c r="G13" s="18" t="n">
        <v>17.05793993</v>
      </c>
      <c r="H13" s="20" t="n">
        <v>1.57782336</v>
      </c>
      <c r="I13" s="18" t="s">
        <v>349</v>
      </c>
      <c r="J13" s="20" t="s">
        <v>349</v>
      </c>
      <c r="K13" s="18" t="n">
        <v>0.64628137</v>
      </c>
      <c r="L13" s="20" t="n">
        <v>0.34098713</v>
      </c>
      <c r="M13" s="18" t="n">
        <v>0</v>
      </c>
      <c r="N13" s="20" t="n">
        <v>0</v>
      </c>
      <c r="O13" s="18" t="n">
        <v>0</v>
      </c>
      <c r="P13" s="20" t="n">
        <v>0</v>
      </c>
      <c r="Q13" s="18" t="n">
        <v>20.54615294</v>
      </c>
      <c r="R13" s="20" t="n">
        <v>1.68922145</v>
      </c>
    </row>
    <row r="14" spans="1:18">
      <c r="A14" s="15" t="s">
        <v>356</v>
      </c>
      <c r="B14" s="17" t="n">
        <v>5587</v>
      </c>
      <c r="C14" s="18">
        <f>(4892.0/B14*100)</f>
        <v/>
      </c>
      <c r="D14" s="19" t="n">
        <v>695</v>
      </c>
      <c r="E14" s="18" t="n">
        <v>63.09623448</v>
      </c>
      <c r="F14" s="20" t="n">
        <v>1.86279969</v>
      </c>
      <c r="G14" s="18" t="n">
        <v>16.7375282</v>
      </c>
      <c r="H14" s="20" t="n">
        <v>1.38323198</v>
      </c>
      <c r="I14" s="18" t="s">
        <v>349</v>
      </c>
      <c r="J14" s="20" t="s">
        <v>349</v>
      </c>
      <c r="K14" s="18" t="n">
        <v>0.34445301</v>
      </c>
      <c r="L14" s="20" t="n">
        <v>0.19536336</v>
      </c>
      <c r="M14" s="18" t="n">
        <v>0</v>
      </c>
      <c r="N14" s="20" t="n">
        <v>0</v>
      </c>
      <c r="O14" s="18" t="n">
        <v>0</v>
      </c>
      <c r="P14" s="20" t="n">
        <v>0</v>
      </c>
      <c r="Q14" s="18" t="n">
        <v>19.82178432</v>
      </c>
      <c r="R14" s="20" t="n">
        <v>1.61071581</v>
      </c>
    </row>
    <row r="15" spans="1:18">
      <c r="A15" s="15" t="s">
        <v>357</v>
      </c>
      <c r="B15" s="17" t="n">
        <v>5882</v>
      </c>
      <c r="C15" s="18">
        <f>(5154.0/B15*100)</f>
        <v/>
      </c>
      <c r="D15" s="19" t="n">
        <v>728</v>
      </c>
      <c r="E15" s="18" t="n">
        <v>67.1276755</v>
      </c>
      <c r="F15" s="20" t="n">
        <v>1.96696342</v>
      </c>
      <c r="G15" s="18" t="n">
        <v>9.337007639999999</v>
      </c>
      <c r="H15" s="20" t="n">
        <v>1.06240869</v>
      </c>
      <c r="I15" s="18" t="s">
        <v>349</v>
      </c>
      <c r="J15" s="20" t="s">
        <v>349</v>
      </c>
      <c r="K15" s="18" t="n">
        <v>0.13329401</v>
      </c>
      <c r="L15" s="20" t="n">
        <v>0.13093967</v>
      </c>
      <c r="M15" s="18" t="n">
        <v>0</v>
      </c>
      <c r="N15" s="20" t="n">
        <v>0</v>
      </c>
      <c r="O15" s="18" t="n">
        <v>0</v>
      </c>
      <c r="P15" s="20" t="n">
        <v>0</v>
      </c>
      <c r="Q15" s="18" t="n">
        <v>23.40202285</v>
      </c>
      <c r="R15" s="20" t="n">
        <v>1.74947738</v>
      </c>
    </row>
    <row r="16" spans="1:18">
      <c r="A16" s="15" t="s">
        <v>358</v>
      </c>
      <c r="B16" s="17" t="n">
        <v>6108</v>
      </c>
      <c r="C16" s="18">
        <f>(5345.0/B16*100)</f>
        <v/>
      </c>
      <c r="D16" s="19" t="n">
        <v>763</v>
      </c>
      <c r="E16" s="18" t="n">
        <v>49.59048053</v>
      </c>
      <c r="F16" s="20" t="n">
        <v>1.89275466</v>
      </c>
      <c r="G16" s="18" t="n">
        <v>11.39212776</v>
      </c>
      <c r="H16" s="20" t="n">
        <v>0.94987805</v>
      </c>
      <c r="I16" s="18" t="s">
        <v>349</v>
      </c>
      <c r="J16" s="20" t="s">
        <v>349</v>
      </c>
      <c r="K16" s="18" t="n">
        <v>0.63270371</v>
      </c>
      <c r="L16" s="20" t="n">
        <v>0.28706498</v>
      </c>
      <c r="M16" s="18" t="n">
        <v>0</v>
      </c>
      <c r="N16" s="20" t="n">
        <v>0</v>
      </c>
      <c r="O16" s="18" t="n">
        <v>0</v>
      </c>
      <c r="P16" s="20" t="n">
        <v>0</v>
      </c>
      <c r="Q16" s="18" t="n">
        <v>38.38468801</v>
      </c>
      <c r="R16" s="20" t="n">
        <v>1.9695466</v>
      </c>
    </row>
    <row r="17" spans="1:18">
      <c r="A17" s="15" t="s">
        <v>359</v>
      </c>
      <c r="B17" s="17" t="n">
        <v>6504</v>
      </c>
      <c r="C17" s="18">
        <f>(5740.0/B17*100)</f>
        <v/>
      </c>
      <c r="D17" s="19" t="n">
        <v>764</v>
      </c>
      <c r="E17" s="18" t="n">
        <v>62.07007094</v>
      </c>
      <c r="F17" s="20" t="n">
        <v>1.68178547</v>
      </c>
      <c r="G17" s="18" t="n">
        <v>11.80846245</v>
      </c>
      <c r="H17" s="20" t="n">
        <v>1.28711343</v>
      </c>
      <c r="I17" s="18" t="s">
        <v>349</v>
      </c>
      <c r="J17" s="20" t="s">
        <v>349</v>
      </c>
      <c r="K17" s="18" t="n">
        <v>0.2953542</v>
      </c>
      <c r="L17" s="20" t="n">
        <v>0.17819006</v>
      </c>
      <c r="M17" s="18" t="n">
        <v>0</v>
      </c>
      <c r="N17" s="20" t="n">
        <v>0</v>
      </c>
      <c r="O17" s="18" t="n">
        <v>0</v>
      </c>
      <c r="P17" s="20" t="n">
        <v>0</v>
      </c>
      <c r="Q17" s="18" t="n">
        <v>25.82611241</v>
      </c>
      <c r="R17" s="20" t="n">
        <v>1.65957013</v>
      </c>
    </row>
    <row r="18" spans="1:18">
      <c r="A18" s="15" t="s">
        <v>360</v>
      </c>
      <c r="B18" s="17" t="n">
        <v>5532</v>
      </c>
      <c r="C18" s="18">
        <f>(4840.0/B18*100)</f>
        <v/>
      </c>
      <c r="D18" s="19" t="n">
        <v>692</v>
      </c>
      <c r="E18" s="18" t="n">
        <v>64.6305164</v>
      </c>
      <c r="F18" s="20" t="n">
        <v>1.89000921</v>
      </c>
      <c r="G18" s="18" t="n">
        <v>3.35525904</v>
      </c>
      <c r="H18" s="20" t="n">
        <v>0.68378572</v>
      </c>
      <c r="I18" s="18" t="s">
        <v>349</v>
      </c>
      <c r="J18" s="20" t="s">
        <v>349</v>
      </c>
      <c r="K18" s="18" t="n">
        <v>0.52590922</v>
      </c>
      <c r="L18" s="20" t="n">
        <v>0.39919967</v>
      </c>
      <c r="M18" s="18" t="n">
        <v>0</v>
      </c>
      <c r="N18" s="20" t="n">
        <v>0</v>
      </c>
      <c r="O18" s="18" t="n">
        <v>0</v>
      </c>
      <c r="P18" s="20" t="n">
        <v>0</v>
      </c>
      <c r="Q18" s="18" t="n">
        <v>31.48831534</v>
      </c>
      <c r="R18" s="20" t="n">
        <v>1.95429367</v>
      </c>
    </row>
    <row r="19" spans="1:18">
      <c r="A19" s="15" t="s">
        <v>361</v>
      </c>
      <c r="B19" s="17" t="n">
        <v>5658</v>
      </c>
      <c r="C19" s="18">
        <f>(4958.0/B19*100)</f>
        <v/>
      </c>
      <c r="D19" s="19" t="n">
        <v>700</v>
      </c>
      <c r="E19" s="18" t="n">
        <v>59.92311915</v>
      </c>
      <c r="F19" s="20" t="n">
        <v>1.6873581</v>
      </c>
      <c r="G19" s="18" t="n">
        <v>8.044076390000001</v>
      </c>
      <c r="H19" s="20" t="n">
        <v>1.08156491</v>
      </c>
      <c r="I19" s="18" t="s">
        <v>349</v>
      </c>
      <c r="J19" s="20" t="s">
        <v>349</v>
      </c>
      <c r="K19" s="18" t="n">
        <v>0</v>
      </c>
      <c r="L19" s="20" t="n">
        <v>0</v>
      </c>
      <c r="M19" s="18" t="n">
        <v>0</v>
      </c>
      <c r="N19" s="20" t="n">
        <v>0</v>
      </c>
      <c r="O19" s="18" t="n">
        <v>0</v>
      </c>
      <c r="P19" s="20" t="n">
        <v>0</v>
      </c>
      <c r="Q19" s="18" t="n">
        <v>32.03280446</v>
      </c>
      <c r="R19" s="20" t="n">
        <v>1.57294602</v>
      </c>
    </row>
    <row r="20" spans="1:18">
      <c r="A20" s="15" t="s">
        <v>362</v>
      </c>
      <c r="B20" s="17" t="n">
        <v>3371</v>
      </c>
      <c r="C20" s="18">
        <f>(2959.0/B20*100)</f>
        <v/>
      </c>
      <c r="D20" s="19" t="n">
        <v>412</v>
      </c>
      <c r="E20" s="18" t="n">
        <v>68.7097098</v>
      </c>
      <c r="F20" s="20" t="n">
        <v>2.26660347</v>
      </c>
      <c r="G20" s="18" t="n">
        <v>9.164274300000001</v>
      </c>
      <c r="H20" s="20" t="n">
        <v>1.54347138</v>
      </c>
      <c r="I20" s="18" t="s">
        <v>349</v>
      </c>
      <c r="J20" s="20" t="s">
        <v>349</v>
      </c>
      <c r="K20" s="18" t="n">
        <v>0.22859981</v>
      </c>
      <c r="L20" s="20" t="n">
        <v>0.22954229</v>
      </c>
      <c r="M20" s="18" t="n">
        <v>0.57799577</v>
      </c>
      <c r="N20" s="20" t="n">
        <v>0.3427804</v>
      </c>
      <c r="O20" s="18" t="n">
        <v>0</v>
      </c>
      <c r="P20" s="20" t="n">
        <v>0</v>
      </c>
      <c r="Q20" s="18" t="n">
        <v>21.31942031</v>
      </c>
      <c r="R20" s="20" t="n">
        <v>1.86115359</v>
      </c>
    </row>
    <row r="21" spans="1:18">
      <c r="A21" s="15" t="s">
        <v>363</v>
      </c>
      <c r="B21" s="17" t="n">
        <v>5741</v>
      </c>
      <c r="C21" s="18">
        <f>(4783.0/B21*100)</f>
        <v/>
      </c>
      <c r="D21" s="19" t="n">
        <v>958</v>
      </c>
      <c r="E21" s="18" t="n">
        <v>69.34635165</v>
      </c>
      <c r="F21" s="20" t="n">
        <v>1.72185734</v>
      </c>
      <c r="G21" s="18" t="n">
        <v>10.34529499</v>
      </c>
      <c r="H21" s="20" t="n">
        <v>1.0499006</v>
      </c>
      <c r="I21" s="18" t="s">
        <v>349</v>
      </c>
      <c r="J21" s="20" t="s">
        <v>349</v>
      </c>
      <c r="K21" s="18" t="n">
        <v>0.09012594</v>
      </c>
      <c r="L21" s="20" t="n">
        <v>0.09022506</v>
      </c>
      <c r="M21" s="18" t="n">
        <v>0.12544111</v>
      </c>
      <c r="N21" s="20" t="n">
        <v>0.12530996</v>
      </c>
      <c r="O21" s="18" t="n">
        <v>0</v>
      </c>
      <c r="P21" s="20" t="n">
        <v>0</v>
      </c>
      <c r="Q21" s="18" t="n">
        <v>20.09278631</v>
      </c>
      <c r="R21" s="20" t="n">
        <v>1.4476809</v>
      </c>
    </row>
    <row r="22" spans="1:18">
      <c r="A22" s="15" t="s">
        <v>364</v>
      </c>
      <c r="B22" s="17" t="n">
        <v>6598</v>
      </c>
      <c r="C22" s="18">
        <f>(5791.0/B22*100)</f>
        <v/>
      </c>
      <c r="D22" s="19" t="n">
        <v>807</v>
      </c>
      <c r="E22" s="18" t="n">
        <v>53.00574416</v>
      </c>
      <c r="F22" s="20" t="n">
        <v>1.72656884</v>
      </c>
      <c r="G22" s="18" t="n">
        <v>7.15278201</v>
      </c>
      <c r="H22" s="20" t="n">
        <v>1.00029321</v>
      </c>
      <c r="I22" s="18" t="s">
        <v>349</v>
      </c>
      <c r="J22" s="20" t="s">
        <v>349</v>
      </c>
      <c r="K22" s="18" t="n">
        <v>0.5321521299999999</v>
      </c>
      <c r="L22" s="20" t="n">
        <v>0.29557793</v>
      </c>
      <c r="M22" s="18" t="n">
        <v>0</v>
      </c>
      <c r="N22" s="20" t="n">
        <v>0</v>
      </c>
      <c r="O22" s="18" t="n">
        <v>0</v>
      </c>
      <c r="P22" s="20" t="n">
        <v>0</v>
      </c>
      <c r="Q22" s="18" t="n">
        <v>39.30932169</v>
      </c>
      <c r="R22" s="20" t="n">
        <v>1.74034478</v>
      </c>
    </row>
    <row r="23" spans="1:18">
      <c r="A23" s="15" t="s">
        <v>365</v>
      </c>
      <c r="B23" s="17" t="n">
        <v>11583</v>
      </c>
      <c r="C23" s="18">
        <f>(10160.0/B23*100)</f>
        <v/>
      </c>
      <c r="D23" s="19" t="n">
        <v>1423</v>
      </c>
      <c r="E23" s="18" t="n">
        <v>49.07172209</v>
      </c>
      <c r="F23" s="20" t="n">
        <v>1.70484704</v>
      </c>
      <c r="G23" s="18" t="n">
        <v>10.38836136</v>
      </c>
      <c r="H23" s="20" t="n">
        <v>1.27761389</v>
      </c>
      <c r="I23" s="18" t="s">
        <v>349</v>
      </c>
      <c r="J23" s="20" t="s">
        <v>349</v>
      </c>
      <c r="K23" s="18" t="n">
        <v>0.14142394</v>
      </c>
      <c r="L23" s="20" t="n">
        <v>0.12976369</v>
      </c>
      <c r="M23" s="18" t="n">
        <v>0</v>
      </c>
      <c r="N23" s="20" t="n">
        <v>0</v>
      </c>
      <c r="O23" s="18" t="n">
        <v>0</v>
      </c>
      <c r="P23" s="20" t="n">
        <v>0</v>
      </c>
      <c r="Q23" s="18" t="n">
        <v>40.39849261</v>
      </c>
      <c r="R23" s="20" t="n">
        <v>1.69545195</v>
      </c>
    </row>
    <row r="24" spans="1:18">
      <c r="A24" s="15" t="s">
        <v>366</v>
      </c>
      <c r="B24" s="17" t="n">
        <v>6647</v>
      </c>
      <c r="C24" s="18">
        <f>(5811.0/B24*100)</f>
        <v/>
      </c>
      <c r="D24" s="19" t="n">
        <v>836</v>
      </c>
      <c r="E24" s="18" t="n">
        <v>49.97249392</v>
      </c>
      <c r="F24" s="20" t="n">
        <v>1.75054039</v>
      </c>
      <c r="G24" s="18" t="n">
        <v>22.58477404</v>
      </c>
      <c r="H24" s="20" t="n">
        <v>1.51836056</v>
      </c>
      <c r="I24" s="18" t="s">
        <v>349</v>
      </c>
      <c r="J24" s="20" t="s">
        <v>349</v>
      </c>
      <c r="K24" s="18" t="n">
        <v>0.11048869</v>
      </c>
      <c r="L24" s="20" t="n">
        <v>0.11163034</v>
      </c>
      <c r="M24" s="18" t="n">
        <v>0.1169795</v>
      </c>
      <c r="N24" s="20" t="n">
        <v>0.11705937</v>
      </c>
      <c r="O24" s="18" t="n">
        <v>0</v>
      </c>
      <c r="P24" s="20" t="n">
        <v>0</v>
      </c>
      <c r="Q24" s="18" t="n">
        <v>27.21526384</v>
      </c>
      <c r="R24" s="20" t="n">
        <v>1.58546091</v>
      </c>
    </row>
    <row r="25" spans="1:18">
      <c r="A25" s="15" t="s">
        <v>367</v>
      </c>
      <c r="B25" s="17" t="n">
        <v>5581</v>
      </c>
      <c r="C25" s="18">
        <f>(4905.0/B25*100)</f>
        <v/>
      </c>
      <c r="D25" s="19" t="n">
        <v>676</v>
      </c>
      <c r="E25" s="18" t="n">
        <v>61.30945573</v>
      </c>
      <c r="F25" s="20" t="n">
        <v>2.09801936</v>
      </c>
      <c r="G25" s="18" t="n">
        <v>21.40841043</v>
      </c>
      <c r="H25" s="20" t="n">
        <v>1.84145975</v>
      </c>
      <c r="I25" s="18" t="s">
        <v>349</v>
      </c>
      <c r="J25" s="20" t="s">
        <v>349</v>
      </c>
      <c r="K25" s="18" t="n">
        <v>0</v>
      </c>
      <c r="L25" s="20" t="n">
        <v>0</v>
      </c>
      <c r="M25" s="18" t="n">
        <v>0</v>
      </c>
      <c r="N25" s="20" t="n">
        <v>0</v>
      </c>
      <c r="O25" s="18" t="n">
        <v>0</v>
      </c>
      <c r="P25" s="20" t="n">
        <v>0</v>
      </c>
      <c r="Q25" s="18" t="n">
        <v>17.28213384</v>
      </c>
      <c r="R25" s="20" t="n">
        <v>1.45589255</v>
      </c>
    </row>
    <row r="26" spans="1:18">
      <c r="A26" s="15" t="s">
        <v>368</v>
      </c>
      <c r="B26" s="17" t="n">
        <v>4869</v>
      </c>
      <c r="C26" s="18">
        <f>(4282.0/B26*100)</f>
        <v/>
      </c>
      <c r="D26" s="19" t="n">
        <v>587</v>
      </c>
      <c r="E26" s="18" t="n">
        <v>70.37246245999999</v>
      </c>
      <c r="F26" s="20" t="n">
        <v>2.16042787</v>
      </c>
      <c r="G26" s="18" t="n">
        <v>8.88898049</v>
      </c>
      <c r="H26" s="20" t="n">
        <v>1.21386698</v>
      </c>
      <c r="I26" s="18" t="s">
        <v>349</v>
      </c>
      <c r="J26" s="20" t="s">
        <v>349</v>
      </c>
      <c r="K26" s="18" t="n">
        <v>0</v>
      </c>
      <c r="L26" s="20" t="n">
        <v>0</v>
      </c>
      <c r="M26" s="18" t="n">
        <v>0</v>
      </c>
      <c r="N26" s="20" t="n">
        <v>0</v>
      </c>
      <c r="O26" s="18" t="n">
        <v>0</v>
      </c>
      <c r="P26" s="20" t="n">
        <v>0</v>
      </c>
      <c r="Q26" s="18" t="n">
        <v>20.73855704</v>
      </c>
      <c r="R26" s="20" t="n">
        <v>1.7362247</v>
      </c>
    </row>
    <row r="27" spans="1:18">
      <c r="A27" s="15" t="s">
        <v>369</v>
      </c>
      <c r="B27" s="17" t="n">
        <v>5299</v>
      </c>
      <c r="C27" s="18">
        <f>(4659.0/B27*100)</f>
        <v/>
      </c>
      <c r="D27" s="19" t="n">
        <v>640</v>
      </c>
      <c r="E27" s="18" t="n">
        <v>58.70180736</v>
      </c>
      <c r="F27" s="20" t="n">
        <v>1.96233424</v>
      </c>
      <c r="G27" s="18" t="n">
        <v>10.35408021</v>
      </c>
      <c r="H27" s="20" t="n">
        <v>1.30572226</v>
      </c>
      <c r="I27" s="18" t="s">
        <v>349</v>
      </c>
      <c r="J27" s="20" t="s">
        <v>349</v>
      </c>
      <c r="K27" s="18" t="n">
        <v>0.32222968</v>
      </c>
      <c r="L27" s="20" t="n">
        <v>0.22860873</v>
      </c>
      <c r="M27" s="18" t="n">
        <v>0.14945372</v>
      </c>
      <c r="N27" s="20" t="n">
        <v>0.14984724</v>
      </c>
      <c r="O27" s="18" t="n">
        <v>0</v>
      </c>
      <c r="P27" s="20" t="n">
        <v>0</v>
      </c>
      <c r="Q27" s="18" t="n">
        <v>30.47242903</v>
      </c>
      <c r="R27" s="20" t="n">
        <v>1.81315199</v>
      </c>
    </row>
    <row r="28" spans="1:18">
      <c r="A28" s="15" t="s">
        <v>370</v>
      </c>
      <c r="B28" s="17" t="n">
        <v>7568</v>
      </c>
      <c r="C28" s="18">
        <f>(6707.0/B28*100)</f>
        <v/>
      </c>
      <c r="D28" s="19" t="n">
        <v>861</v>
      </c>
      <c r="E28" s="18" t="n">
        <v>77.96657141</v>
      </c>
      <c r="F28" s="20" t="n">
        <v>1.53410569</v>
      </c>
      <c r="G28" s="18" t="n">
        <v>2.52397703</v>
      </c>
      <c r="H28" s="20" t="n">
        <v>0.75302203</v>
      </c>
      <c r="I28" s="18" t="s">
        <v>349</v>
      </c>
      <c r="J28" s="20" t="s">
        <v>349</v>
      </c>
      <c r="K28" s="18" t="n">
        <v>0.6440366199999999</v>
      </c>
      <c r="L28" s="20" t="n">
        <v>0.37014415</v>
      </c>
      <c r="M28" s="18" t="n">
        <v>0</v>
      </c>
      <c r="N28" s="20" t="n">
        <v>0</v>
      </c>
      <c r="O28" s="18" t="n">
        <v>0</v>
      </c>
      <c r="P28" s="20" t="n">
        <v>0</v>
      </c>
      <c r="Q28" s="18" t="n">
        <v>18.86541494</v>
      </c>
      <c r="R28" s="20" t="n">
        <v>1.34488377</v>
      </c>
    </row>
    <row r="29" spans="1:18">
      <c r="A29" s="15" t="s">
        <v>371</v>
      </c>
      <c r="B29" s="17" t="n">
        <v>5385</v>
      </c>
      <c r="C29" s="18">
        <f>(4755.0/B29*100)</f>
        <v/>
      </c>
      <c r="D29" s="19" t="n">
        <v>630</v>
      </c>
      <c r="E29" s="18" t="n">
        <v>71.39855350000001</v>
      </c>
      <c r="F29" s="20" t="n">
        <v>1.92933955</v>
      </c>
      <c r="G29" s="18" t="n">
        <v>11.50674452</v>
      </c>
      <c r="H29" s="20" t="n">
        <v>1.06683872</v>
      </c>
      <c r="I29" s="18" t="s">
        <v>349</v>
      </c>
      <c r="J29" s="20" t="s">
        <v>349</v>
      </c>
      <c r="K29" s="18" t="n">
        <v>0.16168784</v>
      </c>
      <c r="L29" s="20" t="n">
        <v>0.16030023</v>
      </c>
      <c r="M29" s="18" t="n">
        <v>0.12152089</v>
      </c>
      <c r="N29" s="20" t="n">
        <v>0.11573515</v>
      </c>
      <c r="O29" s="18" t="n">
        <v>0</v>
      </c>
      <c r="P29" s="20" t="n">
        <v>0</v>
      </c>
      <c r="Q29" s="18" t="n">
        <v>16.81149325</v>
      </c>
      <c r="R29" s="20" t="n">
        <v>1.62733612</v>
      </c>
    </row>
    <row r="30" spans="1:18">
      <c r="A30" s="15" t="s">
        <v>372</v>
      </c>
      <c r="B30" s="17" t="n">
        <v>4520</v>
      </c>
      <c r="C30" s="18">
        <f>(3970.0/B30*100)</f>
        <v/>
      </c>
      <c r="D30" s="19" t="n">
        <v>550</v>
      </c>
      <c r="E30" s="18" t="n">
        <v>63.46240991</v>
      </c>
      <c r="F30" s="20" t="n">
        <v>2.06899702</v>
      </c>
      <c r="G30" s="18" t="n">
        <v>11.01425367</v>
      </c>
      <c r="H30" s="20" t="n">
        <v>1.38708164</v>
      </c>
      <c r="I30" s="18" t="s">
        <v>349</v>
      </c>
      <c r="J30" s="20" t="s">
        <v>349</v>
      </c>
      <c r="K30" s="18" t="n">
        <v>0.6397109</v>
      </c>
      <c r="L30" s="20" t="n">
        <v>0.41389763</v>
      </c>
      <c r="M30" s="18" t="n">
        <v>0.36596657</v>
      </c>
      <c r="N30" s="20" t="n">
        <v>0.3309404</v>
      </c>
      <c r="O30" s="18" t="n">
        <v>0</v>
      </c>
      <c r="P30" s="20" t="n">
        <v>0</v>
      </c>
      <c r="Q30" s="18" t="n">
        <v>24.51765894</v>
      </c>
      <c r="R30" s="20" t="n">
        <v>1.85084177</v>
      </c>
    </row>
    <row r="31" spans="1:18">
      <c r="A31" s="15" t="s">
        <v>373</v>
      </c>
      <c r="B31" s="17" t="n">
        <v>5456</v>
      </c>
      <c r="C31" s="18">
        <f>(4781.0/B31*100)</f>
        <v/>
      </c>
      <c r="D31" s="19" t="n">
        <v>675</v>
      </c>
      <c r="E31" s="18" t="n">
        <v>55.88219631</v>
      </c>
      <c r="F31" s="20" t="n">
        <v>1.96148296</v>
      </c>
      <c r="G31" s="18" t="n">
        <v>11.78646573</v>
      </c>
      <c r="H31" s="20" t="n">
        <v>1.33024721</v>
      </c>
      <c r="I31" s="18" t="s">
        <v>349</v>
      </c>
      <c r="J31" s="20" t="s">
        <v>349</v>
      </c>
      <c r="K31" s="18" t="n">
        <v>0.89841854</v>
      </c>
      <c r="L31" s="20" t="n">
        <v>0.35876053</v>
      </c>
      <c r="M31" s="18" t="n">
        <v>0.15331662</v>
      </c>
      <c r="N31" s="20" t="n">
        <v>0.12858929</v>
      </c>
      <c r="O31" s="18" t="n">
        <v>0</v>
      </c>
      <c r="P31" s="20" t="n">
        <v>0</v>
      </c>
      <c r="Q31" s="18" t="n">
        <v>31.2796028</v>
      </c>
      <c r="R31" s="20" t="n">
        <v>1.82020392</v>
      </c>
    </row>
    <row r="32" spans="1:18">
      <c r="A32" s="15" t="s">
        <v>374</v>
      </c>
      <c r="B32" s="17" t="n">
        <v>4478</v>
      </c>
      <c r="C32" s="18">
        <f>(3730.0/B32*100)</f>
        <v/>
      </c>
      <c r="D32" s="19" t="n">
        <v>748</v>
      </c>
      <c r="E32" s="18" t="n">
        <v>62.01653081</v>
      </c>
      <c r="F32" s="20" t="n">
        <v>1.98772632</v>
      </c>
      <c r="G32" s="18" t="n">
        <v>13.97022962</v>
      </c>
      <c r="H32" s="20" t="n">
        <v>1.39844963</v>
      </c>
      <c r="I32" s="18" t="s">
        <v>349</v>
      </c>
      <c r="J32" s="20" t="s">
        <v>349</v>
      </c>
      <c r="K32" s="18" t="n">
        <v>0</v>
      </c>
      <c r="L32" s="20" t="n">
        <v>0</v>
      </c>
      <c r="M32" s="18" t="n">
        <v>0</v>
      </c>
      <c r="N32" s="20" t="n">
        <v>0</v>
      </c>
      <c r="O32" s="18" t="n">
        <v>0</v>
      </c>
      <c r="P32" s="20" t="n">
        <v>0</v>
      </c>
      <c r="Q32" s="18" t="n">
        <v>24.01323957</v>
      </c>
      <c r="R32" s="20" t="n">
        <v>1.59793902</v>
      </c>
    </row>
    <row r="33" spans="1:18">
      <c r="A33" s="15" t="s">
        <v>375</v>
      </c>
      <c r="B33" s="17" t="n">
        <v>7325</v>
      </c>
      <c r="C33" s="18">
        <f>(6435.0/B33*100)</f>
        <v/>
      </c>
      <c r="D33" s="19" t="n">
        <v>890</v>
      </c>
      <c r="E33" s="18" t="n">
        <v>53.93601001</v>
      </c>
      <c r="F33" s="20" t="n">
        <v>1.9767261</v>
      </c>
      <c r="G33" s="18" t="n">
        <v>11.26595511</v>
      </c>
      <c r="H33" s="20" t="n">
        <v>1.1915972</v>
      </c>
      <c r="I33" s="18" t="s">
        <v>349</v>
      </c>
      <c r="J33" s="20" t="s">
        <v>349</v>
      </c>
      <c r="K33" s="18" t="n">
        <v>0.35337943</v>
      </c>
      <c r="L33" s="20" t="n">
        <v>0.2587996</v>
      </c>
      <c r="M33" s="18" t="n">
        <v>0.14984103</v>
      </c>
      <c r="N33" s="20" t="n">
        <v>0.12956539</v>
      </c>
      <c r="O33" s="18" t="n">
        <v>0</v>
      </c>
      <c r="P33" s="20" t="n">
        <v>0</v>
      </c>
      <c r="Q33" s="18" t="n">
        <v>34.29481442</v>
      </c>
      <c r="R33" s="20" t="n">
        <v>1.9704321</v>
      </c>
    </row>
    <row r="34" spans="1:18">
      <c r="A34" s="15" t="s">
        <v>376</v>
      </c>
      <c r="B34" s="17" t="n">
        <v>6350</v>
      </c>
      <c r="C34" s="18">
        <f>(5593.0/B34*100)</f>
        <v/>
      </c>
      <c r="D34" s="19" t="n">
        <v>757</v>
      </c>
      <c r="E34" s="18" t="n">
        <v>70.75395435</v>
      </c>
      <c r="F34" s="20" t="n">
        <v>1.76851188</v>
      </c>
      <c r="G34" s="18" t="n">
        <v>11.47086154</v>
      </c>
      <c r="H34" s="20" t="n">
        <v>1.28748202</v>
      </c>
      <c r="I34" s="18" t="s">
        <v>349</v>
      </c>
      <c r="J34" s="20" t="s">
        <v>349</v>
      </c>
      <c r="K34" s="18" t="n">
        <v>0.13875365</v>
      </c>
      <c r="L34" s="20" t="n">
        <v>0.14141788</v>
      </c>
      <c r="M34" s="18" t="n">
        <v>0</v>
      </c>
      <c r="N34" s="20" t="n">
        <v>0</v>
      </c>
      <c r="O34" s="18" t="n">
        <v>0</v>
      </c>
      <c r="P34" s="20" t="n">
        <v>0</v>
      </c>
      <c r="Q34" s="18" t="n">
        <v>17.63643047</v>
      </c>
      <c r="R34" s="20" t="n">
        <v>1.38706624</v>
      </c>
    </row>
    <row r="35" spans="1:18">
      <c r="A35" s="15" t="s">
        <v>377</v>
      </c>
      <c r="B35" s="17" t="n">
        <v>6406</v>
      </c>
      <c r="C35" s="18">
        <f>(5627.0/B35*100)</f>
        <v/>
      </c>
      <c r="D35" s="19" t="n">
        <v>779</v>
      </c>
      <c r="E35" s="18" t="n">
        <v>60.79067452</v>
      </c>
      <c r="F35" s="20" t="n">
        <v>2.35197638</v>
      </c>
      <c r="G35" s="18" t="n">
        <v>17.83861277</v>
      </c>
      <c r="H35" s="20" t="n">
        <v>1.94848388</v>
      </c>
      <c r="I35" s="18" t="s">
        <v>349</v>
      </c>
      <c r="J35" s="20" t="s">
        <v>349</v>
      </c>
      <c r="K35" s="18" t="n">
        <v>0.18431198</v>
      </c>
      <c r="L35" s="20" t="n">
        <v>0.10772328</v>
      </c>
      <c r="M35" s="18" t="n">
        <v>0</v>
      </c>
      <c r="N35" s="20" t="n">
        <v>0</v>
      </c>
      <c r="O35" s="18" t="n">
        <v>0</v>
      </c>
      <c r="P35" s="20" t="n">
        <v>0</v>
      </c>
      <c r="Q35" s="18" t="n">
        <v>21.18640073</v>
      </c>
      <c r="R35" s="20" t="n">
        <v>1.82874719</v>
      </c>
    </row>
    <row r="36" spans="1:18">
      <c r="A36" s="15" t="s">
        <v>378</v>
      </c>
      <c r="B36" s="17" t="n">
        <v>6736</v>
      </c>
      <c r="C36" s="18">
        <f>(5926.0/B36*100)</f>
        <v/>
      </c>
      <c r="D36" s="19" t="n">
        <v>810</v>
      </c>
      <c r="E36" s="18" t="n">
        <v>51.94454782</v>
      </c>
      <c r="F36" s="20" t="n">
        <v>2.03386883</v>
      </c>
      <c r="G36" s="18" t="n">
        <v>10.2759601</v>
      </c>
      <c r="H36" s="20" t="n">
        <v>1.15919825</v>
      </c>
      <c r="I36" s="18" t="s">
        <v>349</v>
      </c>
      <c r="J36" s="20" t="s">
        <v>349</v>
      </c>
      <c r="K36" s="18" t="n">
        <v>0.81170926</v>
      </c>
      <c r="L36" s="20" t="n">
        <v>0.44399038</v>
      </c>
      <c r="M36" s="18" t="n">
        <v>0.23490116</v>
      </c>
      <c r="N36" s="20" t="n">
        <v>0.23551893</v>
      </c>
      <c r="O36" s="18" t="n">
        <v>0</v>
      </c>
      <c r="P36" s="20" t="n">
        <v>0</v>
      </c>
      <c r="Q36" s="18" t="n">
        <v>36.73288166</v>
      </c>
      <c r="R36" s="20" t="n">
        <v>1.70209498</v>
      </c>
    </row>
    <row r="37" spans="1:18">
      <c r="A37" s="15" t="s">
        <v>379</v>
      </c>
      <c r="B37" s="17" t="n">
        <v>5458</v>
      </c>
      <c r="C37" s="18">
        <f>(4801.0/B37*100)</f>
        <v/>
      </c>
      <c r="D37" s="19" t="n">
        <v>657</v>
      </c>
      <c r="E37" s="18" t="n">
        <v>55.55177947</v>
      </c>
      <c r="F37" s="20" t="n">
        <v>1.97896591</v>
      </c>
      <c r="G37" s="18" t="n">
        <v>11.62932931</v>
      </c>
      <c r="H37" s="20" t="n">
        <v>1.4086424</v>
      </c>
      <c r="I37" s="18" t="s">
        <v>349</v>
      </c>
      <c r="J37" s="20" t="s">
        <v>349</v>
      </c>
      <c r="K37" s="18" t="n">
        <v>1.15598176</v>
      </c>
      <c r="L37" s="20" t="n">
        <v>0.45113352</v>
      </c>
      <c r="M37" s="18" t="n">
        <v>0</v>
      </c>
      <c r="N37" s="20" t="n">
        <v>0</v>
      </c>
      <c r="O37" s="18" t="n">
        <v>0</v>
      </c>
      <c r="P37" s="20" t="n">
        <v>0</v>
      </c>
      <c r="Q37" s="18" t="n">
        <v>31.66290946</v>
      </c>
      <c r="R37" s="20" t="n">
        <v>1.89683304</v>
      </c>
    </row>
    <row r="38" spans="1:18">
      <c r="A38" s="15" t="s">
        <v>380</v>
      </c>
      <c r="B38" s="17" t="n">
        <v>5860</v>
      </c>
      <c r="C38" s="18">
        <f>(4917.0/B38*100)</f>
        <v/>
      </c>
      <c r="D38" s="19" t="n">
        <v>943</v>
      </c>
      <c r="E38" s="18" t="n">
        <v>50.89719311</v>
      </c>
      <c r="F38" s="20" t="n">
        <v>2.04160907</v>
      </c>
      <c r="G38" s="18" t="n">
        <v>24.25208243</v>
      </c>
      <c r="H38" s="20" t="n">
        <v>1.93700989</v>
      </c>
      <c r="I38" s="18" t="s">
        <v>349</v>
      </c>
      <c r="J38" s="20" t="s">
        <v>349</v>
      </c>
      <c r="K38" s="18" t="n">
        <v>0.29798211</v>
      </c>
      <c r="L38" s="20" t="n">
        <v>0.18884903</v>
      </c>
      <c r="M38" s="18" t="n">
        <v>0</v>
      </c>
      <c r="N38" s="20" t="n">
        <v>0</v>
      </c>
      <c r="O38" s="18" t="n">
        <v>0</v>
      </c>
      <c r="P38" s="20" t="n">
        <v>0</v>
      </c>
      <c r="Q38" s="18" t="n">
        <v>24.55274235</v>
      </c>
      <c r="R38" s="20" t="n">
        <v>1.48210281</v>
      </c>
    </row>
    <row r="39" spans="1:18">
      <c r="A39" s="15" t="s">
        <v>381</v>
      </c>
      <c r="B39" s="17" t="n">
        <v>5895</v>
      </c>
      <c r="C39" s="18">
        <f>(5170.0/B39*100)</f>
        <v/>
      </c>
      <c r="D39" s="19" t="n">
        <v>725</v>
      </c>
      <c r="E39" s="18" t="n">
        <v>70.70536061</v>
      </c>
      <c r="F39" s="20" t="n">
        <v>1.9254392</v>
      </c>
      <c r="G39" s="18" t="n">
        <v>0.99269408</v>
      </c>
      <c r="H39" s="20" t="n">
        <v>0.3731195</v>
      </c>
      <c r="I39" s="18" t="s">
        <v>349</v>
      </c>
      <c r="J39" s="20" t="s">
        <v>349</v>
      </c>
      <c r="K39" s="18" t="n">
        <v>0.34205797</v>
      </c>
      <c r="L39" s="20" t="n">
        <v>0.20767611</v>
      </c>
      <c r="M39" s="18" t="n">
        <v>0</v>
      </c>
      <c r="N39" s="20" t="n">
        <v>0</v>
      </c>
      <c r="O39" s="18" t="n">
        <v>0</v>
      </c>
      <c r="P39" s="20" t="n">
        <v>0</v>
      </c>
      <c r="Q39" s="18" t="n">
        <v>27.95988734</v>
      </c>
      <c r="R39" s="20" t="n">
        <v>2.01145126</v>
      </c>
    </row>
    <row r="40" spans="1:18">
      <c r="A40" s="15" t="s">
        <v>382</v>
      </c>
      <c r="B40" s="17" t="n">
        <v>14157</v>
      </c>
      <c r="C40" s="18">
        <f>(12424.0/B40*100)</f>
        <v/>
      </c>
      <c r="D40" s="19" t="n">
        <v>1733</v>
      </c>
      <c r="E40" s="18" t="n">
        <v>61.31822347</v>
      </c>
      <c r="F40" s="20" t="n">
        <v>1.75696028</v>
      </c>
      <c r="G40" s="18" t="n">
        <v>9.67253814</v>
      </c>
      <c r="H40" s="20" t="n">
        <v>0.99229438</v>
      </c>
      <c r="I40" s="18" t="s">
        <v>349</v>
      </c>
      <c r="J40" s="20" t="s">
        <v>349</v>
      </c>
      <c r="K40" s="18" t="n">
        <v>0.36445603</v>
      </c>
      <c r="L40" s="20" t="n">
        <v>0.24411702</v>
      </c>
      <c r="M40" s="18" t="n">
        <v>0.09349869</v>
      </c>
      <c r="N40" s="20" t="n">
        <v>0.08979105</v>
      </c>
      <c r="O40" s="18" t="n">
        <v>0</v>
      </c>
      <c r="P40" s="20" t="n">
        <v>0</v>
      </c>
      <c r="Q40" s="18" t="n">
        <v>28.55128367</v>
      </c>
      <c r="R40" s="20" t="n">
        <v>1.71447878</v>
      </c>
    </row>
    <row r="41" spans="1:18">
      <c r="A41" s="15" t="s">
        <v>383</v>
      </c>
      <c r="B41" s="17" t="n">
        <v>5712</v>
      </c>
      <c r="C41" s="18">
        <f>(5025.0/B41*100)</f>
        <v/>
      </c>
      <c r="D41" s="19" t="n">
        <v>687</v>
      </c>
      <c r="E41" s="18" t="n">
        <v>83.57915901</v>
      </c>
      <c r="F41" s="20" t="n">
        <v>1.64808139</v>
      </c>
      <c r="G41" s="18" t="n">
        <v>4.10646985</v>
      </c>
      <c r="H41" s="20" t="n">
        <v>0.7738462699999999</v>
      </c>
      <c r="I41" s="18" t="s">
        <v>349</v>
      </c>
      <c r="J41" s="20" t="s">
        <v>349</v>
      </c>
      <c r="K41" s="18" t="n">
        <v>1.05201068</v>
      </c>
      <c r="L41" s="20" t="n">
        <v>0.51686646</v>
      </c>
      <c r="M41" s="18" t="n">
        <v>0</v>
      </c>
      <c r="N41" s="20" t="n">
        <v>0</v>
      </c>
      <c r="O41" s="18" t="n">
        <v>0</v>
      </c>
      <c r="P41" s="20" t="n">
        <v>0</v>
      </c>
      <c r="Q41" s="18" t="n">
        <v>11.26236046</v>
      </c>
      <c r="R41" s="20" t="n">
        <v>1.44150562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(20691.0/B46*100)</f>
        <v/>
      </c>
      <c r="D46" s="19" t="n">
        <v>2450</v>
      </c>
      <c r="E46" s="18" t="n">
        <v>61.66067425</v>
      </c>
      <c r="F46" s="20" t="n">
        <v>1.54662735</v>
      </c>
      <c r="G46" s="18" t="n">
        <v>1.71282085</v>
      </c>
      <c r="H46" s="20" t="n">
        <v>0.40171595</v>
      </c>
      <c r="I46" s="18" t="s">
        <v>349</v>
      </c>
      <c r="J46" s="20" t="s">
        <v>349</v>
      </c>
      <c r="K46" s="18" t="n">
        <v>0.83494516</v>
      </c>
      <c r="L46" s="20" t="n">
        <v>0.26326905</v>
      </c>
      <c r="M46" s="18" t="n">
        <v>0.25896151</v>
      </c>
      <c r="N46" s="20" t="n">
        <v>0.13135003</v>
      </c>
      <c r="O46" s="18" t="n">
        <v>0</v>
      </c>
      <c r="P46" s="20" t="n">
        <v>0</v>
      </c>
      <c r="Q46" s="18" t="n">
        <v>35.53259823</v>
      </c>
      <c r="R46" s="20" t="n">
        <v>1.47111908</v>
      </c>
    </row>
    <row r="47" spans="1:18">
      <c r="A47" s="15" t="s">
        <v>389</v>
      </c>
      <c r="B47" s="17" t="n">
        <v>5928</v>
      </c>
      <c r="C47" s="18">
        <f>(5205.0/B47*100)</f>
        <v/>
      </c>
      <c r="D47" s="19" t="n">
        <v>723</v>
      </c>
      <c r="E47" s="18" t="n">
        <v>69.77424163000001</v>
      </c>
      <c r="F47" s="20" t="n">
        <v>1.82094207</v>
      </c>
      <c r="G47" s="18" t="n">
        <v>5.45540715</v>
      </c>
      <c r="H47" s="20" t="n">
        <v>1.114791</v>
      </c>
      <c r="I47" s="18" t="s">
        <v>349</v>
      </c>
      <c r="J47" s="20" t="s">
        <v>349</v>
      </c>
      <c r="K47" s="18" t="n">
        <v>0.38729594</v>
      </c>
      <c r="L47" s="20" t="n">
        <v>0.2592109</v>
      </c>
      <c r="M47" s="18" t="n">
        <v>0</v>
      </c>
      <c r="N47" s="20" t="n">
        <v>0</v>
      </c>
      <c r="O47" s="18" t="n">
        <v>0</v>
      </c>
      <c r="P47" s="20" t="n">
        <v>0</v>
      </c>
      <c r="Q47" s="18" t="n">
        <v>24.38305528</v>
      </c>
      <c r="R47" s="20" t="n">
        <v>1.66584113</v>
      </c>
    </row>
    <row r="48" spans="1:18">
      <c r="A48" s="15" t="s">
        <v>390</v>
      </c>
      <c r="B48" s="17" t="n">
        <v>9841</v>
      </c>
      <c r="C48" s="18">
        <f>(8641.0/B48*100)</f>
        <v/>
      </c>
      <c r="D48" s="19" t="n">
        <v>1200</v>
      </c>
      <c r="E48" s="18" t="n">
        <v>60.54230432</v>
      </c>
      <c r="F48" s="20" t="n">
        <v>1.86944069</v>
      </c>
      <c r="G48" s="18" t="n">
        <v>29.20833195</v>
      </c>
      <c r="H48" s="20" t="n">
        <v>1.57430012</v>
      </c>
      <c r="I48" s="18" t="s">
        <v>349</v>
      </c>
      <c r="J48" s="20" t="s">
        <v>349</v>
      </c>
      <c r="K48" s="18" t="n">
        <v>0.26979282</v>
      </c>
      <c r="L48" s="20" t="n">
        <v>0.18696472</v>
      </c>
      <c r="M48" s="18" t="n">
        <v>0</v>
      </c>
      <c r="N48" s="20" t="n">
        <v>0</v>
      </c>
      <c r="O48" s="18" t="n">
        <v>0</v>
      </c>
      <c r="P48" s="20" t="n">
        <v>0</v>
      </c>
      <c r="Q48" s="18" t="n">
        <v>9.97957091</v>
      </c>
      <c r="R48" s="20" t="n">
        <v>1.07488272</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(10358.0/B50*100)</f>
        <v/>
      </c>
      <c r="D50" s="19" t="n">
        <v>1437</v>
      </c>
      <c r="E50" s="18" t="n">
        <v>77.23586760000001</v>
      </c>
      <c r="F50" s="20" t="n">
        <v>1.3553203</v>
      </c>
      <c r="G50" s="18" t="n">
        <v>1.69997711</v>
      </c>
      <c r="H50" s="20" t="n">
        <v>0.36394411</v>
      </c>
      <c r="I50" s="18" t="s">
        <v>349</v>
      </c>
      <c r="J50" s="20" t="s">
        <v>349</v>
      </c>
      <c r="K50" s="18" t="n">
        <v>0.5635744499999999</v>
      </c>
      <c r="L50" s="20" t="n">
        <v>0.23022344</v>
      </c>
      <c r="M50" s="18" t="n">
        <v>0.9842322100000001</v>
      </c>
      <c r="N50" s="20" t="n">
        <v>0.3099665</v>
      </c>
      <c r="O50" s="18" t="n">
        <v>0</v>
      </c>
      <c r="P50" s="20" t="n">
        <v>0</v>
      </c>
      <c r="Q50" s="18" t="n">
        <v>19.51634863</v>
      </c>
      <c r="R50" s="20" t="n">
        <v>1.40390623</v>
      </c>
    </row>
    <row r="51" spans="1:18">
      <c r="A51" s="15" t="s">
        <v>393</v>
      </c>
      <c r="B51" s="17" t="n">
        <v>6866</v>
      </c>
      <c r="C51" s="18">
        <f>(6127.0/B51*100)</f>
        <v/>
      </c>
      <c r="D51" s="19" t="n">
        <v>739</v>
      </c>
      <c r="E51" s="18" t="n">
        <v>69.57566285999999</v>
      </c>
      <c r="F51" s="20" t="n">
        <v>1.7596414</v>
      </c>
      <c r="G51" s="18" t="n">
        <v>0.97232998</v>
      </c>
      <c r="H51" s="20" t="n">
        <v>0.38857992</v>
      </c>
      <c r="I51" s="18" t="s">
        <v>349</v>
      </c>
      <c r="J51" s="20" t="s">
        <v>349</v>
      </c>
      <c r="K51" s="18" t="n">
        <v>0.24295731</v>
      </c>
      <c r="L51" s="20" t="n">
        <v>0.16073824</v>
      </c>
      <c r="M51" s="18" t="n">
        <v>0</v>
      </c>
      <c r="N51" s="20" t="n">
        <v>0</v>
      </c>
      <c r="O51" s="18" t="n">
        <v>0</v>
      </c>
      <c r="P51" s="20" t="n">
        <v>0</v>
      </c>
      <c r="Q51" s="18" t="n">
        <v>29.20904984</v>
      </c>
      <c r="R51" s="20" t="n">
        <v>1.75649045</v>
      </c>
    </row>
    <row r="52" spans="1:18">
      <c r="A52" s="15" t="s">
        <v>394</v>
      </c>
      <c r="B52" s="17" t="n">
        <v>5809</v>
      </c>
      <c r="C52" s="18">
        <f>(5098.0/B52*100)</f>
        <v/>
      </c>
      <c r="D52" s="19" t="n">
        <v>711</v>
      </c>
      <c r="E52" s="18" t="n">
        <v>56.98410427</v>
      </c>
      <c r="F52" s="20" t="n">
        <v>1.8485915</v>
      </c>
      <c r="G52" s="18" t="n">
        <v>7.30160296</v>
      </c>
      <c r="H52" s="20" t="n">
        <v>1.09347129</v>
      </c>
      <c r="I52" s="18" t="s">
        <v>349</v>
      </c>
      <c r="J52" s="20" t="s">
        <v>349</v>
      </c>
      <c r="K52" s="18" t="n">
        <v>0</v>
      </c>
      <c r="L52" s="20" t="n">
        <v>0</v>
      </c>
      <c r="M52" s="18" t="n">
        <v>0.23217806</v>
      </c>
      <c r="N52" s="20" t="n">
        <v>0.15002814</v>
      </c>
      <c r="O52" s="18" t="n">
        <v>0</v>
      </c>
      <c r="P52" s="20" t="n">
        <v>0</v>
      </c>
      <c r="Q52" s="18" t="n">
        <v>35.48211472</v>
      </c>
      <c r="R52" s="20" t="n">
        <v>1.61927458</v>
      </c>
    </row>
    <row r="53" spans="1:18">
      <c r="A53" s="15" t="s">
        <v>395</v>
      </c>
      <c r="B53" s="17" t="n">
        <v>5571</v>
      </c>
      <c r="C53" s="18">
        <f>(4874.0/B53*100)</f>
        <v/>
      </c>
      <c r="D53" s="19" t="n">
        <v>697</v>
      </c>
      <c r="E53" s="18" t="n">
        <v>65.35025241</v>
      </c>
      <c r="F53" s="20" t="n">
        <v>1.85640247</v>
      </c>
      <c r="G53" s="18" t="n">
        <v>3.2663575</v>
      </c>
      <c r="H53" s="20" t="n">
        <v>0.67670322</v>
      </c>
      <c r="I53" s="18" t="s">
        <v>349</v>
      </c>
      <c r="J53" s="20" t="s">
        <v>349</v>
      </c>
      <c r="K53" s="18" t="n">
        <v>0.41617298</v>
      </c>
      <c r="L53" s="20" t="n">
        <v>0.20076635</v>
      </c>
      <c r="M53" s="18" t="n">
        <v>0</v>
      </c>
      <c r="N53" s="20" t="n">
        <v>0</v>
      </c>
      <c r="O53" s="18" t="n">
        <v>0</v>
      </c>
      <c r="P53" s="20" t="n">
        <v>0</v>
      </c>
      <c r="Q53" s="18" t="n">
        <v>30.96721711</v>
      </c>
      <c r="R53" s="20" t="n">
        <v>1.71667858</v>
      </c>
    </row>
    <row r="54" spans="1:18">
      <c r="A54" s="15" t="s">
        <v>396</v>
      </c>
      <c r="B54" s="17" t="n">
        <v>4740</v>
      </c>
      <c r="C54" s="18">
        <f>(3967.0/B54*100)</f>
        <v/>
      </c>
      <c r="D54" s="19" t="n">
        <v>773</v>
      </c>
      <c r="E54" s="18" t="n">
        <v>52.82796939</v>
      </c>
      <c r="F54" s="20" t="n">
        <v>2.23638597</v>
      </c>
      <c r="G54" s="18" t="n">
        <v>0.42131798</v>
      </c>
      <c r="H54" s="20" t="n">
        <v>0.22449237</v>
      </c>
      <c r="I54" s="18" t="s">
        <v>349</v>
      </c>
      <c r="J54" s="20" t="s">
        <v>349</v>
      </c>
      <c r="K54" s="18" t="n">
        <v>9.632735240000001</v>
      </c>
      <c r="L54" s="20" t="n">
        <v>1.30624032</v>
      </c>
      <c r="M54" s="18" t="n">
        <v>0.79953087</v>
      </c>
      <c r="N54" s="20" t="n">
        <v>0.70528069</v>
      </c>
      <c r="O54" s="18" t="n">
        <v>0</v>
      </c>
      <c r="P54" s="20" t="n">
        <v>0</v>
      </c>
      <c r="Q54" s="18" t="n">
        <v>36.31844651</v>
      </c>
      <c r="R54" s="20" t="n">
        <v>2.01310523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(4700.0/B56*100)</f>
        <v/>
      </c>
      <c r="D56" s="19" t="n">
        <v>659</v>
      </c>
      <c r="E56" s="18" t="n">
        <v>53.7960681</v>
      </c>
      <c r="F56" s="20" t="n">
        <v>1.98515469</v>
      </c>
      <c r="G56" s="18" t="n">
        <v>28.35772673</v>
      </c>
      <c r="H56" s="20" t="n">
        <v>1.98800334</v>
      </c>
      <c r="I56" s="18" t="s">
        <v>349</v>
      </c>
      <c r="J56" s="20" t="s">
        <v>349</v>
      </c>
      <c r="K56" s="18" t="n">
        <v>0.13916767</v>
      </c>
      <c r="L56" s="20" t="n">
        <v>0.15511238</v>
      </c>
      <c r="M56" s="18" t="n">
        <v>0</v>
      </c>
      <c r="N56" s="20" t="n">
        <v>0</v>
      </c>
      <c r="O56" s="18" t="n">
        <v>0</v>
      </c>
      <c r="P56" s="20" t="n">
        <v>0</v>
      </c>
      <c r="Q56" s="18" t="n">
        <v>17.7070375</v>
      </c>
      <c r="R56" s="20" t="n">
        <v>1.64514018</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(5744.0/B61*100)</f>
        <v/>
      </c>
      <c r="D61" s="19" t="n">
        <v>781</v>
      </c>
      <c r="E61" s="18" t="n">
        <v>55.52661473</v>
      </c>
      <c r="F61" s="20" t="n">
        <v>2.19048502</v>
      </c>
      <c r="G61" s="18" t="n">
        <v>9.79648916</v>
      </c>
      <c r="H61" s="20" t="n">
        <v>1.13829792</v>
      </c>
      <c r="I61" s="18" t="s">
        <v>349</v>
      </c>
      <c r="J61" s="20" t="s">
        <v>349</v>
      </c>
      <c r="K61" s="18" t="n">
        <v>0.27584483</v>
      </c>
      <c r="L61" s="20" t="n">
        <v>0.22684463</v>
      </c>
      <c r="M61" s="18" t="n">
        <v>0</v>
      </c>
      <c r="N61" s="20" t="n">
        <v>0</v>
      </c>
      <c r="O61" s="18" t="n">
        <v>0</v>
      </c>
      <c r="P61" s="20" t="n">
        <v>0</v>
      </c>
      <c r="Q61" s="18" t="n">
        <v>34.40105128</v>
      </c>
      <c r="R61" s="20" t="n">
        <v>2.13470476</v>
      </c>
    </row>
    <row r="62" spans="1:18">
      <c r="A62" s="15" t="s">
        <v>404</v>
      </c>
      <c r="B62" s="17" t="n">
        <v>4476</v>
      </c>
      <c r="C62" s="18">
        <f>(3946.0/B62*100)</f>
        <v/>
      </c>
      <c r="D62" s="19" t="n">
        <v>530</v>
      </c>
      <c r="E62" s="18" t="n">
        <v>65.26728227</v>
      </c>
      <c r="F62" s="20" t="n">
        <v>1.9723144</v>
      </c>
      <c r="G62" s="18" t="n">
        <v>21.52910023</v>
      </c>
      <c r="H62" s="20" t="n">
        <v>1.79611678</v>
      </c>
      <c r="I62" s="18" t="s">
        <v>349</v>
      </c>
      <c r="J62" s="20" t="s">
        <v>349</v>
      </c>
      <c r="K62" s="18" t="n">
        <v>0</v>
      </c>
      <c r="L62" s="20" t="n">
        <v>0</v>
      </c>
      <c r="M62" s="18" t="n">
        <v>0</v>
      </c>
      <c r="N62" s="20" t="n">
        <v>0</v>
      </c>
      <c r="O62" s="18" t="n">
        <v>0</v>
      </c>
      <c r="P62" s="20" t="n">
        <v>0</v>
      </c>
      <c r="Q62" s="18" t="n">
        <v>13.2036175</v>
      </c>
      <c r="R62" s="20" t="n">
        <v>1.28203052</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(4965.0/B66*100)</f>
        <v/>
      </c>
      <c r="D66" s="19" t="n">
        <v>700</v>
      </c>
      <c r="E66" s="18" t="n">
        <v>38.7474261</v>
      </c>
      <c r="F66" s="20" t="n">
        <v>2.19787502</v>
      </c>
      <c r="G66" s="18" t="n">
        <v>2.80053401</v>
      </c>
      <c r="H66" s="20" t="n">
        <v>0.64087407</v>
      </c>
      <c r="I66" s="18" t="s">
        <v>349</v>
      </c>
      <c r="J66" s="20" t="s">
        <v>349</v>
      </c>
      <c r="K66" s="18" t="n">
        <v>0.402513</v>
      </c>
      <c r="L66" s="20" t="n">
        <v>0.23333955</v>
      </c>
      <c r="M66" s="18" t="n">
        <v>0.24935513</v>
      </c>
      <c r="N66" s="20" t="n">
        <v>0.17408978</v>
      </c>
      <c r="O66" s="18" t="n">
        <v>0</v>
      </c>
      <c r="P66" s="20" t="n">
        <v>0</v>
      </c>
      <c r="Q66" s="18" t="n">
        <v>57.80017176</v>
      </c>
      <c r="R66" s="20" t="n">
        <v>2.24203316</v>
      </c>
    </row>
    <row r="67" spans="1:18">
      <c r="A67" s="15" t="s">
        <v>409</v>
      </c>
      <c r="B67" s="17" t="n">
        <v>6971</v>
      </c>
      <c r="C67" s="18">
        <f>(6183.0/B67*100)</f>
        <v/>
      </c>
      <c r="D67" s="19" t="n">
        <v>788</v>
      </c>
      <c r="E67" s="18" t="n">
        <v>66.07838882999999</v>
      </c>
      <c r="F67" s="20" t="n">
        <v>1.6158749</v>
      </c>
      <c r="G67" s="18" t="n">
        <v>0.875759</v>
      </c>
      <c r="H67" s="20" t="n">
        <v>0.36805088</v>
      </c>
      <c r="I67" s="18" t="s">
        <v>349</v>
      </c>
      <c r="J67" s="20" t="s">
        <v>349</v>
      </c>
      <c r="K67" s="18" t="n">
        <v>0.10003153</v>
      </c>
      <c r="L67" s="20" t="n">
        <v>0.10270268</v>
      </c>
      <c r="M67" s="18" t="n">
        <v>0</v>
      </c>
      <c r="N67" s="20" t="n">
        <v>0</v>
      </c>
      <c r="O67" s="18" t="n">
        <v>0</v>
      </c>
      <c r="P67" s="20" t="n">
        <v>0</v>
      </c>
      <c r="Q67" s="18" t="n">
        <v>32.94582064</v>
      </c>
      <c r="R67" s="20" t="n">
        <v>1.66471138</v>
      </c>
    </row>
    <row r="68" spans="1:18">
      <c r="A68" s="15" t="s">
        <v>410</v>
      </c>
      <c r="B68" s="17" t="n">
        <v>12083</v>
      </c>
      <c r="C68" s="18">
        <f>(10097.0/B68*100)</f>
        <v/>
      </c>
      <c r="D68" s="19" t="n">
        <v>1986</v>
      </c>
      <c r="E68" s="18" t="n">
        <v>66.71995759000001</v>
      </c>
      <c r="F68" s="20" t="n">
        <v>1.07092531</v>
      </c>
      <c r="G68" s="18" t="n">
        <v>3.43109598</v>
      </c>
      <c r="H68" s="20" t="n">
        <v>0.40870433</v>
      </c>
      <c r="I68" s="18" t="s">
        <v>349</v>
      </c>
      <c r="J68" s="20" t="s">
        <v>349</v>
      </c>
      <c r="K68" s="18" t="n">
        <v>2.09657376</v>
      </c>
      <c r="L68" s="20" t="n">
        <v>0.29096155</v>
      </c>
      <c r="M68" s="18" t="n">
        <v>0.09567224000000001</v>
      </c>
      <c r="N68" s="20" t="n">
        <v>0.0678724</v>
      </c>
      <c r="O68" s="18" t="n">
        <v>0</v>
      </c>
      <c r="P68" s="20" t="n">
        <v>0</v>
      </c>
      <c r="Q68" s="18" t="n">
        <v>27.65670043</v>
      </c>
      <c r="R68" s="20" t="n">
        <v>1.02073696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(5324.0/B70*100)</f>
        <v/>
      </c>
      <c r="D70" s="19" t="n">
        <v>712</v>
      </c>
      <c r="E70" s="18" t="n">
        <v>61.40053937</v>
      </c>
      <c r="F70" s="20" t="n">
        <v>2.47316328</v>
      </c>
      <c r="G70" s="18" t="n">
        <v>8.96535252</v>
      </c>
      <c r="H70" s="20" t="n">
        <v>1.60320846</v>
      </c>
      <c r="I70" s="18" t="s">
        <v>349</v>
      </c>
      <c r="J70" s="20" t="s">
        <v>349</v>
      </c>
      <c r="K70" s="18" t="n">
        <v>0.07348228</v>
      </c>
      <c r="L70" s="20" t="n">
        <v>0.05205134</v>
      </c>
      <c r="M70" s="18" t="n">
        <v>1.97038991</v>
      </c>
      <c r="N70" s="20" t="n">
        <v>0.83221124</v>
      </c>
      <c r="O70" s="18" t="n">
        <v>0</v>
      </c>
      <c r="P70" s="20" t="n">
        <v>0</v>
      </c>
      <c r="Q70" s="18" t="n">
        <v>27.59023592</v>
      </c>
      <c r="R70" s="20" t="n">
        <v>1.66699434</v>
      </c>
    </row>
    <row r="71" spans="1:18">
      <c r="A71" s="15" t="s">
        <v>413</v>
      </c>
      <c r="B71" s="17" t="n">
        <v>6115</v>
      </c>
      <c r="C71" s="18">
        <f>(5376.0/B71*100)</f>
        <v/>
      </c>
      <c r="D71" s="19" t="n">
        <v>739</v>
      </c>
      <c r="E71" s="18" t="n">
        <v>46.80030762</v>
      </c>
      <c r="F71" s="20" t="n">
        <v>1.59082883</v>
      </c>
      <c r="G71" s="18" t="n">
        <v>38.23819852</v>
      </c>
      <c r="H71" s="20" t="n">
        <v>1.64842205</v>
      </c>
      <c r="I71" s="18" t="s">
        <v>349</v>
      </c>
      <c r="J71" s="20" t="s">
        <v>349</v>
      </c>
      <c r="K71" s="18" t="n">
        <v>0.39752516</v>
      </c>
      <c r="L71" s="20" t="n">
        <v>0.2300664</v>
      </c>
      <c r="M71" s="18" t="n">
        <v>0</v>
      </c>
      <c r="N71" s="20" t="n">
        <v>0</v>
      </c>
      <c r="O71" s="18" t="n">
        <v>0</v>
      </c>
      <c r="P71" s="20" t="n">
        <v>0</v>
      </c>
      <c r="Q71" s="18" t="n">
        <v>14.56396871</v>
      </c>
      <c r="R71" s="20" t="n">
        <v>1.21717011</v>
      </c>
    </row>
    <row r="72" spans="1:18">
      <c r="A72" s="15" t="s">
        <v>414</v>
      </c>
      <c r="B72" s="17" t="n">
        <v>7708</v>
      </c>
      <c r="C72" s="18">
        <f>(6768.0/B72*100)</f>
        <v/>
      </c>
      <c r="D72" s="19" t="n">
        <v>940</v>
      </c>
      <c r="E72" s="18" t="n">
        <v>54.81796653</v>
      </c>
      <c r="F72" s="20" t="n">
        <v>1.88456513</v>
      </c>
      <c r="G72" s="18" t="n">
        <v>30.9823462</v>
      </c>
      <c r="H72" s="20" t="n">
        <v>1.9705761</v>
      </c>
      <c r="I72" s="18" t="s">
        <v>349</v>
      </c>
      <c r="J72" s="20" t="s">
        <v>349</v>
      </c>
      <c r="K72" s="18" t="n">
        <v>0.28397783</v>
      </c>
      <c r="L72" s="20" t="n">
        <v>0.20036399</v>
      </c>
      <c r="M72" s="18" t="n">
        <v>0</v>
      </c>
      <c r="N72" s="20" t="n">
        <v>0</v>
      </c>
      <c r="O72" s="18" t="n">
        <v>0</v>
      </c>
      <c r="P72" s="20" t="n">
        <v>0</v>
      </c>
      <c r="Q72" s="18" t="n">
        <v>13.91570945</v>
      </c>
      <c r="R72" s="20" t="n">
        <v>1.37885849</v>
      </c>
    </row>
    <row r="73" spans="1:18">
      <c r="A73" s="15" t="s">
        <v>415</v>
      </c>
      <c r="B73" s="17" t="n">
        <v>8249</v>
      </c>
      <c r="C73" s="18">
        <f>(7240.0/B73*100)</f>
        <v/>
      </c>
      <c r="D73" s="19" t="n">
        <v>1009</v>
      </c>
      <c r="E73" s="18" t="n">
        <v>86.74151019</v>
      </c>
      <c r="F73" s="20" t="n">
        <v>1.44703717</v>
      </c>
      <c r="G73" s="18" t="n">
        <v>3.62101287</v>
      </c>
      <c r="H73" s="20" t="n">
        <v>0.79765634</v>
      </c>
      <c r="I73" s="18" t="s">
        <v>349</v>
      </c>
      <c r="J73" s="20" t="s">
        <v>349</v>
      </c>
      <c r="K73" s="18" t="n">
        <v>0.03510633</v>
      </c>
      <c r="L73" s="20" t="n">
        <v>0.0369283</v>
      </c>
      <c r="M73" s="18" t="n">
        <v>0.06209868</v>
      </c>
      <c r="N73" s="20" t="n">
        <v>0.06191822</v>
      </c>
      <c r="O73" s="18" t="n">
        <v>0</v>
      </c>
      <c r="P73" s="20" t="n">
        <v>0</v>
      </c>
      <c r="Q73" s="18" t="n">
        <v>9.540271929999999</v>
      </c>
      <c r="R73" s="20" t="n">
        <v>1.33375653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(4778.0/B75*100)</f>
        <v/>
      </c>
      <c r="D75" s="19" t="n">
        <v>597</v>
      </c>
      <c r="E75" s="18" t="n">
        <v>58.95405436</v>
      </c>
      <c r="F75" s="20" t="n">
        <v>2.12546614</v>
      </c>
      <c r="G75" s="18" t="n">
        <v>0.89218752</v>
      </c>
      <c r="H75" s="20" t="n">
        <v>0.43748686</v>
      </c>
      <c r="I75" s="18" t="s">
        <v>349</v>
      </c>
      <c r="J75" s="20" t="s">
        <v>349</v>
      </c>
      <c r="K75" s="18" t="n">
        <v>1.28044891</v>
      </c>
      <c r="L75" s="20" t="n">
        <v>0.42580899</v>
      </c>
      <c r="M75" s="18" t="n">
        <v>0.68659316</v>
      </c>
      <c r="N75" s="20" t="n">
        <v>0.4086873</v>
      </c>
      <c r="O75" s="18" t="n">
        <v>0</v>
      </c>
      <c r="P75" s="20" t="n">
        <v>0</v>
      </c>
      <c r="Q75" s="18" t="n">
        <v>38.18671604</v>
      </c>
      <c r="R75" s="20" t="n">
        <v>2.09087743</v>
      </c>
    </row>
    <row r="76" spans="1:18">
      <c r="A76" s="15" t="s">
        <v>418</v>
      </c>
      <c r="B76" s="17" t="n">
        <v>14167</v>
      </c>
      <c r="C76" s="18">
        <f>(12466.0/B76*100)</f>
        <v/>
      </c>
      <c r="D76" s="19" t="n">
        <v>1701</v>
      </c>
      <c r="E76" s="18" t="n">
        <v>74.54277173</v>
      </c>
      <c r="F76" s="20" t="n">
        <v>1.29882788</v>
      </c>
      <c r="G76" s="18" t="n">
        <v>4.71841202</v>
      </c>
      <c r="H76" s="20" t="n">
        <v>0.58269814</v>
      </c>
      <c r="I76" s="18" t="s">
        <v>349</v>
      </c>
      <c r="J76" s="20" t="s">
        <v>349</v>
      </c>
      <c r="K76" s="18" t="n">
        <v>1.01466541</v>
      </c>
      <c r="L76" s="20" t="n">
        <v>0.26473649</v>
      </c>
      <c r="M76" s="18" t="n">
        <v>0.18454639</v>
      </c>
      <c r="N76" s="20" t="n">
        <v>0.0794194</v>
      </c>
      <c r="O76" s="18" t="n">
        <v>0</v>
      </c>
      <c r="P76" s="20" t="n">
        <v>0</v>
      </c>
      <c r="Q76" s="18" t="n">
        <v>19.53960446</v>
      </c>
      <c r="R76" s="20" t="n">
        <v>1.06226037</v>
      </c>
    </row>
    <row r="77" spans="1:18">
      <c r="A77" s="15" t="s">
        <v>419</v>
      </c>
      <c r="B77" s="17" t="n">
        <v>6062</v>
      </c>
      <c r="C77" s="18">
        <f>(5333.0/B77*100)</f>
        <v/>
      </c>
      <c r="D77" s="19" t="n">
        <v>729</v>
      </c>
      <c r="E77" s="18" t="n">
        <v>45.37066154</v>
      </c>
      <c r="F77" s="20" t="n">
        <v>1.81490941</v>
      </c>
      <c r="G77" s="18" t="n">
        <v>1.78788333</v>
      </c>
      <c r="H77" s="20" t="n">
        <v>0.47101119</v>
      </c>
      <c r="I77" s="18" t="s">
        <v>349</v>
      </c>
      <c r="J77" s="20" t="s">
        <v>349</v>
      </c>
      <c r="K77" s="18" t="n">
        <v>0.77172699</v>
      </c>
      <c r="L77" s="20" t="n">
        <v>0.36232482</v>
      </c>
      <c r="M77" s="18" t="n">
        <v>6.82286771</v>
      </c>
      <c r="N77" s="20" t="n">
        <v>0.99355279</v>
      </c>
      <c r="O77" s="18" t="n">
        <v>0</v>
      </c>
      <c r="P77" s="20" t="n">
        <v>0</v>
      </c>
      <c r="Q77" s="18" t="n">
        <v>45.24686043</v>
      </c>
      <c r="R77" s="20" t="n">
        <v>1.96359938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(7774.0/B81*100)</f>
        <v/>
      </c>
      <c r="D81" s="19" t="n">
        <v>1087</v>
      </c>
      <c r="E81" s="18" t="n">
        <v>81.80252419</v>
      </c>
      <c r="F81" s="20" t="n">
        <v>1.59737104</v>
      </c>
      <c r="G81" s="18" t="n">
        <v>7.99950121</v>
      </c>
      <c r="H81" s="20" t="n">
        <v>1.17114571</v>
      </c>
      <c r="I81" s="18" t="s">
        <v>349</v>
      </c>
      <c r="J81" s="20" t="s">
        <v>349</v>
      </c>
      <c r="K81" s="18" t="n">
        <v>0.41502536</v>
      </c>
      <c r="L81" s="20" t="n">
        <v>0.38747132</v>
      </c>
      <c r="M81" s="18" t="n">
        <v>0.11841526</v>
      </c>
      <c r="N81" s="20" t="n">
        <v>0.11805489</v>
      </c>
      <c r="O81" s="18" t="n">
        <v>0</v>
      </c>
      <c r="P81" s="20" t="n">
        <v>0</v>
      </c>
      <c r="Q81" s="18" t="n">
        <v>9.66453398</v>
      </c>
      <c r="R81" s="20" t="n">
        <v>1.17966214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(12840.0/B7*100)</f>
        <v/>
      </c>
      <c r="D7" s="19" t="n">
        <v>1690</v>
      </c>
      <c r="E7" s="18" t="n">
        <v>64.72795407</v>
      </c>
      <c r="F7" s="20" t="n">
        <v>1.46725294</v>
      </c>
      <c r="G7" s="18" t="n">
        <v>33.34970197</v>
      </c>
      <c r="H7" s="20" t="n">
        <v>1.40669823</v>
      </c>
      <c r="I7" s="18" t="s">
        <v>349</v>
      </c>
      <c r="J7" s="20" t="s">
        <v>349</v>
      </c>
      <c r="K7" s="18" t="n">
        <v>0.86794315</v>
      </c>
      <c r="L7" s="20" t="n">
        <v>0.24634288</v>
      </c>
      <c r="M7" s="18" t="n">
        <v>0</v>
      </c>
      <c r="N7" s="20" t="n">
        <v>0</v>
      </c>
      <c r="O7" s="18" t="n">
        <v>0</v>
      </c>
      <c r="P7" s="20" t="n">
        <v>0</v>
      </c>
      <c r="Q7" s="18" t="n">
        <v>1.05440081</v>
      </c>
      <c r="R7" s="20" t="n">
        <v>0.25077751</v>
      </c>
    </row>
    <row r="8" spans="1:18">
      <c r="A8" s="15" t="s">
        <v>350</v>
      </c>
      <c r="B8" s="17" t="n">
        <v>7007</v>
      </c>
      <c r="C8" s="18">
        <f>(6171.0/B8*100)</f>
        <v/>
      </c>
      <c r="D8" s="19" t="n">
        <v>836</v>
      </c>
      <c r="E8" s="18" t="n">
        <v>53.49820667</v>
      </c>
      <c r="F8" s="20" t="n">
        <v>1.59896453</v>
      </c>
      <c r="G8" s="18" t="n">
        <v>43.69365647</v>
      </c>
      <c r="H8" s="20" t="n">
        <v>1.69450212</v>
      </c>
      <c r="I8" s="18" t="s">
        <v>349</v>
      </c>
      <c r="J8" s="20" t="s">
        <v>349</v>
      </c>
      <c r="K8" s="18" t="n">
        <v>0.43579428</v>
      </c>
      <c r="L8" s="20" t="n">
        <v>0.24634047</v>
      </c>
      <c r="M8" s="18" t="n">
        <v>0</v>
      </c>
      <c r="N8" s="20" t="n">
        <v>0</v>
      </c>
      <c r="O8" s="18" t="n">
        <v>0</v>
      </c>
      <c r="P8" s="20" t="n">
        <v>0</v>
      </c>
      <c r="Q8" s="18" t="n">
        <v>2.37234258</v>
      </c>
      <c r="R8" s="20" t="n">
        <v>0.76777023</v>
      </c>
    </row>
    <row r="9" spans="1:18">
      <c r="A9" s="15" t="s">
        <v>351</v>
      </c>
      <c r="B9" s="17" t="n">
        <v>9651</v>
      </c>
      <c r="C9" s="18">
        <f>(8520.0/B9*100)</f>
        <v/>
      </c>
      <c r="D9" s="19" t="n">
        <v>1131</v>
      </c>
      <c r="E9" s="18" t="n">
        <v>57.73473026</v>
      </c>
      <c r="F9" s="20" t="n">
        <v>1.49629739</v>
      </c>
      <c r="G9" s="18" t="n">
        <v>40.48509353</v>
      </c>
      <c r="H9" s="20" t="n">
        <v>1.48137572</v>
      </c>
      <c r="I9" s="18" t="s">
        <v>349</v>
      </c>
      <c r="J9" s="20" t="s">
        <v>349</v>
      </c>
      <c r="K9" s="18" t="n">
        <v>0.48688597</v>
      </c>
      <c r="L9" s="20" t="n">
        <v>0.26756017</v>
      </c>
      <c r="M9" s="18" t="n">
        <v>0</v>
      </c>
      <c r="N9" s="20" t="n">
        <v>0</v>
      </c>
      <c r="O9" s="18" t="n">
        <v>0</v>
      </c>
      <c r="P9" s="20" t="n">
        <v>0</v>
      </c>
      <c r="Q9" s="18" t="n">
        <v>1.29329025</v>
      </c>
      <c r="R9" s="20" t="n">
        <v>0.36919524</v>
      </c>
    </row>
    <row r="10" spans="1:18">
      <c r="A10" s="15" t="s">
        <v>352</v>
      </c>
      <c r="B10" s="17" t="n">
        <v>20058</v>
      </c>
      <c r="C10" s="18">
        <f>(17614.0/B10*100)</f>
        <v/>
      </c>
      <c r="D10" s="19" t="n">
        <v>2444</v>
      </c>
      <c r="E10" s="18" t="n">
        <v>58.49158885</v>
      </c>
      <c r="F10" s="20" t="n">
        <v>1.33983087</v>
      </c>
      <c r="G10" s="18" t="n">
        <v>40.39435035</v>
      </c>
      <c r="H10" s="20" t="n">
        <v>1.29670619</v>
      </c>
      <c r="I10" s="18" t="s">
        <v>349</v>
      </c>
      <c r="J10" s="20" t="s">
        <v>349</v>
      </c>
      <c r="K10" s="18" t="n">
        <v>0.61049391</v>
      </c>
      <c r="L10" s="20" t="n">
        <v>0.22124271</v>
      </c>
      <c r="M10" s="18" t="n">
        <v>0</v>
      </c>
      <c r="N10" s="20" t="n">
        <v>0</v>
      </c>
      <c r="O10" s="18" t="n">
        <v>0</v>
      </c>
      <c r="P10" s="20" t="n">
        <v>0</v>
      </c>
      <c r="Q10" s="18" t="n">
        <v>0.50356689</v>
      </c>
      <c r="R10" s="20" t="n">
        <v>0.18431949</v>
      </c>
    </row>
    <row r="11" spans="1:18">
      <c r="A11" s="15" t="s">
        <v>353</v>
      </c>
      <c r="B11" s="17" t="n">
        <v>7053</v>
      </c>
      <c r="C11" s="18">
        <f>(6222.0/B11*100)</f>
        <v/>
      </c>
      <c r="D11" s="19" t="n">
        <v>831</v>
      </c>
      <c r="E11" s="18" t="n">
        <v>74.47942045000001</v>
      </c>
      <c r="F11" s="20" t="n">
        <v>1.44797949</v>
      </c>
      <c r="G11" s="18" t="n">
        <v>23.38581301</v>
      </c>
      <c r="H11" s="20" t="n">
        <v>1.5367422</v>
      </c>
      <c r="I11" s="18" t="s">
        <v>349</v>
      </c>
      <c r="J11" s="20" t="s">
        <v>349</v>
      </c>
      <c r="K11" s="18" t="n">
        <v>0.2727753</v>
      </c>
      <c r="L11" s="20" t="n">
        <v>0.1549101</v>
      </c>
      <c r="M11" s="18" t="n">
        <v>0</v>
      </c>
      <c r="N11" s="20" t="n">
        <v>0</v>
      </c>
      <c r="O11" s="18" t="n">
        <v>0</v>
      </c>
      <c r="P11" s="20" t="n">
        <v>0</v>
      </c>
      <c r="Q11" s="18" t="n">
        <v>1.86199123</v>
      </c>
      <c r="R11" s="20" t="n">
        <v>0.57220868</v>
      </c>
    </row>
    <row r="12" spans="1:18">
      <c r="A12" s="15" t="s">
        <v>354</v>
      </c>
      <c r="B12" s="17" t="n">
        <v>6894</v>
      </c>
      <c r="C12" s="18">
        <f>(6061.0/B12*100)</f>
        <v/>
      </c>
      <c r="D12" s="19" t="n">
        <v>833</v>
      </c>
      <c r="E12" s="18" t="n">
        <v>64.74907867</v>
      </c>
      <c r="F12" s="20" t="n">
        <v>2.12456304</v>
      </c>
      <c r="G12" s="18" t="n">
        <v>33.91388404</v>
      </c>
      <c r="H12" s="20" t="n">
        <v>2.10787776</v>
      </c>
      <c r="I12" s="18" t="s">
        <v>349</v>
      </c>
      <c r="J12" s="20" t="s">
        <v>349</v>
      </c>
      <c r="K12" s="18" t="n">
        <v>0.06014258</v>
      </c>
      <c r="L12" s="20" t="n">
        <v>0.06022639</v>
      </c>
      <c r="M12" s="18" t="n">
        <v>0</v>
      </c>
      <c r="N12" s="20" t="n">
        <v>0</v>
      </c>
      <c r="O12" s="18" t="n">
        <v>0</v>
      </c>
      <c r="P12" s="20" t="n">
        <v>0</v>
      </c>
      <c r="Q12" s="18" t="n">
        <v>1.2768947</v>
      </c>
      <c r="R12" s="20" t="n">
        <v>0.39979427</v>
      </c>
    </row>
    <row r="13" spans="1:18">
      <c r="A13" s="15" t="s">
        <v>355</v>
      </c>
      <c r="B13" s="17" t="n">
        <v>7161</v>
      </c>
      <c r="C13" s="18">
        <f>(6343.0/B13*100)</f>
        <v/>
      </c>
      <c r="D13" s="19" t="n">
        <v>818</v>
      </c>
      <c r="E13" s="18" t="n">
        <v>62.36744527</v>
      </c>
      <c r="F13" s="20" t="n">
        <v>2.081427</v>
      </c>
      <c r="G13" s="18" t="n">
        <v>35.39988808</v>
      </c>
      <c r="H13" s="20" t="n">
        <v>2.04155728</v>
      </c>
      <c r="I13" s="18" t="s">
        <v>349</v>
      </c>
      <c r="J13" s="20" t="s">
        <v>349</v>
      </c>
      <c r="K13" s="18" t="n">
        <v>1.00020581</v>
      </c>
      <c r="L13" s="20" t="n">
        <v>0.44335017</v>
      </c>
      <c r="M13" s="18" t="n">
        <v>0</v>
      </c>
      <c r="N13" s="20" t="n">
        <v>0</v>
      </c>
      <c r="O13" s="18" t="n">
        <v>0</v>
      </c>
      <c r="P13" s="20" t="n">
        <v>0</v>
      </c>
      <c r="Q13" s="18" t="n">
        <v>1.23246083</v>
      </c>
      <c r="R13" s="20" t="n">
        <v>0.45582615</v>
      </c>
    </row>
    <row r="14" spans="1:18">
      <c r="A14" s="15" t="s">
        <v>356</v>
      </c>
      <c r="B14" s="17" t="n">
        <v>5587</v>
      </c>
      <c r="C14" s="18">
        <f>(4896.0/B14*100)</f>
        <v/>
      </c>
      <c r="D14" s="19" t="n">
        <v>691</v>
      </c>
      <c r="E14" s="18" t="n">
        <v>57.11618422</v>
      </c>
      <c r="F14" s="20" t="n">
        <v>2.31609916</v>
      </c>
      <c r="G14" s="18" t="n">
        <v>41.69426524</v>
      </c>
      <c r="H14" s="20" t="n">
        <v>2.3385707</v>
      </c>
      <c r="I14" s="18" t="s">
        <v>349</v>
      </c>
      <c r="J14" s="20" t="s">
        <v>349</v>
      </c>
      <c r="K14" s="18" t="n">
        <v>0.34632004</v>
      </c>
      <c r="L14" s="20" t="n">
        <v>0.19647209</v>
      </c>
      <c r="M14" s="18" t="n">
        <v>0</v>
      </c>
      <c r="N14" s="20" t="n">
        <v>0</v>
      </c>
      <c r="O14" s="18" t="n">
        <v>0</v>
      </c>
      <c r="P14" s="20" t="n">
        <v>0</v>
      </c>
      <c r="Q14" s="18" t="n">
        <v>0.8432305</v>
      </c>
      <c r="R14" s="20" t="n">
        <v>0.35945306</v>
      </c>
    </row>
    <row r="15" spans="1:18">
      <c r="A15" s="15" t="s">
        <v>357</v>
      </c>
      <c r="B15" s="17" t="n">
        <v>5882</v>
      </c>
      <c r="C15" s="18">
        <f>(5158.0/B15*100)</f>
        <v/>
      </c>
      <c r="D15" s="19" t="n">
        <v>724</v>
      </c>
      <c r="E15" s="18" t="n">
        <v>57.00225321</v>
      </c>
      <c r="F15" s="20" t="n">
        <v>2.09865193</v>
      </c>
      <c r="G15" s="18" t="n">
        <v>41.44546633</v>
      </c>
      <c r="H15" s="20" t="n">
        <v>2.20345904</v>
      </c>
      <c r="I15" s="18" t="s">
        <v>349</v>
      </c>
      <c r="J15" s="20" t="s">
        <v>349</v>
      </c>
      <c r="K15" s="18" t="n">
        <v>0.13408445</v>
      </c>
      <c r="L15" s="20" t="n">
        <v>0.1317131</v>
      </c>
      <c r="M15" s="18" t="n">
        <v>0</v>
      </c>
      <c r="N15" s="20" t="n">
        <v>0</v>
      </c>
      <c r="O15" s="18" t="n">
        <v>0</v>
      </c>
      <c r="P15" s="20" t="n">
        <v>0</v>
      </c>
      <c r="Q15" s="18" t="n">
        <v>1.41819601</v>
      </c>
      <c r="R15" s="20" t="n">
        <v>0.53964197</v>
      </c>
    </row>
    <row r="16" spans="1:18">
      <c r="A16" s="15" t="s">
        <v>358</v>
      </c>
      <c r="B16" s="17" t="n">
        <v>6108</v>
      </c>
      <c r="C16" s="18">
        <f>(5346.0/B16*100)</f>
        <v/>
      </c>
      <c r="D16" s="19" t="n">
        <v>762</v>
      </c>
      <c r="E16" s="18" t="n">
        <v>55.70505201</v>
      </c>
      <c r="F16" s="20" t="n">
        <v>1.80974339</v>
      </c>
      <c r="G16" s="18" t="n">
        <v>41.72938838</v>
      </c>
      <c r="H16" s="20" t="n">
        <v>1.77595293</v>
      </c>
      <c r="I16" s="18" t="s">
        <v>349</v>
      </c>
      <c r="J16" s="20" t="s">
        <v>349</v>
      </c>
      <c r="K16" s="18" t="n">
        <v>1.00135813</v>
      </c>
      <c r="L16" s="20" t="n">
        <v>0.3595341</v>
      </c>
      <c r="M16" s="18" t="n">
        <v>0</v>
      </c>
      <c r="N16" s="20" t="n">
        <v>0</v>
      </c>
      <c r="O16" s="18" t="n">
        <v>0</v>
      </c>
      <c r="P16" s="20" t="n">
        <v>0</v>
      </c>
      <c r="Q16" s="18" t="n">
        <v>1.56420148</v>
      </c>
      <c r="R16" s="20" t="n">
        <v>0.40899209</v>
      </c>
    </row>
    <row r="17" spans="1:18">
      <c r="A17" s="15" t="s">
        <v>359</v>
      </c>
      <c r="B17" s="17" t="n">
        <v>6504</v>
      </c>
      <c r="C17" s="18">
        <f>(5741.0/B17*100)</f>
        <v/>
      </c>
      <c r="D17" s="19" t="n">
        <v>763</v>
      </c>
      <c r="E17" s="18" t="n">
        <v>51.95874535</v>
      </c>
      <c r="F17" s="20" t="n">
        <v>1.76424729</v>
      </c>
      <c r="G17" s="18" t="n">
        <v>46.31387034</v>
      </c>
      <c r="H17" s="20" t="n">
        <v>1.80461503</v>
      </c>
      <c r="I17" s="18" t="s">
        <v>349</v>
      </c>
      <c r="J17" s="20" t="s">
        <v>349</v>
      </c>
      <c r="K17" s="18" t="n">
        <v>0.29578535</v>
      </c>
      <c r="L17" s="20" t="n">
        <v>0.17844605</v>
      </c>
      <c r="M17" s="18" t="n">
        <v>0</v>
      </c>
      <c r="N17" s="20" t="n">
        <v>0</v>
      </c>
      <c r="O17" s="18" t="n">
        <v>0</v>
      </c>
      <c r="P17" s="20" t="n">
        <v>0</v>
      </c>
      <c r="Q17" s="18" t="n">
        <v>1.43159896</v>
      </c>
      <c r="R17" s="20" t="n">
        <v>0.54501395</v>
      </c>
    </row>
    <row r="18" spans="1:18">
      <c r="A18" s="15" t="s">
        <v>360</v>
      </c>
      <c r="B18" s="17" t="n">
        <v>5532</v>
      </c>
      <c r="C18" s="18">
        <f>(4842.0/B18*100)</f>
        <v/>
      </c>
      <c r="D18" s="19" t="n">
        <v>690</v>
      </c>
      <c r="E18" s="18" t="n">
        <v>72.75221464000001</v>
      </c>
      <c r="F18" s="20" t="n">
        <v>1.81795992</v>
      </c>
      <c r="G18" s="18" t="n">
        <v>25.65498684</v>
      </c>
      <c r="H18" s="20" t="n">
        <v>1.74518229</v>
      </c>
      <c r="I18" s="18" t="s">
        <v>349</v>
      </c>
      <c r="J18" s="20" t="s">
        <v>349</v>
      </c>
      <c r="K18" s="18" t="n">
        <v>0.69592698</v>
      </c>
      <c r="L18" s="20" t="n">
        <v>0.43225388</v>
      </c>
      <c r="M18" s="18" t="n">
        <v>0</v>
      </c>
      <c r="N18" s="20" t="n">
        <v>0</v>
      </c>
      <c r="O18" s="18" t="n">
        <v>0</v>
      </c>
      <c r="P18" s="20" t="n">
        <v>0</v>
      </c>
      <c r="Q18" s="18" t="n">
        <v>0.89687154</v>
      </c>
      <c r="R18" s="20" t="n">
        <v>0.44764607</v>
      </c>
    </row>
    <row r="19" spans="1:18">
      <c r="A19" s="15" t="s">
        <v>361</v>
      </c>
      <c r="B19" s="17" t="n">
        <v>5658</v>
      </c>
      <c r="C19" s="18">
        <f>(4958.0/B19*100)</f>
        <v/>
      </c>
      <c r="D19" s="19" t="n">
        <v>700</v>
      </c>
      <c r="E19" s="18" t="n">
        <v>61.79164827</v>
      </c>
      <c r="F19" s="20" t="n">
        <v>1.84120961</v>
      </c>
      <c r="G19" s="18" t="n">
        <v>36.5902516</v>
      </c>
      <c r="H19" s="20" t="n">
        <v>1.83803459</v>
      </c>
      <c r="I19" s="18" t="s">
        <v>349</v>
      </c>
      <c r="J19" s="20" t="s">
        <v>349</v>
      </c>
      <c r="K19" s="18" t="n">
        <v>0</v>
      </c>
      <c r="L19" s="20" t="n">
        <v>0</v>
      </c>
      <c r="M19" s="18" t="n">
        <v>0</v>
      </c>
      <c r="N19" s="20" t="n">
        <v>0</v>
      </c>
      <c r="O19" s="18" t="n">
        <v>0</v>
      </c>
      <c r="P19" s="20" t="n">
        <v>0</v>
      </c>
      <c r="Q19" s="18" t="n">
        <v>1.61810014</v>
      </c>
      <c r="R19" s="20" t="n">
        <v>0.65489665</v>
      </c>
    </row>
    <row r="20" spans="1:18">
      <c r="A20" s="15" t="s">
        <v>362</v>
      </c>
      <c r="B20" s="17" t="n">
        <v>3371</v>
      </c>
      <c r="C20" s="18">
        <f>(2959.0/B20*100)</f>
        <v/>
      </c>
      <c r="D20" s="19" t="n">
        <v>412</v>
      </c>
      <c r="E20" s="18" t="n">
        <v>60.29000663</v>
      </c>
      <c r="F20" s="20" t="n">
        <v>2.68095102</v>
      </c>
      <c r="G20" s="18" t="n">
        <v>37.46177119</v>
      </c>
      <c r="H20" s="20" t="n">
        <v>2.5402578</v>
      </c>
      <c r="I20" s="18" t="s">
        <v>349</v>
      </c>
      <c r="J20" s="20" t="s">
        <v>349</v>
      </c>
      <c r="K20" s="18" t="n">
        <v>0.46520085</v>
      </c>
      <c r="L20" s="20" t="n">
        <v>0.33892199</v>
      </c>
      <c r="M20" s="18" t="n">
        <v>0</v>
      </c>
      <c r="N20" s="20" t="n">
        <v>0</v>
      </c>
      <c r="O20" s="18" t="n">
        <v>0</v>
      </c>
      <c r="P20" s="20" t="n">
        <v>0</v>
      </c>
      <c r="Q20" s="18" t="n">
        <v>1.78302133</v>
      </c>
      <c r="R20" s="20" t="n">
        <v>0.6779687</v>
      </c>
    </row>
    <row r="21" spans="1:18">
      <c r="A21" s="15" t="s">
        <v>363</v>
      </c>
      <c r="B21" s="17" t="n">
        <v>5741</v>
      </c>
      <c r="C21" s="18">
        <f>(4785.0/B21*100)</f>
        <v/>
      </c>
      <c r="D21" s="19" t="n">
        <v>956</v>
      </c>
      <c r="E21" s="18" t="n">
        <v>61.41276342</v>
      </c>
      <c r="F21" s="20" t="n">
        <v>1.59146224</v>
      </c>
      <c r="G21" s="18" t="n">
        <v>37.76979743</v>
      </c>
      <c r="H21" s="20" t="n">
        <v>1.55624077</v>
      </c>
      <c r="I21" s="18" t="s">
        <v>349</v>
      </c>
      <c r="J21" s="20" t="s">
        <v>349</v>
      </c>
      <c r="K21" s="18" t="n">
        <v>0.19025151</v>
      </c>
      <c r="L21" s="20" t="n">
        <v>0.13367492</v>
      </c>
      <c r="M21" s="18" t="n">
        <v>0</v>
      </c>
      <c r="N21" s="20" t="n">
        <v>0</v>
      </c>
      <c r="O21" s="18" t="n">
        <v>0</v>
      </c>
      <c r="P21" s="20" t="n">
        <v>0</v>
      </c>
      <c r="Q21" s="18" t="n">
        <v>0.62718765</v>
      </c>
      <c r="R21" s="20" t="n">
        <v>0.33562449</v>
      </c>
    </row>
    <row r="22" spans="1:18">
      <c r="A22" s="15" t="s">
        <v>364</v>
      </c>
      <c r="B22" s="17" t="n">
        <v>6598</v>
      </c>
      <c r="C22" s="18">
        <f>(5791.0/B22*100)</f>
        <v/>
      </c>
      <c r="D22" s="19" t="n">
        <v>807</v>
      </c>
      <c r="E22" s="18" t="n">
        <v>60.78359295</v>
      </c>
      <c r="F22" s="20" t="n">
        <v>1.66158905</v>
      </c>
      <c r="G22" s="18" t="n">
        <v>37.3058438</v>
      </c>
      <c r="H22" s="20" t="n">
        <v>1.62428066</v>
      </c>
      <c r="I22" s="18" t="s">
        <v>349</v>
      </c>
      <c r="J22" s="20" t="s">
        <v>349</v>
      </c>
      <c r="K22" s="18" t="n">
        <v>0.53216235</v>
      </c>
      <c r="L22" s="20" t="n">
        <v>0.29556381</v>
      </c>
      <c r="M22" s="18" t="n">
        <v>0</v>
      </c>
      <c r="N22" s="20" t="n">
        <v>0</v>
      </c>
      <c r="O22" s="18" t="n">
        <v>0</v>
      </c>
      <c r="P22" s="20" t="n">
        <v>0</v>
      </c>
      <c r="Q22" s="18" t="n">
        <v>1.3784009</v>
      </c>
      <c r="R22" s="20" t="n">
        <v>0.40890009</v>
      </c>
    </row>
    <row r="23" spans="1:18">
      <c r="A23" s="15" t="s">
        <v>365</v>
      </c>
      <c r="B23" s="17" t="n">
        <v>11583</v>
      </c>
      <c r="C23" s="18">
        <f>(10168.0/B23*100)</f>
        <v/>
      </c>
      <c r="D23" s="19" t="n">
        <v>1415</v>
      </c>
      <c r="E23" s="18" t="n">
        <v>49.12029064</v>
      </c>
      <c r="F23" s="20" t="n">
        <v>1.91862605</v>
      </c>
      <c r="G23" s="18" t="n">
        <v>48.98873091</v>
      </c>
      <c r="H23" s="20" t="n">
        <v>1.80289289</v>
      </c>
      <c r="I23" s="18" t="s">
        <v>349</v>
      </c>
      <c r="J23" s="20" t="s">
        <v>349</v>
      </c>
      <c r="K23" s="18" t="n">
        <v>0.32023646</v>
      </c>
      <c r="L23" s="20" t="n">
        <v>0.22314006</v>
      </c>
      <c r="M23" s="18" t="n">
        <v>0</v>
      </c>
      <c r="N23" s="20" t="n">
        <v>0</v>
      </c>
      <c r="O23" s="18" t="n">
        <v>0</v>
      </c>
      <c r="P23" s="20" t="n">
        <v>0</v>
      </c>
      <c r="Q23" s="18" t="n">
        <v>1.57074198</v>
      </c>
      <c r="R23" s="20" t="n">
        <v>0.51880984</v>
      </c>
    </row>
    <row r="24" spans="1:18">
      <c r="A24" s="15" t="s">
        <v>366</v>
      </c>
      <c r="B24" s="17" t="n">
        <v>6647</v>
      </c>
      <c r="C24" s="18">
        <f>(5816.0/B24*100)</f>
        <v/>
      </c>
      <c r="D24" s="19" t="n">
        <v>831</v>
      </c>
      <c r="E24" s="18" t="n">
        <v>53.83054778</v>
      </c>
      <c r="F24" s="20" t="n">
        <v>1.91614828</v>
      </c>
      <c r="G24" s="18" t="n">
        <v>45.06021412</v>
      </c>
      <c r="H24" s="20" t="n">
        <v>1.8870244</v>
      </c>
      <c r="I24" s="18" t="s">
        <v>349</v>
      </c>
      <c r="J24" s="20" t="s">
        <v>349</v>
      </c>
      <c r="K24" s="18" t="n">
        <v>0.11119342</v>
      </c>
      <c r="L24" s="20" t="n">
        <v>0.11234749</v>
      </c>
      <c r="M24" s="18" t="n">
        <v>0</v>
      </c>
      <c r="N24" s="20" t="n">
        <v>0</v>
      </c>
      <c r="O24" s="18" t="n">
        <v>0</v>
      </c>
      <c r="P24" s="20" t="n">
        <v>0</v>
      </c>
      <c r="Q24" s="18" t="n">
        <v>0.99804468</v>
      </c>
      <c r="R24" s="20" t="n">
        <v>0.33835335</v>
      </c>
    </row>
    <row r="25" spans="1:18">
      <c r="A25" s="15" t="s">
        <v>367</v>
      </c>
      <c r="B25" s="17" t="n">
        <v>5581</v>
      </c>
      <c r="C25" s="18">
        <f>(4906.0/B25*100)</f>
        <v/>
      </c>
      <c r="D25" s="19" t="n">
        <v>675</v>
      </c>
      <c r="E25" s="18" t="n">
        <v>63.77451037</v>
      </c>
      <c r="F25" s="20" t="n">
        <v>2.19026042</v>
      </c>
      <c r="G25" s="18" t="n">
        <v>35.78102719</v>
      </c>
      <c r="H25" s="20" t="n">
        <v>2.19381154</v>
      </c>
      <c r="I25" s="18" t="s">
        <v>349</v>
      </c>
      <c r="J25" s="20" t="s">
        <v>349</v>
      </c>
      <c r="K25" s="18" t="n">
        <v>0</v>
      </c>
      <c r="L25" s="20" t="n">
        <v>0</v>
      </c>
      <c r="M25" s="18" t="n">
        <v>0</v>
      </c>
      <c r="N25" s="20" t="n">
        <v>0</v>
      </c>
      <c r="O25" s="18" t="n">
        <v>0</v>
      </c>
      <c r="P25" s="20" t="n">
        <v>0</v>
      </c>
      <c r="Q25" s="18" t="n">
        <v>0.44446243</v>
      </c>
      <c r="R25" s="20" t="n">
        <v>0.25775147</v>
      </c>
    </row>
    <row r="26" spans="1:18">
      <c r="A26" s="15" t="s">
        <v>368</v>
      </c>
      <c r="B26" s="17" t="n">
        <v>4869</v>
      </c>
      <c r="C26" s="18">
        <f>(4285.0/B26*100)</f>
        <v/>
      </c>
      <c r="D26" s="19" t="n">
        <v>584</v>
      </c>
      <c r="E26" s="18" t="n">
        <v>62.43302773</v>
      </c>
      <c r="F26" s="20" t="n">
        <v>2.12916435</v>
      </c>
      <c r="G26" s="18" t="n">
        <v>37.23647031</v>
      </c>
      <c r="H26" s="20" t="n">
        <v>2.14706846</v>
      </c>
      <c r="I26" s="18" t="s">
        <v>349</v>
      </c>
      <c r="J26" s="20" t="s">
        <v>349</v>
      </c>
      <c r="K26" s="18" t="n">
        <v>0</v>
      </c>
      <c r="L26" s="20" t="n">
        <v>0</v>
      </c>
      <c r="M26" s="18" t="n">
        <v>0</v>
      </c>
      <c r="N26" s="20" t="n">
        <v>0</v>
      </c>
      <c r="O26" s="18" t="n">
        <v>0</v>
      </c>
      <c r="P26" s="20" t="n">
        <v>0</v>
      </c>
      <c r="Q26" s="18" t="n">
        <v>0.33050197</v>
      </c>
      <c r="R26" s="20" t="n">
        <v>0.24485005</v>
      </c>
    </row>
    <row r="27" spans="1:18">
      <c r="A27" s="15" t="s">
        <v>369</v>
      </c>
      <c r="B27" s="17" t="n">
        <v>5299</v>
      </c>
      <c r="C27" s="18">
        <f>(4665.0/B27*100)</f>
        <v/>
      </c>
      <c r="D27" s="19" t="n">
        <v>634</v>
      </c>
      <c r="E27" s="18" t="n">
        <v>58.71654911</v>
      </c>
      <c r="F27" s="20" t="n">
        <v>2.11156867</v>
      </c>
      <c r="G27" s="18" t="n">
        <v>40.02640644</v>
      </c>
      <c r="H27" s="20" t="n">
        <v>2.11082878</v>
      </c>
      <c r="I27" s="18" t="s">
        <v>349</v>
      </c>
      <c r="J27" s="20" t="s">
        <v>349</v>
      </c>
      <c r="K27" s="18" t="n">
        <v>0.32522709</v>
      </c>
      <c r="L27" s="20" t="n">
        <v>0.23088828</v>
      </c>
      <c r="M27" s="18" t="n">
        <v>0</v>
      </c>
      <c r="N27" s="20" t="n">
        <v>0</v>
      </c>
      <c r="O27" s="18" t="n">
        <v>0</v>
      </c>
      <c r="P27" s="20" t="n">
        <v>0</v>
      </c>
      <c r="Q27" s="18" t="n">
        <v>0.93181736</v>
      </c>
      <c r="R27" s="20" t="n">
        <v>0.3761619</v>
      </c>
    </row>
    <row r="28" spans="1:18">
      <c r="A28" s="15" t="s">
        <v>370</v>
      </c>
      <c r="B28" s="17" t="n">
        <v>7568</v>
      </c>
      <c r="C28" s="18">
        <f>(6723.0/B28*100)</f>
        <v/>
      </c>
      <c r="D28" s="19" t="n">
        <v>845</v>
      </c>
      <c r="E28" s="18" t="n">
        <v>77.52515064000001</v>
      </c>
      <c r="F28" s="20" t="n">
        <v>1.76632684</v>
      </c>
      <c r="G28" s="18" t="n">
        <v>21.07481812</v>
      </c>
      <c r="H28" s="20" t="n">
        <v>1.52143044</v>
      </c>
      <c r="I28" s="18" t="s">
        <v>349</v>
      </c>
      <c r="J28" s="20" t="s">
        <v>349</v>
      </c>
      <c r="K28" s="18" t="n">
        <v>0.9537976</v>
      </c>
      <c r="L28" s="20" t="n">
        <v>0.60737241</v>
      </c>
      <c r="M28" s="18" t="n">
        <v>0</v>
      </c>
      <c r="N28" s="20" t="n">
        <v>0</v>
      </c>
      <c r="O28" s="18" t="n">
        <v>0</v>
      </c>
      <c r="P28" s="20" t="n">
        <v>0</v>
      </c>
      <c r="Q28" s="18" t="n">
        <v>0.44623364</v>
      </c>
      <c r="R28" s="20" t="n">
        <v>0.25044262</v>
      </c>
    </row>
    <row r="29" spans="1:18">
      <c r="A29" s="15" t="s">
        <v>371</v>
      </c>
      <c r="B29" s="17" t="n">
        <v>5385</v>
      </c>
      <c r="C29" s="18">
        <f>(4755.0/B29*100)</f>
        <v/>
      </c>
      <c r="D29" s="19" t="n">
        <v>630</v>
      </c>
      <c r="E29" s="18" t="n">
        <v>67.06721262000001</v>
      </c>
      <c r="F29" s="20" t="n">
        <v>1.79461156</v>
      </c>
      <c r="G29" s="18" t="n">
        <v>31.8710298</v>
      </c>
      <c r="H29" s="20" t="n">
        <v>1.86767961</v>
      </c>
      <c r="I29" s="18" t="s">
        <v>349</v>
      </c>
      <c r="J29" s="20" t="s">
        <v>349</v>
      </c>
      <c r="K29" s="18" t="n">
        <v>0.16168784</v>
      </c>
      <c r="L29" s="20" t="n">
        <v>0.16030023</v>
      </c>
      <c r="M29" s="18" t="n">
        <v>0</v>
      </c>
      <c r="N29" s="20" t="n">
        <v>0</v>
      </c>
      <c r="O29" s="18" t="n">
        <v>0</v>
      </c>
      <c r="P29" s="20" t="n">
        <v>0</v>
      </c>
      <c r="Q29" s="18" t="n">
        <v>0.90006973</v>
      </c>
      <c r="R29" s="20" t="n">
        <v>0.37603379</v>
      </c>
    </row>
    <row r="30" spans="1:18">
      <c r="A30" s="15" t="s">
        <v>372</v>
      </c>
      <c r="B30" s="17" t="n">
        <v>4520</v>
      </c>
      <c r="C30" s="18">
        <f>(3976.0/B30*100)</f>
        <v/>
      </c>
      <c r="D30" s="19" t="n">
        <v>544</v>
      </c>
      <c r="E30" s="18" t="n">
        <v>61.01911962</v>
      </c>
      <c r="F30" s="20" t="n">
        <v>2.0141817</v>
      </c>
      <c r="G30" s="18" t="n">
        <v>36.7638426</v>
      </c>
      <c r="H30" s="20" t="n">
        <v>1.85901011</v>
      </c>
      <c r="I30" s="18" t="s">
        <v>349</v>
      </c>
      <c r="J30" s="20" t="s">
        <v>349</v>
      </c>
      <c r="K30" s="18" t="n">
        <v>0.64745101</v>
      </c>
      <c r="L30" s="20" t="n">
        <v>0.41790711</v>
      </c>
      <c r="M30" s="18" t="n">
        <v>0</v>
      </c>
      <c r="N30" s="20" t="n">
        <v>0</v>
      </c>
      <c r="O30" s="18" t="n">
        <v>0</v>
      </c>
      <c r="P30" s="20" t="n">
        <v>0</v>
      </c>
      <c r="Q30" s="18" t="n">
        <v>1.56958677</v>
      </c>
      <c r="R30" s="20" t="n">
        <v>0.53848251</v>
      </c>
    </row>
    <row r="31" spans="1:18">
      <c r="A31" s="15" t="s">
        <v>373</v>
      </c>
      <c r="B31" s="17" t="n">
        <v>5456</v>
      </c>
      <c r="C31" s="18">
        <f>(4783.0/B31*100)</f>
        <v/>
      </c>
      <c r="D31" s="19" t="n">
        <v>673</v>
      </c>
      <c r="E31" s="18" t="n">
        <v>73.99781795</v>
      </c>
      <c r="F31" s="20" t="n">
        <v>1.69400125</v>
      </c>
      <c r="G31" s="18" t="n">
        <v>22.98754183</v>
      </c>
      <c r="H31" s="20" t="n">
        <v>1.56332163</v>
      </c>
      <c r="I31" s="18" t="s">
        <v>349</v>
      </c>
      <c r="J31" s="20" t="s">
        <v>349</v>
      </c>
      <c r="K31" s="18" t="n">
        <v>0.90105642</v>
      </c>
      <c r="L31" s="20" t="n">
        <v>0.35980284</v>
      </c>
      <c r="M31" s="18" t="n">
        <v>0</v>
      </c>
      <c r="N31" s="20" t="n">
        <v>0</v>
      </c>
      <c r="O31" s="18" t="n">
        <v>0</v>
      </c>
      <c r="P31" s="20" t="n">
        <v>0</v>
      </c>
      <c r="Q31" s="18" t="n">
        <v>2.1135838</v>
      </c>
      <c r="R31" s="20" t="n">
        <v>0.5790674</v>
      </c>
    </row>
    <row r="32" spans="1:18">
      <c r="A32" s="15" t="s">
        <v>374</v>
      </c>
      <c r="B32" s="17" t="n">
        <v>4478</v>
      </c>
      <c r="C32" s="18">
        <f>(3729.0/B32*100)</f>
        <v/>
      </c>
      <c r="D32" s="19" t="n">
        <v>749</v>
      </c>
      <c r="E32" s="18" t="n">
        <v>66.11082165000001</v>
      </c>
      <c r="F32" s="20" t="n">
        <v>1.73278806</v>
      </c>
      <c r="G32" s="18" t="n">
        <v>33.48800075</v>
      </c>
      <c r="H32" s="20" t="n">
        <v>1.74021838</v>
      </c>
      <c r="I32" s="18" t="s">
        <v>349</v>
      </c>
      <c r="J32" s="20" t="s">
        <v>349</v>
      </c>
      <c r="K32" s="18" t="n">
        <v>0</v>
      </c>
      <c r="L32" s="20" t="n">
        <v>0</v>
      </c>
      <c r="M32" s="18" t="n">
        <v>0</v>
      </c>
      <c r="N32" s="20" t="n">
        <v>0</v>
      </c>
      <c r="O32" s="18" t="n">
        <v>0</v>
      </c>
      <c r="P32" s="20" t="n">
        <v>0</v>
      </c>
      <c r="Q32" s="18" t="n">
        <v>0.4011776</v>
      </c>
      <c r="R32" s="20" t="n">
        <v>0.23758259</v>
      </c>
    </row>
    <row r="33" spans="1:18">
      <c r="A33" s="15" t="s">
        <v>375</v>
      </c>
      <c r="B33" s="17" t="n">
        <v>7325</v>
      </c>
      <c r="C33" s="18">
        <f>(6441.0/B33*100)</f>
        <v/>
      </c>
      <c r="D33" s="19" t="n">
        <v>884</v>
      </c>
      <c r="E33" s="18" t="n">
        <v>57.46956908</v>
      </c>
      <c r="F33" s="20" t="n">
        <v>1.89869924</v>
      </c>
      <c r="G33" s="18" t="n">
        <v>41.73924055</v>
      </c>
      <c r="H33" s="20" t="n">
        <v>1.96058689</v>
      </c>
      <c r="I33" s="18" t="s">
        <v>349</v>
      </c>
      <c r="J33" s="20" t="s">
        <v>349</v>
      </c>
      <c r="K33" s="18" t="n">
        <v>0.35636805</v>
      </c>
      <c r="L33" s="20" t="n">
        <v>0.26098123</v>
      </c>
      <c r="M33" s="18" t="n">
        <v>0</v>
      </c>
      <c r="N33" s="20" t="n">
        <v>0</v>
      </c>
      <c r="O33" s="18" t="n">
        <v>0</v>
      </c>
      <c r="P33" s="20" t="n">
        <v>0</v>
      </c>
      <c r="Q33" s="18" t="n">
        <v>0.43482232</v>
      </c>
      <c r="R33" s="20" t="n">
        <v>0.21585691</v>
      </c>
    </row>
    <row r="34" spans="1:18">
      <c r="A34" s="15" t="s">
        <v>376</v>
      </c>
      <c r="B34" s="17" t="n">
        <v>6350</v>
      </c>
      <c r="C34" s="18">
        <f>(5598.0/B34*100)</f>
        <v/>
      </c>
      <c r="D34" s="19" t="n">
        <v>752</v>
      </c>
      <c r="E34" s="18" t="n">
        <v>68.61564376</v>
      </c>
      <c r="F34" s="20" t="n">
        <v>1.73185343</v>
      </c>
      <c r="G34" s="18" t="n">
        <v>30.87975474</v>
      </c>
      <c r="H34" s="20" t="n">
        <v>1.72313017</v>
      </c>
      <c r="I34" s="18" t="s">
        <v>349</v>
      </c>
      <c r="J34" s="20" t="s">
        <v>349</v>
      </c>
      <c r="K34" s="18" t="n">
        <v>0.13987958</v>
      </c>
      <c r="L34" s="20" t="n">
        <v>0.14253918</v>
      </c>
      <c r="M34" s="18" t="n">
        <v>0</v>
      </c>
      <c r="N34" s="20" t="n">
        <v>0</v>
      </c>
      <c r="O34" s="18" t="n">
        <v>0</v>
      </c>
      <c r="P34" s="20" t="n">
        <v>0</v>
      </c>
      <c r="Q34" s="18" t="n">
        <v>0.36472192</v>
      </c>
      <c r="R34" s="20" t="n">
        <v>0.21414574</v>
      </c>
    </row>
    <row r="35" spans="1:18">
      <c r="A35" s="15" t="s">
        <v>377</v>
      </c>
      <c r="B35" s="17" t="n">
        <v>6406</v>
      </c>
      <c r="C35" s="18">
        <f>(5628.0/B35*100)</f>
        <v/>
      </c>
      <c r="D35" s="19" t="n">
        <v>778</v>
      </c>
      <c r="E35" s="18" t="n">
        <v>49.98235685</v>
      </c>
      <c r="F35" s="20" t="n">
        <v>2.43119242</v>
      </c>
      <c r="G35" s="18" t="n">
        <v>49.07773995</v>
      </c>
      <c r="H35" s="20" t="n">
        <v>2.41194696</v>
      </c>
      <c r="I35" s="18" t="s">
        <v>349</v>
      </c>
      <c r="J35" s="20" t="s">
        <v>349</v>
      </c>
      <c r="K35" s="18" t="n">
        <v>0.18440094</v>
      </c>
      <c r="L35" s="20" t="n">
        <v>0.10777479</v>
      </c>
      <c r="M35" s="18" t="n">
        <v>0</v>
      </c>
      <c r="N35" s="20" t="n">
        <v>0</v>
      </c>
      <c r="O35" s="18" t="n">
        <v>0</v>
      </c>
      <c r="P35" s="20" t="n">
        <v>0</v>
      </c>
      <c r="Q35" s="18" t="n">
        <v>0.75550226</v>
      </c>
      <c r="R35" s="20" t="n">
        <v>0.36962141</v>
      </c>
    </row>
    <row r="36" spans="1:18">
      <c r="A36" s="15" t="s">
        <v>378</v>
      </c>
      <c r="B36" s="17" t="n">
        <v>6736</v>
      </c>
      <c r="C36" s="18">
        <f>(5937.0/B36*100)</f>
        <v/>
      </c>
      <c r="D36" s="19" t="n">
        <v>799</v>
      </c>
      <c r="E36" s="18" t="n">
        <v>58.56974666</v>
      </c>
      <c r="F36" s="20" t="n">
        <v>2.0314494</v>
      </c>
      <c r="G36" s="18" t="n">
        <v>39.01474157</v>
      </c>
      <c r="H36" s="20" t="n">
        <v>1.89417887</v>
      </c>
      <c r="I36" s="18" t="s">
        <v>349</v>
      </c>
      <c r="J36" s="20" t="s">
        <v>349</v>
      </c>
      <c r="K36" s="18" t="n">
        <v>0.82136475</v>
      </c>
      <c r="L36" s="20" t="n">
        <v>0.44933646</v>
      </c>
      <c r="M36" s="18" t="n">
        <v>0</v>
      </c>
      <c r="N36" s="20" t="n">
        <v>0</v>
      </c>
      <c r="O36" s="18" t="n">
        <v>0</v>
      </c>
      <c r="P36" s="20" t="n">
        <v>0</v>
      </c>
      <c r="Q36" s="18" t="n">
        <v>1.59414702</v>
      </c>
      <c r="R36" s="20" t="n">
        <v>0.4666559</v>
      </c>
    </row>
    <row r="37" spans="1:18">
      <c r="A37" s="15" t="s">
        <v>379</v>
      </c>
      <c r="B37" s="17" t="n">
        <v>5458</v>
      </c>
      <c r="C37" s="18">
        <f>(4810.0/B37*100)</f>
        <v/>
      </c>
      <c r="D37" s="19" t="n">
        <v>648</v>
      </c>
      <c r="E37" s="18" t="n">
        <v>62.2720742</v>
      </c>
      <c r="F37" s="20" t="n">
        <v>2.27873691</v>
      </c>
      <c r="G37" s="18" t="n">
        <v>32.53518401</v>
      </c>
      <c r="H37" s="20" t="n">
        <v>2.26809885</v>
      </c>
      <c r="I37" s="18" t="s">
        <v>349</v>
      </c>
      <c r="J37" s="20" t="s">
        <v>349</v>
      </c>
      <c r="K37" s="18" t="n">
        <v>1.31684725</v>
      </c>
      <c r="L37" s="20" t="n">
        <v>0.47958288</v>
      </c>
      <c r="M37" s="18" t="n">
        <v>0</v>
      </c>
      <c r="N37" s="20" t="n">
        <v>0</v>
      </c>
      <c r="O37" s="18" t="n">
        <v>0</v>
      </c>
      <c r="P37" s="20" t="n">
        <v>0</v>
      </c>
      <c r="Q37" s="18" t="n">
        <v>3.87589453</v>
      </c>
      <c r="R37" s="20" t="n">
        <v>0.94859257</v>
      </c>
    </row>
    <row r="38" spans="1:18">
      <c r="A38" s="15" t="s">
        <v>380</v>
      </c>
      <c r="B38" s="17" t="n">
        <v>5860</v>
      </c>
      <c r="C38" s="18">
        <f>(4917.0/B38*100)</f>
        <v/>
      </c>
      <c r="D38" s="19" t="n">
        <v>943</v>
      </c>
      <c r="E38" s="18" t="n">
        <v>51.09988986</v>
      </c>
      <c r="F38" s="20" t="n">
        <v>2.46906016</v>
      </c>
      <c r="G38" s="18" t="n">
        <v>47.82202319</v>
      </c>
      <c r="H38" s="20" t="n">
        <v>2.462041</v>
      </c>
      <c r="I38" s="18" t="s">
        <v>349</v>
      </c>
      <c r="J38" s="20" t="s">
        <v>349</v>
      </c>
      <c r="K38" s="18" t="n">
        <v>0.6055023</v>
      </c>
      <c r="L38" s="20" t="n">
        <v>0.26388884</v>
      </c>
      <c r="M38" s="18" t="n">
        <v>0</v>
      </c>
      <c r="N38" s="20" t="n">
        <v>0</v>
      </c>
      <c r="O38" s="18" t="n">
        <v>0</v>
      </c>
      <c r="P38" s="20" t="n">
        <v>0</v>
      </c>
      <c r="Q38" s="18" t="n">
        <v>0.47258465</v>
      </c>
      <c r="R38" s="20" t="n">
        <v>0.21868507</v>
      </c>
    </row>
    <row r="39" spans="1:18">
      <c r="A39" s="15" t="s">
        <v>381</v>
      </c>
      <c r="B39" s="17" t="n">
        <v>5895</v>
      </c>
      <c r="C39" s="18">
        <f>(5170.0/B39*100)</f>
        <v/>
      </c>
      <c r="D39" s="19" t="n">
        <v>725</v>
      </c>
      <c r="E39" s="18" t="n">
        <v>71.20542325</v>
      </c>
      <c r="F39" s="20" t="n">
        <v>2.43698983</v>
      </c>
      <c r="G39" s="18" t="n">
        <v>27.36302751</v>
      </c>
      <c r="H39" s="20" t="n">
        <v>2.42187378</v>
      </c>
      <c r="I39" s="18" t="s">
        <v>349</v>
      </c>
      <c r="J39" s="20" t="s">
        <v>349</v>
      </c>
      <c r="K39" s="18" t="n">
        <v>0.34205797</v>
      </c>
      <c r="L39" s="20" t="n">
        <v>0.20767611</v>
      </c>
      <c r="M39" s="18" t="n">
        <v>0</v>
      </c>
      <c r="N39" s="20" t="n">
        <v>0</v>
      </c>
      <c r="O39" s="18" t="n">
        <v>0</v>
      </c>
      <c r="P39" s="20" t="n">
        <v>0</v>
      </c>
      <c r="Q39" s="18" t="n">
        <v>1.08949127</v>
      </c>
      <c r="R39" s="20" t="n">
        <v>0.46956611</v>
      </c>
    </row>
    <row r="40" spans="1:18">
      <c r="A40" s="15" t="s">
        <v>382</v>
      </c>
      <c r="B40" s="17" t="n">
        <v>14157</v>
      </c>
      <c r="C40" s="18">
        <f>(12426.0/B40*100)</f>
        <v/>
      </c>
      <c r="D40" s="19" t="n">
        <v>1731</v>
      </c>
      <c r="E40" s="18" t="n">
        <v>64.6211945</v>
      </c>
      <c r="F40" s="20" t="n">
        <v>1.61372678</v>
      </c>
      <c r="G40" s="18" t="n">
        <v>33.91324883</v>
      </c>
      <c r="H40" s="20" t="n">
        <v>1.59458722</v>
      </c>
      <c r="I40" s="18" t="s">
        <v>349</v>
      </c>
      <c r="J40" s="20" t="s">
        <v>349</v>
      </c>
      <c r="K40" s="18" t="n">
        <v>0.37992585</v>
      </c>
      <c r="L40" s="20" t="n">
        <v>0.24533876</v>
      </c>
      <c r="M40" s="18" t="n">
        <v>0</v>
      </c>
      <c r="N40" s="20" t="n">
        <v>0</v>
      </c>
      <c r="O40" s="18" t="n">
        <v>0</v>
      </c>
      <c r="P40" s="20" t="n">
        <v>0</v>
      </c>
      <c r="Q40" s="18" t="n">
        <v>1.08563082</v>
      </c>
      <c r="R40" s="20" t="n">
        <v>0.38641581</v>
      </c>
    </row>
    <row r="41" spans="1:18">
      <c r="A41" s="15" t="s">
        <v>383</v>
      </c>
      <c r="B41" s="17" t="n">
        <v>5712</v>
      </c>
      <c r="C41" s="18">
        <f>(5027.0/B41*100)</f>
        <v/>
      </c>
      <c r="D41" s="19" t="n">
        <v>685</v>
      </c>
      <c r="E41" s="18" t="n">
        <v>68.33699618</v>
      </c>
      <c r="F41" s="20" t="n">
        <v>2.04237454</v>
      </c>
      <c r="G41" s="18" t="n">
        <v>30.60808877</v>
      </c>
      <c r="H41" s="20" t="n">
        <v>2.09326428</v>
      </c>
      <c r="I41" s="18" t="s">
        <v>349</v>
      </c>
      <c r="J41" s="20" t="s">
        <v>349</v>
      </c>
      <c r="K41" s="18" t="n">
        <v>1.05491505</v>
      </c>
      <c r="L41" s="20" t="n">
        <v>0.5184103</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(20778.0/B46*100)</f>
        <v/>
      </c>
      <c r="D46" s="19" t="n">
        <v>2363</v>
      </c>
      <c r="E46" s="18" t="n">
        <v>70.91523528</v>
      </c>
      <c r="F46" s="20" t="n">
        <v>1.20970401</v>
      </c>
      <c r="G46" s="18" t="n">
        <v>25.86426583</v>
      </c>
      <c r="H46" s="20" t="n">
        <v>1.15569815</v>
      </c>
      <c r="I46" s="18" t="s">
        <v>349</v>
      </c>
      <c r="J46" s="20" t="s">
        <v>349</v>
      </c>
      <c r="K46" s="18" t="n">
        <v>0.96301826</v>
      </c>
      <c r="L46" s="20" t="n">
        <v>0.33891306</v>
      </c>
      <c r="M46" s="18" t="n">
        <v>0</v>
      </c>
      <c r="N46" s="20" t="n">
        <v>0</v>
      </c>
      <c r="O46" s="18" t="n">
        <v>0</v>
      </c>
      <c r="P46" s="20" t="n">
        <v>0</v>
      </c>
      <c r="Q46" s="18" t="n">
        <v>2.25748063</v>
      </c>
      <c r="R46" s="20" t="n">
        <v>0.42021314</v>
      </c>
    </row>
    <row r="47" spans="1:18">
      <c r="A47" s="15" t="s">
        <v>389</v>
      </c>
      <c r="B47" s="17" t="n">
        <v>5928</v>
      </c>
      <c r="C47" s="18">
        <f>(5209.0/B47*100)</f>
        <v/>
      </c>
      <c r="D47" s="19" t="n">
        <v>719</v>
      </c>
      <c r="E47" s="18" t="n">
        <v>79.3227567</v>
      </c>
      <c r="F47" s="20" t="n">
        <v>1.48479166</v>
      </c>
      <c r="G47" s="18" t="n">
        <v>18.75664239</v>
      </c>
      <c r="H47" s="20" t="n">
        <v>1.31471252</v>
      </c>
      <c r="I47" s="18" t="s">
        <v>349</v>
      </c>
      <c r="J47" s="20" t="s">
        <v>349</v>
      </c>
      <c r="K47" s="18" t="n">
        <v>0.38931723</v>
      </c>
      <c r="L47" s="20" t="n">
        <v>0.26059019</v>
      </c>
      <c r="M47" s="18" t="n">
        <v>0</v>
      </c>
      <c r="N47" s="20" t="n">
        <v>0</v>
      </c>
      <c r="O47" s="18" t="n">
        <v>0</v>
      </c>
      <c r="P47" s="20" t="n">
        <v>0</v>
      </c>
      <c r="Q47" s="18" t="n">
        <v>1.53128368</v>
      </c>
      <c r="R47" s="20" t="n">
        <v>0.47836569</v>
      </c>
    </row>
    <row r="48" spans="1:18">
      <c r="A48" s="15" t="s">
        <v>390</v>
      </c>
      <c r="B48" s="17" t="n">
        <v>9841</v>
      </c>
      <c r="C48" s="18">
        <f>(8642.0/B48*100)</f>
        <v/>
      </c>
      <c r="D48" s="19" t="n">
        <v>1199</v>
      </c>
      <c r="E48" s="18" t="n">
        <v>56.83508341</v>
      </c>
      <c r="F48" s="20" t="n">
        <v>1.98116873</v>
      </c>
      <c r="G48" s="18" t="n">
        <v>42.59279554</v>
      </c>
      <c r="H48" s="20" t="n">
        <v>2.00590869</v>
      </c>
      <c r="I48" s="18" t="s">
        <v>349</v>
      </c>
      <c r="J48" s="20" t="s">
        <v>349</v>
      </c>
      <c r="K48" s="18" t="n">
        <v>0.26995642</v>
      </c>
      <c r="L48" s="20" t="n">
        <v>0.18709449</v>
      </c>
      <c r="M48" s="18" t="n">
        <v>0</v>
      </c>
      <c r="N48" s="20" t="n">
        <v>0</v>
      </c>
      <c r="O48" s="18" t="n">
        <v>0</v>
      </c>
      <c r="P48" s="20" t="n">
        <v>0</v>
      </c>
      <c r="Q48" s="18" t="n">
        <v>0.30216464</v>
      </c>
      <c r="R48" s="20" t="n">
        <v>0.1857509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(10364.0/B50*100)</f>
        <v/>
      </c>
      <c r="D50" s="19" t="n">
        <v>1431</v>
      </c>
      <c r="E50" s="18" t="n">
        <v>76.07489471</v>
      </c>
      <c r="F50" s="20" t="n">
        <v>1.39831117</v>
      </c>
      <c r="G50" s="18" t="n">
        <v>22.81177492</v>
      </c>
      <c r="H50" s="20" t="n">
        <v>1.39472736</v>
      </c>
      <c r="I50" s="18" t="s">
        <v>349</v>
      </c>
      <c r="J50" s="20" t="s">
        <v>349</v>
      </c>
      <c r="K50" s="18" t="n">
        <v>0.59453829</v>
      </c>
      <c r="L50" s="20" t="n">
        <v>0.23296436</v>
      </c>
      <c r="M50" s="18" t="n">
        <v>0</v>
      </c>
      <c r="N50" s="20" t="n">
        <v>0</v>
      </c>
      <c r="O50" s="18" t="n">
        <v>0</v>
      </c>
      <c r="P50" s="20" t="n">
        <v>0</v>
      </c>
      <c r="Q50" s="18" t="n">
        <v>0.51879208</v>
      </c>
      <c r="R50" s="20" t="n">
        <v>0.24056801</v>
      </c>
    </row>
    <row r="51" spans="1:18">
      <c r="A51" s="15" t="s">
        <v>393</v>
      </c>
      <c r="B51" s="17" t="n">
        <v>6866</v>
      </c>
      <c r="C51" s="18">
        <f>(6135.0/B51*100)</f>
        <v/>
      </c>
      <c r="D51" s="19" t="n">
        <v>731</v>
      </c>
      <c r="E51" s="18" t="n">
        <v>79.33077829</v>
      </c>
      <c r="F51" s="20" t="n">
        <v>1.41927549</v>
      </c>
      <c r="G51" s="18" t="n">
        <v>19.12268673</v>
      </c>
      <c r="H51" s="20" t="n">
        <v>1.42334489</v>
      </c>
      <c r="I51" s="18" t="s">
        <v>349</v>
      </c>
      <c r="J51" s="20" t="s">
        <v>349</v>
      </c>
      <c r="K51" s="18" t="n">
        <v>0.2456558</v>
      </c>
      <c r="L51" s="20" t="n">
        <v>0.16250615</v>
      </c>
      <c r="M51" s="18" t="n">
        <v>0</v>
      </c>
      <c r="N51" s="20" t="n">
        <v>0</v>
      </c>
      <c r="O51" s="18" t="n">
        <v>0</v>
      </c>
      <c r="P51" s="20" t="n">
        <v>0</v>
      </c>
      <c r="Q51" s="18" t="n">
        <v>1.30087919</v>
      </c>
      <c r="R51" s="20" t="n">
        <v>0.41909963</v>
      </c>
    </row>
    <row r="52" spans="1:18">
      <c r="A52" s="15" t="s">
        <v>394</v>
      </c>
      <c r="B52" s="17" t="n">
        <v>5809</v>
      </c>
      <c r="C52" s="18">
        <f>(5098.0/B52*100)</f>
        <v/>
      </c>
      <c r="D52" s="19" t="n">
        <v>711</v>
      </c>
      <c r="E52" s="18" t="n">
        <v>53.18752846</v>
      </c>
      <c r="F52" s="20" t="n">
        <v>1.91216182</v>
      </c>
      <c r="G52" s="18" t="n">
        <v>44.65028764</v>
      </c>
      <c r="H52" s="20" t="n">
        <v>1.83622704</v>
      </c>
      <c r="I52" s="18" t="s">
        <v>349</v>
      </c>
      <c r="J52" s="20" t="s">
        <v>349</v>
      </c>
      <c r="K52" s="18" t="n">
        <v>0</v>
      </c>
      <c r="L52" s="20" t="n">
        <v>0</v>
      </c>
      <c r="M52" s="18" t="n">
        <v>0</v>
      </c>
      <c r="N52" s="20" t="n">
        <v>0</v>
      </c>
      <c r="O52" s="18" t="n">
        <v>0</v>
      </c>
      <c r="P52" s="20" t="n">
        <v>0</v>
      </c>
      <c r="Q52" s="18" t="n">
        <v>2.1621839</v>
      </c>
      <c r="R52" s="20" t="n">
        <v>0.46930751</v>
      </c>
    </row>
    <row r="53" spans="1:18">
      <c r="A53" s="15" t="s">
        <v>395</v>
      </c>
      <c r="B53" s="17" t="n">
        <v>5571</v>
      </c>
      <c r="C53" s="18">
        <f>(4876.0/B53*100)</f>
        <v/>
      </c>
      <c r="D53" s="19" t="n">
        <v>695</v>
      </c>
      <c r="E53" s="18" t="n">
        <v>76.02484699999999</v>
      </c>
      <c r="F53" s="20" t="n">
        <v>1.75765993</v>
      </c>
      <c r="G53" s="18" t="n">
        <v>23.07530665</v>
      </c>
      <c r="H53" s="20" t="n">
        <v>1.68404652</v>
      </c>
      <c r="I53" s="18" t="s">
        <v>349</v>
      </c>
      <c r="J53" s="20" t="s">
        <v>349</v>
      </c>
      <c r="K53" s="18" t="n">
        <v>0.41724097</v>
      </c>
      <c r="L53" s="20" t="n">
        <v>0.20129183</v>
      </c>
      <c r="M53" s="18" t="n">
        <v>0</v>
      </c>
      <c r="N53" s="20" t="n">
        <v>0</v>
      </c>
      <c r="O53" s="18" t="n">
        <v>0</v>
      </c>
      <c r="P53" s="20" t="n">
        <v>0</v>
      </c>
      <c r="Q53" s="18" t="n">
        <v>0.48260538</v>
      </c>
      <c r="R53" s="20" t="n">
        <v>0.30861852</v>
      </c>
    </row>
    <row r="54" spans="1:18">
      <c r="A54" s="15" t="s">
        <v>396</v>
      </c>
      <c r="B54" s="17" t="n">
        <v>4740</v>
      </c>
      <c r="C54" s="18">
        <f>(3967.0/B54*100)</f>
        <v/>
      </c>
      <c r="D54" s="19" t="n">
        <v>773</v>
      </c>
      <c r="E54" s="18" t="n">
        <v>74.9094861</v>
      </c>
      <c r="F54" s="20" t="n">
        <v>1.92742044</v>
      </c>
      <c r="G54" s="18" t="n">
        <v>11.82066192</v>
      </c>
      <c r="H54" s="20" t="n">
        <v>1.21047316</v>
      </c>
      <c r="I54" s="18" t="s">
        <v>349</v>
      </c>
      <c r="J54" s="20" t="s">
        <v>349</v>
      </c>
      <c r="K54" s="18" t="n">
        <v>10.26772447</v>
      </c>
      <c r="L54" s="20" t="n">
        <v>1.33980608</v>
      </c>
      <c r="M54" s="18" t="n">
        <v>0</v>
      </c>
      <c r="N54" s="20" t="n">
        <v>0</v>
      </c>
      <c r="O54" s="18" t="n">
        <v>0</v>
      </c>
      <c r="P54" s="20" t="n">
        <v>0</v>
      </c>
      <c r="Q54" s="18" t="n">
        <v>3.00212751</v>
      </c>
      <c r="R54" s="20" t="n">
        <v>0.65436254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(4702.0/B56*100)</f>
        <v/>
      </c>
      <c r="D56" s="19" t="n">
        <v>657</v>
      </c>
      <c r="E56" s="18" t="n">
        <v>57.56989128</v>
      </c>
      <c r="F56" s="20" t="n">
        <v>1.92886509</v>
      </c>
      <c r="G56" s="18" t="n">
        <v>42.02150443</v>
      </c>
      <c r="H56" s="20" t="n">
        <v>1.92474064</v>
      </c>
      <c r="I56" s="18" t="s">
        <v>349</v>
      </c>
      <c r="J56" s="20" t="s">
        <v>349</v>
      </c>
      <c r="K56" s="18" t="n">
        <v>0.13946736</v>
      </c>
      <c r="L56" s="20" t="n">
        <v>0.15544796</v>
      </c>
      <c r="M56" s="18" t="n">
        <v>0</v>
      </c>
      <c r="N56" s="20" t="n">
        <v>0</v>
      </c>
      <c r="O56" s="18" t="n">
        <v>0</v>
      </c>
      <c r="P56" s="20" t="n">
        <v>0</v>
      </c>
      <c r="Q56" s="18" t="n">
        <v>0.26913693</v>
      </c>
      <c r="R56" s="20" t="n">
        <v>0.19113166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(5745.0/B61*100)</f>
        <v/>
      </c>
      <c r="D61" s="19" t="n">
        <v>780</v>
      </c>
      <c r="E61" s="18" t="n">
        <v>66.89799651</v>
      </c>
      <c r="F61" s="20" t="n">
        <v>1.76342606</v>
      </c>
      <c r="G61" s="18" t="n">
        <v>31.98732761</v>
      </c>
      <c r="H61" s="20" t="n">
        <v>1.7408375</v>
      </c>
      <c r="I61" s="18" t="s">
        <v>349</v>
      </c>
      <c r="J61" s="20" t="s">
        <v>349</v>
      </c>
      <c r="K61" s="18" t="n">
        <v>0.27623243</v>
      </c>
      <c r="L61" s="20" t="n">
        <v>0.22716021</v>
      </c>
      <c r="M61" s="18" t="n">
        <v>0</v>
      </c>
      <c r="N61" s="20" t="n">
        <v>0</v>
      </c>
      <c r="O61" s="18" t="n">
        <v>0</v>
      </c>
      <c r="P61" s="20" t="n">
        <v>0</v>
      </c>
      <c r="Q61" s="18" t="n">
        <v>0.83844345</v>
      </c>
      <c r="R61" s="20" t="n">
        <v>0.3666778</v>
      </c>
    </row>
    <row r="62" spans="1:18">
      <c r="A62" s="15" t="s">
        <v>404</v>
      </c>
      <c r="B62" s="17" t="n">
        <v>4476</v>
      </c>
      <c r="C62" s="18">
        <f>(3948.0/B62*100)</f>
        <v/>
      </c>
      <c r="D62" s="19" t="n">
        <v>528</v>
      </c>
      <c r="E62" s="18" t="n">
        <v>56.60282718</v>
      </c>
      <c r="F62" s="20" t="n">
        <v>1.93575703</v>
      </c>
      <c r="G62" s="18" t="n">
        <v>43.39717282</v>
      </c>
      <c r="H62" s="20" t="n">
        <v>1.93575703</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69.39132524</v>
      </c>
      <c r="F66" s="20" t="n">
        <v>1.89415149</v>
      </c>
      <c r="G66" s="18" t="n">
        <v>25.31550182</v>
      </c>
      <c r="H66" s="20" t="n">
        <v>1.74018824</v>
      </c>
      <c r="I66" s="18" t="s">
        <v>349</v>
      </c>
      <c r="J66" s="20" t="s">
        <v>349</v>
      </c>
      <c r="K66" s="18" t="n">
        <v>0.40476894</v>
      </c>
      <c r="L66" s="20" t="n">
        <v>0.23464775</v>
      </c>
      <c r="M66" s="18" t="n">
        <v>0</v>
      </c>
      <c r="N66" s="20" t="n">
        <v>0</v>
      </c>
      <c r="O66" s="18" t="n">
        <v>0</v>
      </c>
      <c r="P66" s="20" t="n">
        <v>0</v>
      </c>
      <c r="Q66" s="18" t="n">
        <v>4.88840399</v>
      </c>
      <c r="R66" s="20" t="n">
        <v>0.79520172</v>
      </c>
    </row>
    <row r="67" spans="1:18">
      <c r="A67" s="15" t="s">
        <v>409</v>
      </c>
      <c r="B67" s="17" t="n">
        <v>6971</v>
      </c>
      <c r="C67" s="18">
        <f>(6197.0/B67*100)</f>
        <v/>
      </c>
      <c r="D67" s="19" t="n">
        <v>774</v>
      </c>
      <c r="E67" s="18" t="n">
        <v>78.15450035000001</v>
      </c>
      <c r="F67" s="20" t="n">
        <v>1.28483239</v>
      </c>
      <c r="G67" s="18" t="n">
        <v>20.59736343</v>
      </c>
      <c r="H67" s="20" t="n">
        <v>1.26190478</v>
      </c>
      <c r="I67" s="18" t="s">
        <v>349</v>
      </c>
      <c r="J67" s="20" t="s">
        <v>349</v>
      </c>
      <c r="K67" s="18" t="n">
        <v>0.10169262</v>
      </c>
      <c r="L67" s="20" t="n">
        <v>0.1044122</v>
      </c>
      <c r="M67" s="18" t="n">
        <v>0</v>
      </c>
      <c r="N67" s="20" t="n">
        <v>0</v>
      </c>
      <c r="O67" s="18" t="n">
        <v>0</v>
      </c>
      <c r="P67" s="20" t="n">
        <v>0</v>
      </c>
      <c r="Q67" s="18" t="n">
        <v>1.1464436</v>
      </c>
      <c r="R67" s="20" t="n">
        <v>0.345888</v>
      </c>
    </row>
    <row r="68" spans="1:18">
      <c r="A68" s="15" t="s">
        <v>410</v>
      </c>
      <c r="B68" s="17" t="n">
        <v>12083</v>
      </c>
      <c r="C68" s="18">
        <f>(10091.0/B68*100)</f>
        <v/>
      </c>
      <c r="D68" s="19" t="n">
        <v>1992</v>
      </c>
      <c r="E68" s="18" t="n">
        <v>70.26686558</v>
      </c>
      <c r="F68" s="20" t="n">
        <v>0.90596053</v>
      </c>
      <c r="G68" s="18" t="n">
        <v>25.29780624</v>
      </c>
      <c r="H68" s="20" t="n">
        <v>0.9069469100000001</v>
      </c>
      <c r="I68" s="18" t="s">
        <v>349</v>
      </c>
      <c r="J68" s="20" t="s">
        <v>349</v>
      </c>
      <c r="K68" s="18" t="n">
        <v>2.38507042</v>
      </c>
      <c r="L68" s="20" t="n">
        <v>0.31403577</v>
      </c>
      <c r="M68" s="18" t="n">
        <v>0</v>
      </c>
      <c r="N68" s="20" t="n">
        <v>0</v>
      </c>
      <c r="O68" s="18" t="n">
        <v>0</v>
      </c>
      <c r="P68" s="20" t="n">
        <v>0</v>
      </c>
      <c r="Q68" s="18" t="n">
        <v>2.05025776</v>
      </c>
      <c r="R68" s="20" t="n">
        <v>0.3140891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(5331.0/B70*100)</f>
        <v/>
      </c>
      <c r="D70" s="19" t="n">
        <v>705</v>
      </c>
      <c r="E70" s="18" t="n">
        <v>69.69994865</v>
      </c>
      <c r="F70" s="20" t="n">
        <v>1.47136694</v>
      </c>
      <c r="G70" s="18" t="n">
        <v>29.46254219</v>
      </c>
      <c r="H70" s="20" t="n">
        <v>1.51864686</v>
      </c>
      <c r="I70" s="18" t="s">
        <v>349</v>
      </c>
      <c r="J70" s="20" t="s">
        <v>349</v>
      </c>
      <c r="K70" s="18" t="n">
        <v>0.20168393</v>
      </c>
      <c r="L70" s="20" t="n">
        <v>0.13501886</v>
      </c>
      <c r="M70" s="18" t="n">
        <v>0</v>
      </c>
      <c r="N70" s="20" t="n">
        <v>0</v>
      </c>
      <c r="O70" s="18" t="n">
        <v>0</v>
      </c>
      <c r="P70" s="20" t="n">
        <v>0</v>
      </c>
      <c r="Q70" s="18" t="n">
        <v>0.63582523</v>
      </c>
      <c r="R70" s="20" t="n">
        <v>0.27267029</v>
      </c>
    </row>
    <row r="71" spans="1:18">
      <c r="A71" s="15" t="s">
        <v>413</v>
      </c>
      <c r="B71" s="17" t="n">
        <v>6115</v>
      </c>
      <c r="C71" s="18">
        <f>(5376.0/B71*100)</f>
        <v/>
      </c>
      <c r="D71" s="19" t="n">
        <v>739</v>
      </c>
      <c r="E71" s="18" t="n">
        <v>50.81791276</v>
      </c>
      <c r="F71" s="20" t="n">
        <v>1.98366483</v>
      </c>
      <c r="G71" s="18" t="n">
        <v>48.35655939</v>
      </c>
      <c r="H71" s="20" t="n">
        <v>1.95432311</v>
      </c>
      <c r="I71" s="18" t="s">
        <v>349</v>
      </c>
      <c r="J71" s="20" t="s">
        <v>349</v>
      </c>
      <c r="K71" s="18" t="n">
        <v>0.39752516</v>
      </c>
      <c r="L71" s="20" t="n">
        <v>0.2300664</v>
      </c>
      <c r="M71" s="18" t="n">
        <v>0</v>
      </c>
      <c r="N71" s="20" t="n">
        <v>0</v>
      </c>
      <c r="O71" s="18" t="n">
        <v>0</v>
      </c>
      <c r="P71" s="20" t="n">
        <v>0</v>
      </c>
      <c r="Q71" s="18" t="n">
        <v>0.42800269</v>
      </c>
      <c r="R71" s="20" t="n">
        <v>0.24664552</v>
      </c>
    </row>
    <row r="72" spans="1:18">
      <c r="A72" s="15" t="s">
        <v>414</v>
      </c>
      <c r="B72" s="17" t="n">
        <v>7708</v>
      </c>
      <c r="C72" s="18">
        <f>(6768.0/B72*100)</f>
        <v/>
      </c>
      <c r="D72" s="19" t="n">
        <v>940</v>
      </c>
      <c r="E72" s="18" t="n">
        <v>57.21506813</v>
      </c>
      <c r="F72" s="20" t="n">
        <v>1.91634027</v>
      </c>
      <c r="G72" s="18" t="n">
        <v>42.34665731</v>
      </c>
      <c r="H72" s="20" t="n">
        <v>1.91866895</v>
      </c>
      <c r="I72" s="18" t="s">
        <v>349</v>
      </c>
      <c r="J72" s="20" t="s">
        <v>349</v>
      </c>
      <c r="K72" s="18" t="n">
        <v>0.28397783</v>
      </c>
      <c r="L72" s="20" t="n">
        <v>0.20036399</v>
      </c>
      <c r="M72" s="18" t="n">
        <v>0</v>
      </c>
      <c r="N72" s="20" t="n">
        <v>0</v>
      </c>
      <c r="O72" s="18" t="n">
        <v>0</v>
      </c>
      <c r="P72" s="20" t="n">
        <v>0</v>
      </c>
      <c r="Q72" s="18" t="n">
        <v>0.15429673</v>
      </c>
      <c r="R72" s="20" t="n">
        <v>0.09915959000000001</v>
      </c>
    </row>
    <row r="73" spans="1:18">
      <c r="A73" s="15" t="s">
        <v>415</v>
      </c>
      <c r="B73" s="17" t="n">
        <v>8249</v>
      </c>
      <c r="C73" s="18">
        <f>(7244.0/B73*100)</f>
        <v/>
      </c>
      <c r="D73" s="19" t="n">
        <v>1005</v>
      </c>
      <c r="E73" s="18" t="n">
        <v>86.42075955</v>
      </c>
      <c r="F73" s="20" t="n">
        <v>1.30368737</v>
      </c>
      <c r="G73" s="18" t="n">
        <v>13.53120969</v>
      </c>
      <c r="H73" s="20" t="n">
        <v>1.30233315</v>
      </c>
      <c r="I73" s="18" t="s">
        <v>349</v>
      </c>
      <c r="J73" s="20" t="s">
        <v>349</v>
      </c>
      <c r="K73" s="18" t="n">
        <v>0.03532689</v>
      </c>
      <c r="L73" s="20" t="n">
        <v>0.03716205</v>
      </c>
      <c r="M73" s="18" t="n">
        <v>0</v>
      </c>
      <c r="N73" s="20" t="n">
        <v>0</v>
      </c>
      <c r="O73" s="18" t="n">
        <v>0</v>
      </c>
      <c r="P73" s="20" t="n">
        <v>0</v>
      </c>
      <c r="Q73" s="18" t="n">
        <v>0.01270387</v>
      </c>
      <c r="R73" s="20" t="n">
        <v>0.00945791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(4779.0/B75*100)</f>
        <v/>
      </c>
      <c r="D75" s="19" t="n">
        <v>596</v>
      </c>
      <c r="E75" s="18" t="n">
        <v>76.58040063999999</v>
      </c>
      <c r="F75" s="20" t="n">
        <v>1.93014544</v>
      </c>
      <c r="G75" s="18" t="n">
        <v>18.56382641</v>
      </c>
      <c r="H75" s="20" t="n">
        <v>1.53614344</v>
      </c>
      <c r="I75" s="18" t="s">
        <v>349</v>
      </c>
      <c r="J75" s="20" t="s">
        <v>349</v>
      </c>
      <c r="K75" s="18" t="n">
        <v>1.59452078</v>
      </c>
      <c r="L75" s="20" t="n">
        <v>0.51014209</v>
      </c>
      <c r="M75" s="18" t="n">
        <v>0</v>
      </c>
      <c r="N75" s="20" t="n">
        <v>0</v>
      </c>
      <c r="O75" s="18" t="n">
        <v>0</v>
      </c>
      <c r="P75" s="20" t="n">
        <v>0</v>
      </c>
      <c r="Q75" s="18" t="n">
        <v>3.26125217</v>
      </c>
      <c r="R75" s="20" t="n">
        <v>1.02962167</v>
      </c>
    </row>
    <row r="76" spans="1:18">
      <c r="A76" s="15" t="s">
        <v>418</v>
      </c>
      <c r="B76" s="17" t="n">
        <v>14167</v>
      </c>
      <c r="C76" s="18">
        <f>(12469.0/B76*100)</f>
        <v/>
      </c>
      <c r="D76" s="19" t="n">
        <v>1698</v>
      </c>
      <c r="E76" s="18" t="n">
        <v>69.05648724</v>
      </c>
      <c r="F76" s="20" t="n">
        <v>1.38377676</v>
      </c>
      <c r="G76" s="18" t="n">
        <v>28.98042891</v>
      </c>
      <c r="H76" s="20" t="n">
        <v>1.28773766</v>
      </c>
      <c r="I76" s="18" t="s">
        <v>349</v>
      </c>
      <c r="J76" s="20" t="s">
        <v>349</v>
      </c>
      <c r="K76" s="18" t="n">
        <v>1.03429255</v>
      </c>
      <c r="L76" s="20" t="n">
        <v>0.26279363</v>
      </c>
      <c r="M76" s="18" t="n">
        <v>0</v>
      </c>
      <c r="N76" s="20" t="n">
        <v>0</v>
      </c>
      <c r="O76" s="18" t="n">
        <v>0</v>
      </c>
      <c r="P76" s="20" t="n">
        <v>0</v>
      </c>
      <c r="Q76" s="18" t="n">
        <v>0.92879131</v>
      </c>
      <c r="R76" s="20" t="n">
        <v>0.26127661</v>
      </c>
    </row>
    <row r="77" spans="1:18">
      <c r="A77" s="15" t="s">
        <v>419</v>
      </c>
      <c r="B77" s="17" t="n">
        <v>6062</v>
      </c>
      <c r="C77" s="18">
        <f>(5339.0/B77*100)</f>
        <v/>
      </c>
      <c r="D77" s="19" t="n">
        <v>723</v>
      </c>
      <c r="E77" s="18" t="n">
        <v>75.15717839</v>
      </c>
      <c r="F77" s="20" t="n">
        <v>1.77975924</v>
      </c>
      <c r="G77" s="18" t="n">
        <v>20.4273649</v>
      </c>
      <c r="H77" s="20" t="n">
        <v>1.79826566</v>
      </c>
      <c r="I77" s="18" t="s">
        <v>349</v>
      </c>
      <c r="J77" s="20" t="s">
        <v>349</v>
      </c>
      <c r="K77" s="18" t="n">
        <v>0.91030467</v>
      </c>
      <c r="L77" s="20" t="n">
        <v>0.35343938</v>
      </c>
      <c r="M77" s="18" t="n">
        <v>0</v>
      </c>
      <c r="N77" s="20" t="n">
        <v>0</v>
      </c>
      <c r="O77" s="18" t="n">
        <v>0</v>
      </c>
      <c r="P77" s="20" t="n">
        <v>0</v>
      </c>
      <c r="Q77" s="18" t="n">
        <v>3.50515204</v>
      </c>
      <c r="R77" s="20" t="n">
        <v>0.62629708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(7778.0/B81*100)</f>
        <v/>
      </c>
      <c r="D81" s="19" t="n">
        <v>1083</v>
      </c>
      <c r="E81" s="18" t="n">
        <v>81.13164925</v>
      </c>
      <c r="F81" s="20" t="n">
        <v>1.33547708</v>
      </c>
      <c r="G81" s="18" t="n">
        <v>18.45226865</v>
      </c>
      <c r="H81" s="20" t="n">
        <v>1.34911195</v>
      </c>
      <c r="I81" s="18" t="s">
        <v>349</v>
      </c>
      <c r="J81" s="20" t="s">
        <v>349</v>
      </c>
      <c r="K81" s="18" t="n">
        <v>0.4160821</v>
      </c>
      <c r="L81" s="20" t="n">
        <v>0.38841939</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(12848.0/B7*100)</f>
        <v/>
      </c>
      <c r="D7" s="19" t="n">
        <v>1682</v>
      </c>
      <c r="E7" s="18" t="n">
        <v>54.25862524</v>
      </c>
      <c r="F7" s="20" t="n">
        <v>1.432887</v>
      </c>
      <c r="G7" s="18" t="n">
        <v>42.50115967</v>
      </c>
      <c r="H7" s="20" t="n">
        <v>1.41018834</v>
      </c>
      <c r="I7" s="18" t="s">
        <v>349</v>
      </c>
      <c r="J7" s="20" t="s">
        <v>349</v>
      </c>
      <c r="K7" s="18" t="n">
        <v>0.90658337</v>
      </c>
      <c r="L7" s="20" t="n">
        <v>0.25069746</v>
      </c>
      <c r="M7" s="18" t="n">
        <v>0</v>
      </c>
      <c r="N7" s="20" t="n">
        <v>0</v>
      </c>
      <c r="O7" s="18" t="n">
        <v>0</v>
      </c>
      <c r="P7" s="20" t="n">
        <v>0</v>
      </c>
      <c r="Q7" s="18" t="n">
        <v>2.33363173</v>
      </c>
      <c r="R7" s="20" t="n">
        <v>0.40674449</v>
      </c>
    </row>
    <row r="8" spans="1:18">
      <c r="A8" s="15" t="s">
        <v>350</v>
      </c>
      <c r="B8" s="17" t="n">
        <v>7007</v>
      </c>
      <c r="C8" s="18">
        <f>(6173.0/B8*100)</f>
        <v/>
      </c>
      <c r="D8" s="19" t="n">
        <v>834</v>
      </c>
      <c r="E8" s="18" t="n">
        <v>45.74734933</v>
      </c>
      <c r="F8" s="20" t="n">
        <v>1.75299354</v>
      </c>
      <c r="G8" s="18" t="n">
        <v>49.86444923</v>
      </c>
      <c r="H8" s="20" t="n">
        <v>1.84018303</v>
      </c>
      <c r="I8" s="18" t="s">
        <v>349</v>
      </c>
      <c r="J8" s="20" t="s">
        <v>349</v>
      </c>
      <c r="K8" s="18" t="n">
        <v>0.56298937</v>
      </c>
      <c r="L8" s="20" t="n">
        <v>0.30544908</v>
      </c>
      <c r="M8" s="18" t="n">
        <v>0</v>
      </c>
      <c r="N8" s="20" t="n">
        <v>0</v>
      </c>
      <c r="O8" s="18" t="n">
        <v>0</v>
      </c>
      <c r="P8" s="20" t="n">
        <v>0</v>
      </c>
      <c r="Q8" s="18" t="n">
        <v>3.82521207</v>
      </c>
      <c r="R8" s="20" t="n">
        <v>0.72554399</v>
      </c>
    </row>
    <row r="9" spans="1:18">
      <c r="A9" s="15" t="s">
        <v>351</v>
      </c>
      <c r="B9" s="17" t="n">
        <v>9651</v>
      </c>
      <c r="C9" s="18">
        <f>(8526.0/B9*100)</f>
        <v/>
      </c>
      <c r="D9" s="19" t="n">
        <v>1125</v>
      </c>
      <c r="E9" s="18" t="n">
        <v>45.75163906</v>
      </c>
      <c r="F9" s="20" t="n">
        <v>1.55687116</v>
      </c>
      <c r="G9" s="18" t="n">
        <v>49.46823404</v>
      </c>
      <c r="H9" s="20" t="n">
        <v>1.61443438</v>
      </c>
      <c r="I9" s="18" t="s">
        <v>349</v>
      </c>
      <c r="J9" s="20" t="s">
        <v>349</v>
      </c>
      <c r="K9" s="18" t="n">
        <v>0.63025273</v>
      </c>
      <c r="L9" s="20" t="n">
        <v>0.28975502</v>
      </c>
      <c r="M9" s="18" t="n">
        <v>0</v>
      </c>
      <c r="N9" s="20" t="n">
        <v>0</v>
      </c>
      <c r="O9" s="18" t="n">
        <v>0</v>
      </c>
      <c r="P9" s="20" t="n">
        <v>0</v>
      </c>
      <c r="Q9" s="18" t="n">
        <v>4.14987417</v>
      </c>
      <c r="R9" s="20" t="n">
        <v>0.6165979</v>
      </c>
    </row>
    <row r="10" spans="1:18">
      <c r="A10" s="15" t="s">
        <v>352</v>
      </c>
      <c r="B10" s="17" t="n">
        <v>20058</v>
      </c>
      <c r="C10" s="18">
        <f>(17619.0/B10*100)</f>
        <v/>
      </c>
      <c r="D10" s="19" t="n">
        <v>2439</v>
      </c>
      <c r="E10" s="18" t="n">
        <v>52.43571569</v>
      </c>
      <c r="F10" s="20" t="n">
        <v>1.45677245</v>
      </c>
      <c r="G10" s="18" t="n">
        <v>45.76953077</v>
      </c>
      <c r="H10" s="20" t="n">
        <v>1.52092817</v>
      </c>
      <c r="I10" s="18" t="s">
        <v>349</v>
      </c>
      <c r="J10" s="20" t="s">
        <v>349</v>
      </c>
      <c r="K10" s="18" t="n">
        <v>0.6546985400000001</v>
      </c>
      <c r="L10" s="20" t="n">
        <v>0.22418884</v>
      </c>
      <c r="M10" s="18" t="n">
        <v>0</v>
      </c>
      <c r="N10" s="20" t="n">
        <v>0</v>
      </c>
      <c r="O10" s="18" t="n">
        <v>0</v>
      </c>
      <c r="P10" s="20" t="n">
        <v>0</v>
      </c>
      <c r="Q10" s="18" t="n">
        <v>1.140055</v>
      </c>
      <c r="R10" s="20" t="n">
        <v>0.24639991</v>
      </c>
    </row>
    <row r="11" spans="1:18">
      <c r="A11" s="15" t="s">
        <v>353</v>
      </c>
      <c r="B11" s="17" t="n">
        <v>7053</v>
      </c>
      <c r="C11" s="18">
        <f>(6225.0/B11*100)</f>
        <v/>
      </c>
      <c r="D11" s="19" t="n">
        <v>828</v>
      </c>
      <c r="E11" s="18" t="n">
        <v>66.80872364</v>
      </c>
      <c r="F11" s="20" t="n">
        <v>1.96294604</v>
      </c>
      <c r="G11" s="18" t="n">
        <v>29.07330508</v>
      </c>
      <c r="H11" s="20" t="n">
        <v>1.9264808</v>
      </c>
      <c r="I11" s="18" t="s">
        <v>349</v>
      </c>
      <c r="J11" s="20" t="s">
        <v>349</v>
      </c>
      <c r="K11" s="18" t="n">
        <v>0.93362586</v>
      </c>
      <c r="L11" s="20" t="n">
        <v>0.26575193</v>
      </c>
      <c r="M11" s="18" t="n">
        <v>0</v>
      </c>
      <c r="N11" s="20" t="n">
        <v>0</v>
      </c>
      <c r="O11" s="18" t="n">
        <v>0</v>
      </c>
      <c r="P11" s="20" t="n">
        <v>0</v>
      </c>
      <c r="Q11" s="18" t="n">
        <v>3.18434542</v>
      </c>
      <c r="R11" s="20" t="n">
        <v>0.73990642</v>
      </c>
    </row>
    <row r="12" spans="1:18">
      <c r="A12" s="15" t="s">
        <v>354</v>
      </c>
      <c r="B12" s="17" t="n">
        <v>6894</v>
      </c>
      <c r="C12" s="18">
        <f>(6065.0/B12*100)</f>
        <v/>
      </c>
      <c r="D12" s="19" t="n">
        <v>829</v>
      </c>
      <c r="E12" s="18" t="n">
        <v>49.29672013</v>
      </c>
      <c r="F12" s="20" t="n">
        <v>2.24479669</v>
      </c>
      <c r="G12" s="18" t="n">
        <v>46.55573274</v>
      </c>
      <c r="H12" s="20" t="n">
        <v>2.24166403</v>
      </c>
      <c r="I12" s="18" t="s">
        <v>349</v>
      </c>
      <c r="J12" s="20" t="s">
        <v>349</v>
      </c>
      <c r="K12" s="18" t="n">
        <v>0.06040226</v>
      </c>
      <c r="L12" s="20" t="n">
        <v>0.06048643</v>
      </c>
      <c r="M12" s="18" t="n">
        <v>0</v>
      </c>
      <c r="N12" s="20" t="n">
        <v>0</v>
      </c>
      <c r="O12" s="18" t="n">
        <v>0</v>
      </c>
      <c r="P12" s="20" t="n">
        <v>0</v>
      </c>
      <c r="Q12" s="18" t="n">
        <v>4.08714487</v>
      </c>
      <c r="R12" s="20" t="n">
        <v>0.83267664</v>
      </c>
    </row>
    <row r="13" spans="1:18">
      <c r="A13" s="15" t="s">
        <v>355</v>
      </c>
      <c r="B13" s="17" t="n">
        <v>7161</v>
      </c>
      <c r="C13" s="18">
        <f>(6345.0/B13*100)</f>
        <v/>
      </c>
      <c r="D13" s="19" t="n">
        <v>816</v>
      </c>
      <c r="E13" s="18" t="n">
        <v>49.07785597</v>
      </c>
      <c r="F13" s="20" t="n">
        <v>2.24429155</v>
      </c>
      <c r="G13" s="18" t="n">
        <v>46.88721948</v>
      </c>
      <c r="H13" s="20" t="n">
        <v>2.28440196</v>
      </c>
      <c r="I13" s="18" t="s">
        <v>349</v>
      </c>
      <c r="J13" s="20" t="s">
        <v>349</v>
      </c>
      <c r="K13" s="18" t="n">
        <v>1.04318459</v>
      </c>
      <c r="L13" s="20" t="n">
        <v>0.44526521</v>
      </c>
      <c r="M13" s="18" t="n">
        <v>0</v>
      </c>
      <c r="N13" s="20" t="n">
        <v>0</v>
      </c>
      <c r="O13" s="18" t="n">
        <v>0</v>
      </c>
      <c r="P13" s="20" t="n">
        <v>0</v>
      </c>
      <c r="Q13" s="18" t="n">
        <v>2.99173996</v>
      </c>
      <c r="R13" s="20" t="n">
        <v>0.59201654</v>
      </c>
    </row>
    <row r="14" spans="1:18">
      <c r="A14" s="15" t="s">
        <v>356</v>
      </c>
      <c r="B14" s="17" t="n">
        <v>5587</v>
      </c>
      <c r="C14" s="18">
        <f>(4898.0/B14*100)</f>
        <v/>
      </c>
      <c r="D14" s="19" t="n">
        <v>689</v>
      </c>
      <c r="E14" s="18" t="n">
        <v>48.31485788</v>
      </c>
      <c r="F14" s="20" t="n">
        <v>2.11350302</v>
      </c>
      <c r="G14" s="18" t="n">
        <v>50.00879106</v>
      </c>
      <c r="H14" s="20" t="n">
        <v>2.07723055</v>
      </c>
      <c r="I14" s="18" t="s">
        <v>349</v>
      </c>
      <c r="J14" s="20" t="s">
        <v>349</v>
      </c>
      <c r="K14" s="18" t="n">
        <v>0.46558294</v>
      </c>
      <c r="L14" s="20" t="n">
        <v>0.22971638</v>
      </c>
      <c r="M14" s="18" t="n">
        <v>0</v>
      </c>
      <c r="N14" s="20" t="n">
        <v>0</v>
      </c>
      <c r="O14" s="18" t="n">
        <v>0</v>
      </c>
      <c r="P14" s="20" t="n">
        <v>0</v>
      </c>
      <c r="Q14" s="18" t="n">
        <v>1.21076811</v>
      </c>
      <c r="R14" s="20" t="n">
        <v>0.42604889</v>
      </c>
    </row>
    <row r="15" spans="1:18">
      <c r="A15" s="15" t="s">
        <v>357</v>
      </c>
      <c r="B15" s="17" t="n">
        <v>5882</v>
      </c>
      <c r="C15" s="18">
        <f>(5160.0/B15*100)</f>
        <v/>
      </c>
      <c r="D15" s="19" t="n">
        <v>722</v>
      </c>
      <c r="E15" s="18" t="n">
        <v>48.58627006</v>
      </c>
      <c r="F15" s="20" t="n">
        <v>2.20118993</v>
      </c>
      <c r="G15" s="18" t="n">
        <v>47.74307313</v>
      </c>
      <c r="H15" s="20" t="n">
        <v>2.1911663</v>
      </c>
      <c r="I15" s="18" t="s">
        <v>349</v>
      </c>
      <c r="J15" s="20" t="s">
        <v>349</v>
      </c>
      <c r="K15" s="18" t="n">
        <v>0.5142343700000001</v>
      </c>
      <c r="L15" s="20" t="n">
        <v>0.19476284</v>
      </c>
      <c r="M15" s="18" t="n">
        <v>0</v>
      </c>
      <c r="N15" s="20" t="n">
        <v>0</v>
      </c>
      <c r="O15" s="18" t="n">
        <v>0</v>
      </c>
      <c r="P15" s="20" t="n">
        <v>0</v>
      </c>
      <c r="Q15" s="18" t="n">
        <v>3.15642244</v>
      </c>
      <c r="R15" s="20" t="n">
        <v>0.6907116599999999</v>
      </c>
    </row>
    <row r="16" spans="1:18">
      <c r="A16" s="15" t="s">
        <v>358</v>
      </c>
      <c r="B16" s="17" t="n">
        <v>6108</v>
      </c>
      <c r="C16" s="18">
        <f>(5352.0/B16*100)</f>
        <v/>
      </c>
      <c r="D16" s="19" t="n">
        <v>756</v>
      </c>
      <c r="E16" s="18" t="n">
        <v>47.26508366</v>
      </c>
      <c r="F16" s="20" t="n">
        <v>1.7465579</v>
      </c>
      <c r="G16" s="18" t="n">
        <v>47.5226753</v>
      </c>
      <c r="H16" s="20" t="n">
        <v>1.87917307</v>
      </c>
      <c r="I16" s="18" t="s">
        <v>349</v>
      </c>
      <c r="J16" s="20" t="s">
        <v>349</v>
      </c>
      <c r="K16" s="18" t="n">
        <v>1.00904324</v>
      </c>
      <c r="L16" s="20" t="n">
        <v>0.36223146</v>
      </c>
      <c r="M16" s="18" t="n">
        <v>0</v>
      </c>
      <c r="N16" s="20" t="n">
        <v>0</v>
      </c>
      <c r="O16" s="18" t="n">
        <v>0</v>
      </c>
      <c r="P16" s="20" t="n">
        <v>0</v>
      </c>
      <c r="Q16" s="18" t="n">
        <v>4.2031978</v>
      </c>
      <c r="R16" s="20" t="n">
        <v>0.6895375</v>
      </c>
    </row>
    <row r="17" spans="1:18">
      <c r="A17" s="15" t="s">
        <v>359</v>
      </c>
      <c r="B17" s="17" t="n">
        <v>6504</v>
      </c>
      <c r="C17" s="18">
        <f>(5746.0/B17*100)</f>
        <v/>
      </c>
      <c r="D17" s="19" t="n">
        <v>758</v>
      </c>
      <c r="E17" s="18" t="n">
        <v>44.30250486</v>
      </c>
      <c r="F17" s="20" t="n">
        <v>1.86168613</v>
      </c>
      <c r="G17" s="18" t="n">
        <v>52.35714498</v>
      </c>
      <c r="H17" s="20" t="n">
        <v>1.95169461</v>
      </c>
      <c r="I17" s="18" t="s">
        <v>349</v>
      </c>
      <c r="J17" s="20" t="s">
        <v>349</v>
      </c>
      <c r="K17" s="18" t="n">
        <v>0.41746923</v>
      </c>
      <c r="L17" s="20" t="n">
        <v>0.21636163</v>
      </c>
      <c r="M17" s="18" t="n">
        <v>0</v>
      </c>
      <c r="N17" s="20" t="n">
        <v>0</v>
      </c>
      <c r="O17" s="18" t="n">
        <v>0</v>
      </c>
      <c r="P17" s="20" t="n">
        <v>0</v>
      </c>
      <c r="Q17" s="18" t="n">
        <v>2.92288094</v>
      </c>
      <c r="R17" s="20" t="n">
        <v>0.55623229</v>
      </c>
    </row>
    <row r="18" spans="1:18">
      <c r="A18" s="15" t="s">
        <v>360</v>
      </c>
      <c r="B18" s="17" t="n">
        <v>5532</v>
      </c>
      <c r="C18" s="18">
        <f>(4842.0/B18*100)</f>
        <v/>
      </c>
      <c r="D18" s="19" t="n">
        <v>690</v>
      </c>
      <c r="E18" s="18" t="n">
        <v>57.71085025</v>
      </c>
      <c r="F18" s="20" t="n">
        <v>2.30311382</v>
      </c>
      <c r="G18" s="18" t="n">
        <v>38.98909424</v>
      </c>
      <c r="H18" s="20" t="n">
        <v>2.184319</v>
      </c>
      <c r="I18" s="18" t="s">
        <v>349</v>
      </c>
      <c r="J18" s="20" t="s">
        <v>349</v>
      </c>
      <c r="K18" s="18" t="n">
        <v>0.69594316</v>
      </c>
      <c r="L18" s="20" t="n">
        <v>0.43223709</v>
      </c>
      <c r="M18" s="18" t="n">
        <v>0</v>
      </c>
      <c r="N18" s="20" t="n">
        <v>0</v>
      </c>
      <c r="O18" s="18" t="n">
        <v>0</v>
      </c>
      <c r="P18" s="20" t="n">
        <v>0</v>
      </c>
      <c r="Q18" s="18" t="n">
        <v>2.60411235</v>
      </c>
      <c r="R18" s="20" t="n">
        <v>0.60736188</v>
      </c>
    </row>
    <row r="19" spans="1:18">
      <c r="A19" s="15" t="s">
        <v>361</v>
      </c>
      <c r="B19" s="17" t="n">
        <v>5658</v>
      </c>
      <c r="C19" s="18">
        <f>(4961.0/B19*100)</f>
        <v/>
      </c>
      <c r="D19" s="19" t="n">
        <v>697</v>
      </c>
      <c r="E19" s="18" t="n">
        <v>56.77312174</v>
      </c>
      <c r="F19" s="20" t="n">
        <v>2.12330654</v>
      </c>
      <c r="G19" s="18" t="n">
        <v>41.41277724</v>
      </c>
      <c r="H19" s="20" t="n">
        <v>2.12440039</v>
      </c>
      <c r="I19" s="18" t="s">
        <v>349</v>
      </c>
      <c r="J19" s="20" t="s">
        <v>349</v>
      </c>
      <c r="K19" s="18" t="n">
        <v>0</v>
      </c>
      <c r="L19" s="20" t="n">
        <v>0</v>
      </c>
      <c r="M19" s="18" t="n">
        <v>0</v>
      </c>
      <c r="N19" s="20" t="n">
        <v>0</v>
      </c>
      <c r="O19" s="18" t="n">
        <v>0</v>
      </c>
      <c r="P19" s="20" t="n">
        <v>0</v>
      </c>
      <c r="Q19" s="18" t="n">
        <v>1.81410102</v>
      </c>
      <c r="R19" s="20" t="n">
        <v>0.54391109</v>
      </c>
    </row>
    <row r="20" spans="1:18">
      <c r="A20" s="15" t="s">
        <v>362</v>
      </c>
      <c r="B20" s="17" t="n">
        <v>3371</v>
      </c>
      <c r="C20" s="18">
        <f>(2959.0/B20*100)</f>
        <v/>
      </c>
      <c r="D20" s="19" t="n">
        <v>412</v>
      </c>
      <c r="E20" s="18" t="n">
        <v>62.04247351</v>
      </c>
      <c r="F20" s="20" t="n">
        <v>2.5575214</v>
      </c>
      <c r="G20" s="18" t="n">
        <v>35.27726463</v>
      </c>
      <c r="H20" s="20" t="n">
        <v>2.37159823</v>
      </c>
      <c r="I20" s="18" t="s">
        <v>349</v>
      </c>
      <c r="J20" s="20" t="s">
        <v>349</v>
      </c>
      <c r="K20" s="18" t="n">
        <v>0.46520085</v>
      </c>
      <c r="L20" s="20" t="n">
        <v>0.33892199</v>
      </c>
      <c r="M20" s="18" t="n">
        <v>0</v>
      </c>
      <c r="N20" s="20" t="n">
        <v>0</v>
      </c>
      <c r="O20" s="18" t="n">
        <v>0</v>
      </c>
      <c r="P20" s="20" t="n">
        <v>0</v>
      </c>
      <c r="Q20" s="18" t="n">
        <v>2.21506101</v>
      </c>
      <c r="R20" s="20" t="n">
        <v>0.7480326899999999</v>
      </c>
    </row>
    <row r="21" spans="1:18">
      <c r="A21" s="15" t="s">
        <v>363</v>
      </c>
      <c r="B21" s="17" t="n">
        <v>5741</v>
      </c>
      <c r="C21" s="18">
        <f>(4787.0/B21*100)</f>
        <v/>
      </c>
      <c r="D21" s="19" t="n">
        <v>954</v>
      </c>
      <c r="E21" s="18" t="n">
        <v>54.09555038</v>
      </c>
      <c r="F21" s="20" t="n">
        <v>1.68100953</v>
      </c>
      <c r="G21" s="18" t="n">
        <v>44.13104427</v>
      </c>
      <c r="H21" s="20" t="n">
        <v>1.68892527</v>
      </c>
      <c r="I21" s="18" t="s">
        <v>349</v>
      </c>
      <c r="J21" s="20" t="s">
        <v>349</v>
      </c>
      <c r="K21" s="18" t="n">
        <v>0.19066015</v>
      </c>
      <c r="L21" s="20" t="n">
        <v>0.13394515</v>
      </c>
      <c r="M21" s="18" t="n">
        <v>0</v>
      </c>
      <c r="N21" s="20" t="n">
        <v>0</v>
      </c>
      <c r="O21" s="18" t="n">
        <v>0</v>
      </c>
      <c r="P21" s="20" t="n">
        <v>0</v>
      </c>
      <c r="Q21" s="18" t="n">
        <v>1.5827452</v>
      </c>
      <c r="R21" s="20" t="n">
        <v>0.46576061</v>
      </c>
    </row>
    <row r="22" spans="1:18">
      <c r="A22" s="15" t="s">
        <v>364</v>
      </c>
      <c r="B22" s="17" t="n">
        <v>6598</v>
      </c>
      <c r="C22" s="18">
        <f>(5795.0/B22*100)</f>
        <v/>
      </c>
      <c r="D22" s="19" t="n">
        <v>803</v>
      </c>
      <c r="E22" s="18" t="n">
        <v>59.35468261</v>
      </c>
      <c r="F22" s="20" t="n">
        <v>1.90845608</v>
      </c>
      <c r="G22" s="18" t="n">
        <v>36.23503382</v>
      </c>
      <c r="H22" s="20" t="n">
        <v>1.71698524</v>
      </c>
      <c r="I22" s="18" t="s">
        <v>349</v>
      </c>
      <c r="J22" s="20" t="s">
        <v>349</v>
      </c>
      <c r="K22" s="18" t="n">
        <v>0.64181818</v>
      </c>
      <c r="L22" s="20" t="n">
        <v>0.31754095</v>
      </c>
      <c r="M22" s="18" t="n">
        <v>0</v>
      </c>
      <c r="N22" s="20" t="n">
        <v>0</v>
      </c>
      <c r="O22" s="18" t="n">
        <v>0</v>
      </c>
      <c r="P22" s="20" t="n">
        <v>0</v>
      </c>
      <c r="Q22" s="18" t="n">
        <v>3.76846539</v>
      </c>
      <c r="R22" s="20" t="n">
        <v>0.7129526899999999</v>
      </c>
    </row>
    <row r="23" spans="1:18">
      <c r="A23" s="15" t="s">
        <v>365</v>
      </c>
      <c r="B23" s="17" t="n">
        <v>11583</v>
      </c>
      <c r="C23" s="18">
        <f>(10173.0/B23*100)</f>
        <v/>
      </c>
      <c r="D23" s="19" t="n">
        <v>1410</v>
      </c>
      <c r="E23" s="18" t="n">
        <v>51.76460891</v>
      </c>
      <c r="F23" s="20" t="n">
        <v>1.81352166</v>
      </c>
      <c r="G23" s="18" t="n">
        <v>44.33829745</v>
      </c>
      <c r="H23" s="20" t="n">
        <v>1.77573956</v>
      </c>
      <c r="I23" s="18" t="s">
        <v>349</v>
      </c>
      <c r="J23" s="20" t="s">
        <v>349</v>
      </c>
      <c r="K23" s="18" t="n">
        <v>0.32240564</v>
      </c>
      <c r="L23" s="20" t="n">
        <v>0.22462072</v>
      </c>
      <c r="M23" s="18" t="n">
        <v>0</v>
      </c>
      <c r="N23" s="20" t="n">
        <v>0</v>
      </c>
      <c r="O23" s="18" t="n">
        <v>0</v>
      </c>
      <c r="P23" s="20" t="n">
        <v>0</v>
      </c>
      <c r="Q23" s="18" t="n">
        <v>3.57468799</v>
      </c>
      <c r="R23" s="20" t="n">
        <v>0.74551685</v>
      </c>
    </row>
    <row r="24" spans="1:18">
      <c r="A24" s="15" t="s">
        <v>366</v>
      </c>
      <c r="B24" s="17" t="n">
        <v>6647</v>
      </c>
      <c r="C24" s="18">
        <f>(5817.0/B24*100)</f>
        <v/>
      </c>
      <c r="D24" s="19" t="n">
        <v>830</v>
      </c>
      <c r="E24" s="18" t="n">
        <v>44.69888357</v>
      </c>
      <c r="F24" s="20" t="n">
        <v>1.80296294</v>
      </c>
      <c r="G24" s="18" t="n">
        <v>53.47662579</v>
      </c>
      <c r="H24" s="20" t="n">
        <v>1.84142753</v>
      </c>
      <c r="I24" s="18" t="s">
        <v>349</v>
      </c>
      <c r="J24" s="20" t="s">
        <v>349</v>
      </c>
      <c r="K24" s="18" t="n">
        <v>0.11129052</v>
      </c>
      <c r="L24" s="20" t="n">
        <v>0.11244862</v>
      </c>
      <c r="M24" s="18" t="n">
        <v>0</v>
      </c>
      <c r="N24" s="20" t="n">
        <v>0</v>
      </c>
      <c r="O24" s="18" t="n">
        <v>0</v>
      </c>
      <c r="P24" s="20" t="n">
        <v>0</v>
      </c>
      <c r="Q24" s="18" t="n">
        <v>1.71320013</v>
      </c>
      <c r="R24" s="20" t="n">
        <v>0.41489306</v>
      </c>
    </row>
    <row r="25" spans="1:18">
      <c r="A25" s="15" t="s">
        <v>367</v>
      </c>
      <c r="B25" s="17" t="n">
        <v>5581</v>
      </c>
      <c r="C25" s="18">
        <f>(4906.0/B25*100)</f>
        <v/>
      </c>
      <c r="D25" s="19" t="n">
        <v>675</v>
      </c>
      <c r="E25" s="18" t="n">
        <v>48.78972661</v>
      </c>
      <c r="F25" s="20" t="n">
        <v>2.27375114</v>
      </c>
      <c r="G25" s="18" t="n">
        <v>50.00685308</v>
      </c>
      <c r="H25" s="20" t="n">
        <v>2.27774763</v>
      </c>
      <c r="I25" s="18" t="s">
        <v>349</v>
      </c>
      <c r="J25" s="20" t="s">
        <v>349</v>
      </c>
      <c r="K25" s="18" t="n">
        <v>0</v>
      </c>
      <c r="L25" s="20" t="n">
        <v>0</v>
      </c>
      <c r="M25" s="18" t="n">
        <v>0</v>
      </c>
      <c r="N25" s="20" t="n">
        <v>0</v>
      </c>
      <c r="O25" s="18" t="n">
        <v>0</v>
      </c>
      <c r="P25" s="20" t="n">
        <v>0</v>
      </c>
      <c r="Q25" s="18" t="n">
        <v>1.20342031</v>
      </c>
      <c r="R25" s="20" t="n">
        <v>0.43710424</v>
      </c>
    </row>
    <row r="26" spans="1:18">
      <c r="A26" s="15" t="s">
        <v>368</v>
      </c>
      <c r="B26" s="17" t="n">
        <v>4869</v>
      </c>
      <c r="C26" s="18">
        <f>(4287.0/B26*100)</f>
        <v/>
      </c>
      <c r="D26" s="19" t="n">
        <v>582</v>
      </c>
      <c r="E26" s="18" t="n">
        <v>46.54546095</v>
      </c>
      <c r="F26" s="20" t="n">
        <v>2.06842639</v>
      </c>
      <c r="G26" s="18" t="n">
        <v>52.55884134</v>
      </c>
      <c r="H26" s="20" t="n">
        <v>2.01778662</v>
      </c>
      <c r="I26" s="18" t="s">
        <v>349</v>
      </c>
      <c r="J26" s="20" t="s">
        <v>349</v>
      </c>
      <c r="K26" s="18" t="n">
        <v>0.13264128</v>
      </c>
      <c r="L26" s="20" t="n">
        <v>0.18073284</v>
      </c>
      <c r="M26" s="18" t="n">
        <v>0</v>
      </c>
      <c r="N26" s="20" t="n">
        <v>0</v>
      </c>
      <c r="O26" s="18" t="n">
        <v>0</v>
      </c>
      <c r="P26" s="20" t="n">
        <v>0</v>
      </c>
      <c r="Q26" s="18" t="n">
        <v>0.76305643</v>
      </c>
      <c r="R26" s="20" t="n">
        <v>0.39029516</v>
      </c>
    </row>
    <row r="27" spans="1:18">
      <c r="A27" s="15" t="s">
        <v>369</v>
      </c>
      <c r="B27" s="17" t="n">
        <v>5299</v>
      </c>
      <c r="C27" s="18">
        <f>(4669.0/B27*100)</f>
        <v/>
      </c>
      <c r="D27" s="19" t="n">
        <v>630</v>
      </c>
      <c r="E27" s="18" t="n">
        <v>49.96249186</v>
      </c>
      <c r="F27" s="20" t="n">
        <v>2.1697399</v>
      </c>
      <c r="G27" s="18" t="n">
        <v>45.61165999</v>
      </c>
      <c r="H27" s="20" t="n">
        <v>2.25345118</v>
      </c>
      <c r="I27" s="18" t="s">
        <v>349</v>
      </c>
      <c r="J27" s="20" t="s">
        <v>349</v>
      </c>
      <c r="K27" s="18" t="n">
        <v>0.4847765</v>
      </c>
      <c r="L27" s="20" t="n">
        <v>0.27779165</v>
      </c>
      <c r="M27" s="18" t="n">
        <v>0</v>
      </c>
      <c r="N27" s="20" t="n">
        <v>0</v>
      </c>
      <c r="O27" s="18" t="n">
        <v>0</v>
      </c>
      <c r="P27" s="20" t="n">
        <v>0</v>
      </c>
      <c r="Q27" s="18" t="n">
        <v>3.94107165</v>
      </c>
      <c r="R27" s="20" t="n">
        <v>0.76065498</v>
      </c>
    </row>
    <row r="28" spans="1:18">
      <c r="A28" s="15" t="s">
        <v>370</v>
      </c>
      <c r="B28" s="17" t="n">
        <v>7568</v>
      </c>
      <c r="C28" s="18">
        <f>(6737.0/B28*100)</f>
        <v/>
      </c>
      <c r="D28" s="19" t="n">
        <v>831</v>
      </c>
      <c r="E28" s="18" t="n">
        <v>74.26601186000001</v>
      </c>
      <c r="F28" s="20" t="n">
        <v>1.78177438</v>
      </c>
      <c r="G28" s="18" t="n">
        <v>22.82969176</v>
      </c>
      <c r="H28" s="20" t="n">
        <v>1.64402053</v>
      </c>
      <c r="I28" s="18" t="s">
        <v>349</v>
      </c>
      <c r="J28" s="20" t="s">
        <v>349</v>
      </c>
      <c r="K28" s="18" t="n">
        <v>1.28117968</v>
      </c>
      <c r="L28" s="20" t="n">
        <v>0.66153305</v>
      </c>
      <c r="M28" s="18" t="n">
        <v>0</v>
      </c>
      <c r="N28" s="20" t="n">
        <v>0</v>
      </c>
      <c r="O28" s="18" t="n">
        <v>0</v>
      </c>
      <c r="P28" s="20" t="n">
        <v>0</v>
      </c>
      <c r="Q28" s="18" t="n">
        <v>1.6231167</v>
      </c>
      <c r="R28" s="20" t="n">
        <v>0.49299525</v>
      </c>
    </row>
    <row r="29" spans="1:18">
      <c r="A29" s="15" t="s">
        <v>371</v>
      </c>
      <c r="B29" s="17" t="n">
        <v>5385</v>
      </c>
      <c r="C29" s="18">
        <f>(4755.0/B29*100)</f>
        <v/>
      </c>
      <c r="D29" s="19" t="n">
        <v>630</v>
      </c>
      <c r="E29" s="18" t="n">
        <v>50.68085047</v>
      </c>
      <c r="F29" s="20" t="n">
        <v>1.8999874</v>
      </c>
      <c r="G29" s="18" t="n">
        <v>47.84712458</v>
      </c>
      <c r="H29" s="20" t="n">
        <v>1.88847389</v>
      </c>
      <c r="I29" s="18" t="s">
        <v>349</v>
      </c>
      <c r="J29" s="20" t="s">
        <v>349</v>
      </c>
      <c r="K29" s="18" t="n">
        <v>0.16168784</v>
      </c>
      <c r="L29" s="20" t="n">
        <v>0.16030023</v>
      </c>
      <c r="M29" s="18" t="n">
        <v>0</v>
      </c>
      <c r="N29" s="20" t="n">
        <v>0</v>
      </c>
      <c r="O29" s="18" t="n">
        <v>0</v>
      </c>
      <c r="P29" s="20" t="n">
        <v>0</v>
      </c>
      <c r="Q29" s="18" t="n">
        <v>1.31033712</v>
      </c>
      <c r="R29" s="20" t="n">
        <v>0.38264936</v>
      </c>
    </row>
    <row r="30" spans="1:18">
      <c r="A30" s="15" t="s">
        <v>372</v>
      </c>
      <c r="B30" s="17" t="n">
        <v>4520</v>
      </c>
      <c r="C30" s="18">
        <f>(3979.0/B30*100)</f>
        <v/>
      </c>
      <c r="D30" s="19" t="n">
        <v>541</v>
      </c>
      <c r="E30" s="18" t="n">
        <v>50.36401401</v>
      </c>
      <c r="F30" s="20" t="n">
        <v>1.80157398</v>
      </c>
      <c r="G30" s="18" t="n">
        <v>43.89965258</v>
      </c>
      <c r="H30" s="20" t="n">
        <v>1.73044223</v>
      </c>
      <c r="I30" s="18" t="s">
        <v>349</v>
      </c>
      <c r="J30" s="20" t="s">
        <v>349</v>
      </c>
      <c r="K30" s="18" t="n">
        <v>1.02475482</v>
      </c>
      <c r="L30" s="20" t="n">
        <v>0.49793862</v>
      </c>
      <c r="M30" s="18" t="n">
        <v>0</v>
      </c>
      <c r="N30" s="20" t="n">
        <v>0</v>
      </c>
      <c r="O30" s="18" t="n">
        <v>0</v>
      </c>
      <c r="P30" s="20" t="n">
        <v>0</v>
      </c>
      <c r="Q30" s="18" t="n">
        <v>4.71157858</v>
      </c>
      <c r="R30" s="20" t="n">
        <v>0.95801467</v>
      </c>
    </row>
    <row r="31" spans="1:18">
      <c r="A31" s="15" t="s">
        <v>373</v>
      </c>
      <c r="B31" s="17" t="n">
        <v>5456</v>
      </c>
      <c r="C31" s="18">
        <f>(4789.0/B31*100)</f>
        <v/>
      </c>
      <c r="D31" s="19" t="n">
        <v>667</v>
      </c>
      <c r="E31" s="18" t="n">
        <v>50.58497083</v>
      </c>
      <c r="F31" s="20" t="n">
        <v>2.01686962</v>
      </c>
      <c r="G31" s="18" t="n">
        <v>45.58941259</v>
      </c>
      <c r="H31" s="20" t="n">
        <v>2.07934406</v>
      </c>
      <c r="I31" s="18" t="s">
        <v>349</v>
      </c>
      <c r="J31" s="20" t="s">
        <v>349</v>
      </c>
      <c r="K31" s="18" t="n">
        <v>1.04679102</v>
      </c>
      <c r="L31" s="20" t="n">
        <v>0.38869175</v>
      </c>
      <c r="M31" s="18" t="n">
        <v>0</v>
      </c>
      <c r="N31" s="20" t="n">
        <v>0</v>
      </c>
      <c r="O31" s="18" t="n">
        <v>0</v>
      </c>
      <c r="P31" s="20" t="n">
        <v>0</v>
      </c>
      <c r="Q31" s="18" t="n">
        <v>2.77882556</v>
      </c>
      <c r="R31" s="20" t="n">
        <v>0.64793713</v>
      </c>
    </row>
    <row r="32" spans="1:18">
      <c r="A32" s="15" t="s">
        <v>374</v>
      </c>
      <c r="B32" s="17" t="n">
        <v>4478</v>
      </c>
      <c r="C32" s="18">
        <f>(3731.0/B32*100)</f>
        <v/>
      </c>
      <c r="D32" s="19" t="n">
        <v>747</v>
      </c>
      <c r="E32" s="18" t="n">
        <v>49.61211012</v>
      </c>
      <c r="F32" s="20" t="n">
        <v>1.96467564</v>
      </c>
      <c r="G32" s="18" t="n">
        <v>49.67523113</v>
      </c>
      <c r="H32" s="20" t="n">
        <v>1.98815482</v>
      </c>
      <c r="I32" s="18" t="s">
        <v>349</v>
      </c>
      <c r="J32" s="20" t="s">
        <v>349</v>
      </c>
      <c r="K32" s="18" t="n">
        <v>0.20904844</v>
      </c>
      <c r="L32" s="20" t="n">
        <v>0.20487461</v>
      </c>
      <c r="M32" s="18" t="n">
        <v>0</v>
      </c>
      <c r="N32" s="20" t="n">
        <v>0</v>
      </c>
      <c r="O32" s="18" t="n">
        <v>0</v>
      </c>
      <c r="P32" s="20" t="n">
        <v>0</v>
      </c>
      <c r="Q32" s="18" t="n">
        <v>0.50361031</v>
      </c>
      <c r="R32" s="20" t="n">
        <v>0.23755963</v>
      </c>
    </row>
    <row r="33" spans="1:18">
      <c r="A33" s="15" t="s">
        <v>375</v>
      </c>
      <c r="B33" s="17" t="n">
        <v>7325</v>
      </c>
      <c r="C33" s="18">
        <f>(6446.0/B33*100)</f>
        <v/>
      </c>
      <c r="D33" s="19" t="n">
        <v>879</v>
      </c>
      <c r="E33" s="18" t="n">
        <v>56.93277274</v>
      </c>
      <c r="F33" s="20" t="n">
        <v>1.68879723</v>
      </c>
      <c r="G33" s="18" t="n">
        <v>40.7374846</v>
      </c>
      <c r="H33" s="20" t="n">
        <v>1.66601887</v>
      </c>
      <c r="I33" s="18" t="s">
        <v>349</v>
      </c>
      <c r="J33" s="20" t="s">
        <v>349</v>
      </c>
      <c r="K33" s="18" t="n">
        <v>0.37933255</v>
      </c>
      <c r="L33" s="20" t="n">
        <v>0.2645407</v>
      </c>
      <c r="M33" s="18" t="n">
        <v>0</v>
      </c>
      <c r="N33" s="20" t="n">
        <v>0</v>
      </c>
      <c r="O33" s="18" t="n">
        <v>0</v>
      </c>
      <c r="P33" s="20" t="n">
        <v>0</v>
      </c>
      <c r="Q33" s="18" t="n">
        <v>1.9504101</v>
      </c>
      <c r="R33" s="20" t="n">
        <v>0.57349824</v>
      </c>
    </row>
    <row r="34" spans="1:18">
      <c r="A34" s="15" t="s">
        <v>376</v>
      </c>
      <c r="B34" s="17" t="n">
        <v>6350</v>
      </c>
      <c r="C34" s="18">
        <f>(5603.0/B34*100)</f>
        <v/>
      </c>
      <c r="D34" s="19" t="n">
        <v>747</v>
      </c>
      <c r="E34" s="18" t="n">
        <v>61.03155308</v>
      </c>
      <c r="F34" s="20" t="n">
        <v>1.7512409</v>
      </c>
      <c r="G34" s="18" t="n">
        <v>37.59375135</v>
      </c>
      <c r="H34" s="20" t="n">
        <v>1.71286835</v>
      </c>
      <c r="I34" s="18" t="s">
        <v>349</v>
      </c>
      <c r="J34" s="20" t="s">
        <v>349</v>
      </c>
      <c r="K34" s="18" t="n">
        <v>0.14086464</v>
      </c>
      <c r="L34" s="20" t="n">
        <v>0.14354671</v>
      </c>
      <c r="M34" s="18" t="n">
        <v>0</v>
      </c>
      <c r="N34" s="20" t="n">
        <v>0</v>
      </c>
      <c r="O34" s="18" t="n">
        <v>0</v>
      </c>
      <c r="P34" s="20" t="n">
        <v>0</v>
      </c>
      <c r="Q34" s="18" t="n">
        <v>1.23383093</v>
      </c>
      <c r="R34" s="20" t="n">
        <v>0.35659865</v>
      </c>
    </row>
    <row r="35" spans="1:18">
      <c r="A35" s="15" t="s">
        <v>377</v>
      </c>
      <c r="B35" s="17" t="n">
        <v>6406</v>
      </c>
      <c r="C35" s="18">
        <f>(5631.0/B35*100)</f>
        <v/>
      </c>
      <c r="D35" s="19" t="n">
        <v>775</v>
      </c>
      <c r="E35" s="18" t="n">
        <v>49.469361</v>
      </c>
      <c r="F35" s="20" t="n">
        <v>2.34687156</v>
      </c>
      <c r="G35" s="18" t="n">
        <v>48.50196311</v>
      </c>
      <c r="H35" s="20" t="n">
        <v>2.30812153</v>
      </c>
      <c r="I35" s="18" t="s">
        <v>349</v>
      </c>
      <c r="J35" s="20" t="s">
        <v>349</v>
      </c>
      <c r="K35" s="18" t="n">
        <v>0.18583733</v>
      </c>
      <c r="L35" s="20" t="n">
        <v>0.10852293</v>
      </c>
      <c r="M35" s="18" t="n">
        <v>0</v>
      </c>
      <c r="N35" s="20" t="n">
        <v>0</v>
      </c>
      <c r="O35" s="18" t="n">
        <v>0</v>
      </c>
      <c r="P35" s="20" t="n">
        <v>0</v>
      </c>
      <c r="Q35" s="18" t="n">
        <v>1.84283856</v>
      </c>
      <c r="R35" s="20" t="n">
        <v>0.49856726</v>
      </c>
    </row>
    <row r="36" spans="1:18">
      <c r="A36" s="15" t="s">
        <v>378</v>
      </c>
      <c r="B36" s="17" t="n">
        <v>6736</v>
      </c>
      <c r="C36" s="18">
        <f>(5940.0/B36*100)</f>
        <v/>
      </c>
      <c r="D36" s="19" t="n">
        <v>796</v>
      </c>
      <c r="E36" s="18" t="n">
        <v>55.36128555</v>
      </c>
      <c r="F36" s="20" t="n">
        <v>2.04059366</v>
      </c>
      <c r="G36" s="18" t="n">
        <v>39.88182148</v>
      </c>
      <c r="H36" s="20" t="n">
        <v>1.85795362</v>
      </c>
      <c r="I36" s="18" t="s">
        <v>349</v>
      </c>
      <c r="J36" s="20" t="s">
        <v>349</v>
      </c>
      <c r="K36" s="18" t="n">
        <v>0.99006824</v>
      </c>
      <c r="L36" s="20" t="n">
        <v>0.4710292</v>
      </c>
      <c r="M36" s="18" t="n">
        <v>0</v>
      </c>
      <c r="N36" s="20" t="n">
        <v>0</v>
      </c>
      <c r="O36" s="18" t="n">
        <v>0</v>
      </c>
      <c r="P36" s="20" t="n">
        <v>0</v>
      </c>
      <c r="Q36" s="18" t="n">
        <v>3.76682473</v>
      </c>
      <c r="R36" s="20" t="n">
        <v>0.69828061</v>
      </c>
    </row>
    <row r="37" spans="1:18">
      <c r="A37" s="15" t="s">
        <v>379</v>
      </c>
      <c r="B37" s="17" t="n">
        <v>5458</v>
      </c>
      <c r="C37" s="18">
        <f>(4813.0/B37*100)</f>
        <v/>
      </c>
      <c r="D37" s="19" t="n">
        <v>645</v>
      </c>
      <c r="E37" s="18" t="n">
        <v>52.38508199</v>
      </c>
      <c r="F37" s="20" t="n">
        <v>1.99474485</v>
      </c>
      <c r="G37" s="18" t="n">
        <v>40.01401877</v>
      </c>
      <c r="H37" s="20" t="n">
        <v>2.05459655</v>
      </c>
      <c r="I37" s="18" t="s">
        <v>349</v>
      </c>
      <c r="J37" s="20" t="s">
        <v>349</v>
      </c>
      <c r="K37" s="18" t="n">
        <v>1.32239133</v>
      </c>
      <c r="L37" s="20" t="n">
        <v>0.48161879</v>
      </c>
      <c r="M37" s="18" t="n">
        <v>0</v>
      </c>
      <c r="N37" s="20" t="n">
        <v>0</v>
      </c>
      <c r="O37" s="18" t="n">
        <v>0</v>
      </c>
      <c r="P37" s="20" t="n">
        <v>0</v>
      </c>
      <c r="Q37" s="18" t="n">
        <v>6.27850791</v>
      </c>
      <c r="R37" s="20" t="n">
        <v>0.89439978</v>
      </c>
    </row>
    <row r="38" spans="1:18">
      <c r="A38" s="15" t="s">
        <v>380</v>
      </c>
      <c r="B38" s="17" t="n">
        <v>5860</v>
      </c>
      <c r="C38" s="18">
        <f>(4919.0/B38*100)</f>
        <v/>
      </c>
      <c r="D38" s="19" t="n">
        <v>941</v>
      </c>
      <c r="E38" s="18" t="n">
        <v>45.49334517</v>
      </c>
      <c r="F38" s="20" t="n">
        <v>1.89185417</v>
      </c>
      <c r="G38" s="18" t="n">
        <v>50.701604</v>
      </c>
      <c r="H38" s="20" t="n">
        <v>1.91766849</v>
      </c>
      <c r="I38" s="18" t="s">
        <v>349</v>
      </c>
      <c r="J38" s="20" t="s">
        <v>349</v>
      </c>
      <c r="K38" s="18" t="n">
        <v>0.94187247</v>
      </c>
      <c r="L38" s="20" t="n">
        <v>0.32833262</v>
      </c>
      <c r="M38" s="18" t="n">
        <v>0</v>
      </c>
      <c r="N38" s="20" t="n">
        <v>0</v>
      </c>
      <c r="O38" s="18" t="n">
        <v>0</v>
      </c>
      <c r="P38" s="20" t="n">
        <v>0</v>
      </c>
      <c r="Q38" s="18" t="n">
        <v>2.86317836</v>
      </c>
      <c r="R38" s="20" t="n">
        <v>0.58298692</v>
      </c>
    </row>
    <row r="39" spans="1:18">
      <c r="A39" s="15" t="s">
        <v>381</v>
      </c>
      <c r="B39" s="17" t="n">
        <v>5895</v>
      </c>
      <c r="C39" s="18">
        <f>(5170.0/B39*100)</f>
        <v/>
      </c>
      <c r="D39" s="19" t="n">
        <v>725</v>
      </c>
      <c r="E39" s="18" t="n">
        <v>69.30645217999999</v>
      </c>
      <c r="F39" s="20" t="n">
        <v>2.09247572</v>
      </c>
      <c r="G39" s="18" t="n">
        <v>26.83371565</v>
      </c>
      <c r="H39" s="20" t="n">
        <v>1.92691165</v>
      </c>
      <c r="I39" s="18" t="s">
        <v>349</v>
      </c>
      <c r="J39" s="20" t="s">
        <v>349</v>
      </c>
      <c r="K39" s="18" t="n">
        <v>0.34205797</v>
      </c>
      <c r="L39" s="20" t="n">
        <v>0.20767611</v>
      </c>
      <c r="M39" s="18" t="n">
        <v>0</v>
      </c>
      <c r="N39" s="20" t="n">
        <v>0</v>
      </c>
      <c r="O39" s="18" t="n">
        <v>0</v>
      </c>
      <c r="P39" s="20" t="n">
        <v>0</v>
      </c>
      <c r="Q39" s="18" t="n">
        <v>3.5177742</v>
      </c>
      <c r="R39" s="20" t="n">
        <v>0.72060991</v>
      </c>
    </row>
    <row r="40" spans="1:18">
      <c r="A40" s="15" t="s">
        <v>382</v>
      </c>
      <c r="B40" s="17" t="n">
        <v>14157</v>
      </c>
      <c r="C40" s="18">
        <f>(12429.0/B40*100)</f>
        <v/>
      </c>
      <c r="D40" s="19" t="n">
        <v>1728</v>
      </c>
      <c r="E40" s="18" t="n">
        <v>50.44498256</v>
      </c>
      <c r="F40" s="20" t="n">
        <v>2.32743033</v>
      </c>
      <c r="G40" s="18" t="n">
        <v>45.66219635</v>
      </c>
      <c r="H40" s="20" t="n">
        <v>2.40174621</v>
      </c>
      <c r="I40" s="18" t="s">
        <v>349</v>
      </c>
      <c r="J40" s="20" t="s">
        <v>349</v>
      </c>
      <c r="K40" s="18" t="n">
        <v>0.42461186</v>
      </c>
      <c r="L40" s="20" t="n">
        <v>0.24783813</v>
      </c>
      <c r="M40" s="18" t="n">
        <v>0</v>
      </c>
      <c r="N40" s="20" t="n">
        <v>0</v>
      </c>
      <c r="O40" s="18" t="n">
        <v>0</v>
      </c>
      <c r="P40" s="20" t="n">
        <v>0</v>
      </c>
      <c r="Q40" s="18" t="n">
        <v>3.46820923</v>
      </c>
      <c r="R40" s="20" t="n">
        <v>0.67371208</v>
      </c>
    </row>
    <row r="41" spans="1:18">
      <c r="A41" s="15" t="s">
        <v>383</v>
      </c>
      <c r="B41" s="17" t="n">
        <v>5712</v>
      </c>
      <c r="C41" s="18">
        <f>(5030.0/B41*100)</f>
        <v/>
      </c>
      <c r="D41" s="19" t="n">
        <v>682</v>
      </c>
      <c r="E41" s="18" t="n">
        <v>59.95320975</v>
      </c>
      <c r="F41" s="20" t="n">
        <v>1.90650779</v>
      </c>
      <c r="G41" s="18" t="n">
        <v>37.74639416</v>
      </c>
      <c r="H41" s="20" t="n">
        <v>1.91162499</v>
      </c>
      <c r="I41" s="18" t="s">
        <v>349</v>
      </c>
      <c r="J41" s="20" t="s">
        <v>349</v>
      </c>
      <c r="K41" s="18" t="n">
        <v>1.05867551</v>
      </c>
      <c r="L41" s="20" t="n">
        <v>0.52053704</v>
      </c>
      <c r="M41" s="18" t="n">
        <v>0</v>
      </c>
      <c r="N41" s="20" t="n">
        <v>0</v>
      </c>
      <c r="O41" s="18" t="n">
        <v>0</v>
      </c>
      <c r="P41" s="20" t="n">
        <v>0</v>
      </c>
      <c r="Q41" s="18" t="n">
        <v>1.24172058</v>
      </c>
      <c r="R41" s="20" t="n">
        <v>0.39589759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(20836.0/B46*100)</f>
        <v/>
      </c>
      <c r="D46" s="19" t="n">
        <v>2305</v>
      </c>
      <c r="E46" s="18" t="n">
        <v>73.22408869</v>
      </c>
      <c r="F46" s="20" t="n">
        <v>1.30300587</v>
      </c>
      <c r="G46" s="18" t="n">
        <v>20.055015</v>
      </c>
      <c r="H46" s="20" t="n">
        <v>1.10843275</v>
      </c>
      <c r="I46" s="18" t="s">
        <v>349</v>
      </c>
      <c r="J46" s="20" t="s">
        <v>349</v>
      </c>
      <c r="K46" s="18" t="n">
        <v>1.48729699</v>
      </c>
      <c r="L46" s="20" t="n">
        <v>0.38387391</v>
      </c>
      <c r="M46" s="18" t="n">
        <v>0</v>
      </c>
      <c r="N46" s="20" t="n">
        <v>0</v>
      </c>
      <c r="O46" s="18" t="n">
        <v>0</v>
      </c>
      <c r="P46" s="20" t="n">
        <v>0</v>
      </c>
      <c r="Q46" s="18" t="n">
        <v>5.23359933</v>
      </c>
      <c r="R46" s="20" t="n">
        <v>0.68892025</v>
      </c>
    </row>
    <row r="47" spans="1:18">
      <c r="A47" s="15" t="s">
        <v>389</v>
      </c>
      <c r="B47" s="17" t="n">
        <v>5928</v>
      </c>
      <c r="C47" s="18">
        <f>(5212.0/B47*100)</f>
        <v/>
      </c>
      <c r="D47" s="19" t="n">
        <v>716</v>
      </c>
      <c r="E47" s="18" t="n">
        <v>62.85726626</v>
      </c>
      <c r="F47" s="20" t="n">
        <v>1.87100398</v>
      </c>
      <c r="G47" s="18" t="n">
        <v>33.89643062</v>
      </c>
      <c r="H47" s="20" t="n">
        <v>1.80507339</v>
      </c>
      <c r="I47" s="18" t="s">
        <v>349</v>
      </c>
      <c r="J47" s="20" t="s">
        <v>349</v>
      </c>
      <c r="K47" s="18" t="n">
        <v>0.6540032099999999</v>
      </c>
      <c r="L47" s="20" t="n">
        <v>0.32165202</v>
      </c>
      <c r="M47" s="18" t="n">
        <v>0</v>
      </c>
      <c r="N47" s="20" t="n">
        <v>0</v>
      </c>
      <c r="O47" s="18" t="n">
        <v>0</v>
      </c>
      <c r="P47" s="20" t="n">
        <v>0</v>
      </c>
      <c r="Q47" s="18" t="n">
        <v>2.59229991</v>
      </c>
      <c r="R47" s="20" t="n">
        <v>0.53922659</v>
      </c>
    </row>
    <row r="48" spans="1:18">
      <c r="A48" s="15" t="s">
        <v>390</v>
      </c>
      <c r="B48" s="17" t="n">
        <v>9841</v>
      </c>
      <c r="C48" s="18">
        <f>(8643.0/B48*100)</f>
        <v/>
      </c>
      <c r="D48" s="19" t="n">
        <v>1198</v>
      </c>
      <c r="E48" s="18" t="n">
        <v>51.39873922</v>
      </c>
      <c r="F48" s="20" t="n">
        <v>1.97132367</v>
      </c>
      <c r="G48" s="18" t="n">
        <v>47.88151174</v>
      </c>
      <c r="H48" s="20" t="n">
        <v>2.04169317</v>
      </c>
      <c r="I48" s="18" t="s">
        <v>349</v>
      </c>
      <c r="J48" s="20" t="s">
        <v>349</v>
      </c>
      <c r="K48" s="18" t="n">
        <v>0.26996909</v>
      </c>
      <c r="L48" s="20" t="n">
        <v>0.18710335</v>
      </c>
      <c r="M48" s="18" t="n">
        <v>0</v>
      </c>
      <c r="N48" s="20" t="n">
        <v>0</v>
      </c>
      <c r="O48" s="18" t="n">
        <v>0</v>
      </c>
      <c r="P48" s="20" t="n">
        <v>0</v>
      </c>
      <c r="Q48" s="18" t="n">
        <v>0.44977995</v>
      </c>
      <c r="R48" s="20" t="n">
        <v>0.30490971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(10372.0/B50*100)</f>
        <v/>
      </c>
      <c r="D50" s="19" t="n">
        <v>1423</v>
      </c>
      <c r="E50" s="18" t="n">
        <v>73.62683219</v>
      </c>
      <c r="F50" s="20" t="n">
        <v>1.73465451</v>
      </c>
      <c r="G50" s="18" t="n">
        <v>24.3061657</v>
      </c>
      <c r="H50" s="20" t="n">
        <v>1.57097142</v>
      </c>
      <c r="I50" s="18" t="s">
        <v>349</v>
      </c>
      <c r="J50" s="20" t="s">
        <v>349</v>
      </c>
      <c r="K50" s="18" t="n">
        <v>0.60489444</v>
      </c>
      <c r="L50" s="20" t="n">
        <v>0.2337972</v>
      </c>
      <c r="M50" s="18" t="n">
        <v>0</v>
      </c>
      <c r="N50" s="20" t="n">
        <v>0</v>
      </c>
      <c r="O50" s="18" t="n">
        <v>0</v>
      </c>
      <c r="P50" s="20" t="n">
        <v>0</v>
      </c>
      <c r="Q50" s="18" t="n">
        <v>1.46210767</v>
      </c>
      <c r="R50" s="20" t="n">
        <v>0.4385161</v>
      </c>
    </row>
    <row r="51" spans="1:18">
      <c r="A51" s="15" t="s">
        <v>393</v>
      </c>
      <c r="B51" s="17" t="n">
        <v>6866</v>
      </c>
      <c r="C51" s="18">
        <f>(6140.0/B51*100)</f>
        <v/>
      </c>
      <c r="D51" s="19" t="n">
        <v>726</v>
      </c>
      <c r="E51" s="18" t="n">
        <v>72.59373975</v>
      </c>
      <c r="F51" s="20" t="n">
        <v>1.56658666</v>
      </c>
      <c r="G51" s="18" t="n">
        <v>23.97480085</v>
      </c>
      <c r="H51" s="20" t="n">
        <v>1.50184369</v>
      </c>
      <c r="I51" s="18" t="s">
        <v>349</v>
      </c>
      <c r="J51" s="20" t="s">
        <v>349</v>
      </c>
      <c r="K51" s="18" t="n">
        <v>0.24731581</v>
      </c>
      <c r="L51" s="20" t="n">
        <v>0.1635981</v>
      </c>
      <c r="M51" s="18" t="n">
        <v>0</v>
      </c>
      <c r="N51" s="20" t="n">
        <v>0</v>
      </c>
      <c r="O51" s="18" t="n">
        <v>0</v>
      </c>
      <c r="P51" s="20" t="n">
        <v>0</v>
      </c>
      <c r="Q51" s="18" t="n">
        <v>3.18414359</v>
      </c>
      <c r="R51" s="20" t="n">
        <v>0.63962325</v>
      </c>
    </row>
    <row r="52" spans="1:18">
      <c r="A52" s="15" t="s">
        <v>394</v>
      </c>
      <c r="B52" s="17" t="n">
        <v>5809</v>
      </c>
      <c r="C52" s="18">
        <f>(5099.0/B52*100)</f>
        <v/>
      </c>
      <c r="D52" s="19" t="n">
        <v>710</v>
      </c>
      <c r="E52" s="18" t="n">
        <v>62.37861957</v>
      </c>
      <c r="F52" s="20" t="n">
        <v>1.60068227</v>
      </c>
      <c r="G52" s="18" t="n">
        <v>33.64169166</v>
      </c>
      <c r="H52" s="20" t="n">
        <v>1.76851012</v>
      </c>
      <c r="I52" s="18" t="s">
        <v>349</v>
      </c>
      <c r="J52" s="20" t="s">
        <v>349</v>
      </c>
      <c r="K52" s="18" t="n">
        <v>0</v>
      </c>
      <c r="L52" s="20" t="n">
        <v>0</v>
      </c>
      <c r="M52" s="18" t="n">
        <v>0</v>
      </c>
      <c r="N52" s="20" t="n">
        <v>0</v>
      </c>
      <c r="O52" s="18" t="n">
        <v>0</v>
      </c>
      <c r="P52" s="20" t="n">
        <v>0</v>
      </c>
      <c r="Q52" s="18" t="n">
        <v>3.97968877</v>
      </c>
      <c r="R52" s="20" t="n">
        <v>0.74404856</v>
      </c>
    </row>
    <row r="53" spans="1:18">
      <c r="A53" s="15" t="s">
        <v>395</v>
      </c>
      <c r="B53" s="17" t="n">
        <v>5571</v>
      </c>
      <c r="C53" s="18">
        <f>(4878.0/B53*100)</f>
        <v/>
      </c>
      <c r="D53" s="19" t="n">
        <v>693</v>
      </c>
      <c r="E53" s="18" t="n">
        <v>66.38891923</v>
      </c>
      <c r="F53" s="20" t="n">
        <v>1.62370799</v>
      </c>
      <c r="G53" s="18" t="n">
        <v>31.34911255</v>
      </c>
      <c r="H53" s="20" t="n">
        <v>1.64923103</v>
      </c>
      <c r="I53" s="18" t="s">
        <v>349</v>
      </c>
      <c r="J53" s="20" t="s">
        <v>349</v>
      </c>
      <c r="K53" s="18" t="n">
        <v>0.41848762</v>
      </c>
      <c r="L53" s="20" t="n">
        <v>0.20189901</v>
      </c>
      <c r="M53" s="18" t="n">
        <v>0</v>
      </c>
      <c r="N53" s="20" t="n">
        <v>0</v>
      </c>
      <c r="O53" s="18" t="n">
        <v>0</v>
      </c>
      <c r="P53" s="20" t="n">
        <v>0</v>
      </c>
      <c r="Q53" s="18" t="n">
        <v>1.8434806</v>
      </c>
      <c r="R53" s="20" t="n">
        <v>0.54682914</v>
      </c>
    </row>
    <row r="54" spans="1:18">
      <c r="A54" s="15" t="s">
        <v>396</v>
      </c>
      <c r="B54" s="17" t="n">
        <v>4740</v>
      </c>
      <c r="C54" s="18">
        <f>(3969.0/B54*100)</f>
        <v/>
      </c>
      <c r="D54" s="19" t="n">
        <v>771</v>
      </c>
      <c r="E54" s="18" t="n">
        <v>66.09988984</v>
      </c>
      <c r="F54" s="20" t="n">
        <v>1.72532844</v>
      </c>
      <c r="G54" s="18" t="n">
        <v>18.13381791</v>
      </c>
      <c r="H54" s="20" t="n">
        <v>1.43748139</v>
      </c>
      <c r="I54" s="18" t="s">
        <v>349</v>
      </c>
      <c r="J54" s="20" t="s">
        <v>349</v>
      </c>
      <c r="K54" s="18" t="n">
        <v>11.33044409</v>
      </c>
      <c r="L54" s="20" t="n">
        <v>1.31857741</v>
      </c>
      <c r="M54" s="18" t="n">
        <v>0</v>
      </c>
      <c r="N54" s="20" t="n">
        <v>0</v>
      </c>
      <c r="O54" s="18" t="n">
        <v>0</v>
      </c>
      <c r="P54" s="20" t="n">
        <v>0</v>
      </c>
      <c r="Q54" s="18" t="n">
        <v>4.43584816</v>
      </c>
      <c r="R54" s="20" t="n">
        <v>0.7386137</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(4702.0/B56*100)</f>
        <v/>
      </c>
      <c r="D56" s="19" t="n">
        <v>657</v>
      </c>
      <c r="E56" s="18" t="n">
        <v>50.27106372</v>
      </c>
      <c r="F56" s="20" t="n">
        <v>2.58777662</v>
      </c>
      <c r="G56" s="18" t="n">
        <v>48.4634999</v>
      </c>
      <c r="H56" s="20" t="n">
        <v>2.52391832</v>
      </c>
      <c r="I56" s="18" t="s">
        <v>349</v>
      </c>
      <c r="J56" s="20" t="s">
        <v>349</v>
      </c>
      <c r="K56" s="18" t="n">
        <v>0.13955235</v>
      </c>
      <c r="L56" s="20" t="n">
        <v>0.15554372</v>
      </c>
      <c r="M56" s="18" t="n">
        <v>0</v>
      </c>
      <c r="N56" s="20" t="n">
        <v>0</v>
      </c>
      <c r="O56" s="18" t="n">
        <v>0</v>
      </c>
      <c r="P56" s="20" t="n">
        <v>0</v>
      </c>
      <c r="Q56" s="18" t="n">
        <v>1.12588403</v>
      </c>
      <c r="R56" s="20" t="n">
        <v>0.42698639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(5747.0/B61*100)</f>
        <v/>
      </c>
      <c r="D61" s="19" t="n">
        <v>778</v>
      </c>
      <c r="E61" s="18" t="n">
        <v>56.52451233</v>
      </c>
      <c r="F61" s="20" t="n">
        <v>1.90963855</v>
      </c>
      <c r="G61" s="18" t="n">
        <v>39.90996719</v>
      </c>
      <c r="H61" s="20" t="n">
        <v>1.87643403</v>
      </c>
      <c r="I61" s="18" t="s">
        <v>349</v>
      </c>
      <c r="J61" s="20" t="s">
        <v>349</v>
      </c>
      <c r="K61" s="18" t="n">
        <v>0.42911657</v>
      </c>
      <c r="L61" s="20" t="n">
        <v>0.27431967</v>
      </c>
      <c r="M61" s="18" t="n">
        <v>0</v>
      </c>
      <c r="N61" s="20" t="n">
        <v>0</v>
      </c>
      <c r="O61" s="18" t="n">
        <v>0</v>
      </c>
      <c r="P61" s="20" t="n">
        <v>0</v>
      </c>
      <c r="Q61" s="18" t="n">
        <v>3.13640391</v>
      </c>
      <c r="R61" s="20" t="n">
        <v>0.71975045</v>
      </c>
    </row>
    <row r="62" spans="1:18">
      <c r="A62" s="15" t="s">
        <v>404</v>
      </c>
      <c r="B62" s="17" t="n">
        <v>4476</v>
      </c>
      <c r="C62" s="18">
        <f>(3949.0/B62*100)</f>
        <v/>
      </c>
      <c r="D62" s="19" t="n">
        <v>527</v>
      </c>
      <c r="E62" s="18" t="n">
        <v>44.77213891</v>
      </c>
      <c r="F62" s="20" t="n">
        <v>2.26813181</v>
      </c>
      <c r="G62" s="18" t="n">
        <v>55.03031402</v>
      </c>
      <c r="H62" s="20" t="n">
        <v>2.21521524</v>
      </c>
      <c r="I62" s="18" t="s">
        <v>349</v>
      </c>
      <c r="J62" s="20" t="s">
        <v>349</v>
      </c>
      <c r="K62" s="18" t="n">
        <v>0</v>
      </c>
      <c r="L62" s="20" t="n">
        <v>0</v>
      </c>
      <c r="M62" s="18" t="n">
        <v>0</v>
      </c>
      <c r="N62" s="20" t="n">
        <v>0</v>
      </c>
      <c r="O62" s="18" t="n">
        <v>0</v>
      </c>
      <c r="P62" s="20" t="n">
        <v>0</v>
      </c>
      <c r="Q62" s="18" t="n">
        <v>0.19754707</v>
      </c>
      <c r="R62" s="20" t="n">
        <v>0.2771482</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69.24848711</v>
      </c>
      <c r="F66" s="20" t="n">
        <v>1.79737844</v>
      </c>
      <c r="G66" s="18" t="n">
        <v>22.588962</v>
      </c>
      <c r="H66" s="20" t="n">
        <v>1.50241522</v>
      </c>
      <c r="I66" s="18" t="s">
        <v>349</v>
      </c>
      <c r="J66" s="20" t="s">
        <v>349</v>
      </c>
      <c r="K66" s="18" t="n">
        <v>0.40678009</v>
      </c>
      <c r="L66" s="20" t="n">
        <v>0.235829</v>
      </c>
      <c r="M66" s="18" t="n">
        <v>0</v>
      </c>
      <c r="N66" s="20" t="n">
        <v>0</v>
      </c>
      <c r="O66" s="18" t="n">
        <v>0</v>
      </c>
      <c r="P66" s="20" t="n">
        <v>0</v>
      </c>
      <c r="Q66" s="18" t="n">
        <v>7.7557708</v>
      </c>
      <c r="R66" s="20" t="n">
        <v>0.9949313</v>
      </c>
    </row>
    <row r="67" spans="1:18">
      <c r="A67" s="15" t="s">
        <v>409</v>
      </c>
      <c r="B67" s="17" t="n">
        <v>6971</v>
      </c>
      <c r="C67" s="18">
        <f>(6212.0/B67*100)</f>
        <v/>
      </c>
      <c r="D67" s="19" t="n">
        <v>759</v>
      </c>
      <c r="E67" s="18" t="n">
        <v>71.12641831000001</v>
      </c>
      <c r="F67" s="20" t="n">
        <v>1.83254053</v>
      </c>
      <c r="G67" s="18" t="n">
        <v>26.17169611</v>
      </c>
      <c r="H67" s="20" t="n">
        <v>1.87984152</v>
      </c>
      <c r="I67" s="18" t="s">
        <v>349</v>
      </c>
      <c r="J67" s="20" t="s">
        <v>349</v>
      </c>
      <c r="K67" s="18" t="n">
        <v>0.10361067</v>
      </c>
      <c r="L67" s="20" t="n">
        <v>0.10637489</v>
      </c>
      <c r="M67" s="18" t="n">
        <v>0</v>
      </c>
      <c r="N67" s="20" t="n">
        <v>0</v>
      </c>
      <c r="O67" s="18" t="n">
        <v>0</v>
      </c>
      <c r="P67" s="20" t="n">
        <v>0</v>
      </c>
      <c r="Q67" s="18" t="n">
        <v>2.59827491</v>
      </c>
      <c r="R67" s="20" t="n">
        <v>0.67883184</v>
      </c>
    </row>
    <row r="68" spans="1:18">
      <c r="A68" s="15" t="s">
        <v>410</v>
      </c>
      <c r="B68" s="17" t="n">
        <v>12083</v>
      </c>
      <c r="C68" s="18">
        <f>(10090.0/B68*100)</f>
        <v/>
      </c>
      <c r="D68" s="19" t="n">
        <v>1993</v>
      </c>
      <c r="E68" s="18" t="n">
        <v>69.27766359</v>
      </c>
      <c r="F68" s="20" t="n">
        <v>0.91769397</v>
      </c>
      <c r="G68" s="18" t="n">
        <v>25.20448683</v>
      </c>
      <c r="H68" s="20" t="n">
        <v>0.92864157</v>
      </c>
      <c r="I68" s="18" t="s">
        <v>349</v>
      </c>
      <c r="J68" s="20" t="s">
        <v>349</v>
      </c>
      <c r="K68" s="18" t="n">
        <v>2.74614683</v>
      </c>
      <c r="L68" s="20" t="n">
        <v>0.32281618</v>
      </c>
      <c r="M68" s="18" t="n">
        <v>0</v>
      </c>
      <c r="N68" s="20" t="n">
        <v>0</v>
      </c>
      <c r="O68" s="18" t="n">
        <v>0</v>
      </c>
      <c r="P68" s="20" t="n">
        <v>0</v>
      </c>
      <c r="Q68" s="18" t="n">
        <v>2.77170275</v>
      </c>
      <c r="R68" s="20" t="n">
        <v>0.35968055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(5338.0/B70*100)</f>
        <v/>
      </c>
      <c r="D70" s="19" t="n">
        <v>698</v>
      </c>
      <c r="E70" s="18" t="n">
        <v>55.55998253</v>
      </c>
      <c r="F70" s="20" t="n">
        <v>2.55890895</v>
      </c>
      <c r="G70" s="18" t="n">
        <v>41.32617263</v>
      </c>
      <c r="H70" s="20" t="n">
        <v>2.39420833</v>
      </c>
      <c r="I70" s="18" t="s">
        <v>349</v>
      </c>
      <c r="J70" s="20" t="s">
        <v>349</v>
      </c>
      <c r="K70" s="18" t="n">
        <v>0.52655756</v>
      </c>
      <c r="L70" s="20" t="n">
        <v>0.28178411</v>
      </c>
      <c r="M70" s="18" t="n">
        <v>0</v>
      </c>
      <c r="N70" s="20" t="n">
        <v>0</v>
      </c>
      <c r="O70" s="18" t="n">
        <v>0</v>
      </c>
      <c r="P70" s="20" t="n">
        <v>0</v>
      </c>
      <c r="Q70" s="18" t="n">
        <v>2.58728728</v>
      </c>
      <c r="R70" s="20" t="n">
        <v>0.67644727</v>
      </c>
    </row>
    <row r="71" spans="1:18">
      <c r="A71" s="15" t="s">
        <v>413</v>
      </c>
      <c r="B71" s="17" t="n">
        <v>6115</v>
      </c>
      <c r="C71" s="18">
        <f>(5377.0/B71*100)</f>
        <v/>
      </c>
      <c r="D71" s="19" t="n">
        <v>738</v>
      </c>
      <c r="E71" s="18" t="n">
        <v>41.23415198</v>
      </c>
      <c r="F71" s="20" t="n">
        <v>1.97215401</v>
      </c>
      <c r="G71" s="18" t="n">
        <v>57.70861009</v>
      </c>
      <c r="H71" s="20" t="n">
        <v>1.96989614</v>
      </c>
      <c r="I71" s="18" t="s">
        <v>349</v>
      </c>
      <c r="J71" s="20" t="s">
        <v>349</v>
      </c>
      <c r="K71" s="18" t="n">
        <v>0.39805153</v>
      </c>
      <c r="L71" s="20" t="n">
        <v>0.23036801</v>
      </c>
      <c r="M71" s="18" t="n">
        <v>0</v>
      </c>
      <c r="N71" s="20" t="n">
        <v>0</v>
      </c>
      <c r="O71" s="18" t="n">
        <v>0</v>
      </c>
      <c r="P71" s="20" t="n">
        <v>0</v>
      </c>
      <c r="Q71" s="18" t="n">
        <v>0.6591864</v>
      </c>
      <c r="R71" s="20" t="n">
        <v>0.28769898</v>
      </c>
    </row>
    <row r="72" spans="1:18">
      <c r="A72" s="15" t="s">
        <v>414</v>
      </c>
      <c r="B72" s="17" t="n">
        <v>7708</v>
      </c>
      <c r="C72" s="18">
        <f>(6768.0/B72*100)</f>
        <v/>
      </c>
      <c r="D72" s="19" t="n">
        <v>940</v>
      </c>
      <c r="E72" s="18" t="n">
        <v>55.62716967</v>
      </c>
      <c r="F72" s="20" t="n">
        <v>2.02605102</v>
      </c>
      <c r="G72" s="18" t="n">
        <v>43.92677462</v>
      </c>
      <c r="H72" s="20" t="n">
        <v>1.97764999</v>
      </c>
      <c r="I72" s="18" t="s">
        <v>349</v>
      </c>
      <c r="J72" s="20" t="s">
        <v>349</v>
      </c>
      <c r="K72" s="18" t="n">
        <v>0.28397783</v>
      </c>
      <c r="L72" s="20" t="n">
        <v>0.20036399</v>
      </c>
      <c r="M72" s="18" t="n">
        <v>0</v>
      </c>
      <c r="N72" s="20" t="n">
        <v>0</v>
      </c>
      <c r="O72" s="18" t="n">
        <v>0</v>
      </c>
      <c r="P72" s="20" t="n">
        <v>0</v>
      </c>
      <c r="Q72" s="18" t="n">
        <v>0.16207789</v>
      </c>
      <c r="R72" s="20" t="n">
        <v>0.10610091</v>
      </c>
    </row>
    <row r="73" spans="1:18">
      <c r="A73" s="15" t="s">
        <v>415</v>
      </c>
      <c r="B73" s="17" t="n">
        <v>8249</v>
      </c>
      <c r="C73" s="18">
        <f>(7251.0/B73*100)</f>
        <v/>
      </c>
      <c r="D73" s="19" t="n">
        <v>998</v>
      </c>
      <c r="E73" s="18" t="n">
        <v>78.34926181</v>
      </c>
      <c r="F73" s="20" t="n">
        <v>1.90029305</v>
      </c>
      <c r="G73" s="18" t="n">
        <v>20.92118778</v>
      </c>
      <c r="H73" s="20" t="n">
        <v>1.93172193</v>
      </c>
      <c r="I73" s="18" t="s">
        <v>349</v>
      </c>
      <c r="J73" s="20" t="s">
        <v>349</v>
      </c>
      <c r="K73" s="18" t="n">
        <v>0.04475952</v>
      </c>
      <c r="L73" s="20" t="n">
        <v>0.03808587</v>
      </c>
      <c r="M73" s="18" t="n">
        <v>0</v>
      </c>
      <c r="N73" s="20" t="n">
        <v>0</v>
      </c>
      <c r="O73" s="18" t="n">
        <v>0</v>
      </c>
      <c r="P73" s="20" t="n">
        <v>0</v>
      </c>
      <c r="Q73" s="18" t="n">
        <v>0.68479089</v>
      </c>
      <c r="R73" s="20" t="n">
        <v>0.29993755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(4782.0/B75*100)</f>
        <v/>
      </c>
      <c r="D75" s="19" t="n">
        <v>593</v>
      </c>
      <c r="E75" s="18" t="n">
        <v>76.30482637999999</v>
      </c>
      <c r="F75" s="20" t="n">
        <v>1.62677378</v>
      </c>
      <c r="G75" s="18" t="n">
        <v>17.57913398</v>
      </c>
      <c r="H75" s="20" t="n">
        <v>1.54801407</v>
      </c>
      <c r="I75" s="18" t="s">
        <v>349</v>
      </c>
      <c r="J75" s="20" t="s">
        <v>349</v>
      </c>
      <c r="K75" s="18" t="n">
        <v>2.90069874</v>
      </c>
      <c r="L75" s="20" t="n">
        <v>0.6785339</v>
      </c>
      <c r="M75" s="18" t="n">
        <v>0</v>
      </c>
      <c r="N75" s="20" t="n">
        <v>0</v>
      </c>
      <c r="O75" s="18" t="n">
        <v>0</v>
      </c>
      <c r="P75" s="20" t="n">
        <v>0</v>
      </c>
      <c r="Q75" s="18" t="n">
        <v>3.21534091</v>
      </c>
      <c r="R75" s="20" t="n">
        <v>0.74637814</v>
      </c>
    </row>
    <row r="76" spans="1:18">
      <c r="A76" s="15" t="s">
        <v>418</v>
      </c>
      <c r="B76" s="17" t="n">
        <v>14167</v>
      </c>
      <c r="C76" s="18">
        <f>(12469.0/B76*100)</f>
        <v/>
      </c>
      <c r="D76" s="19" t="n">
        <v>1698</v>
      </c>
      <c r="E76" s="18" t="n">
        <v>67.71319776</v>
      </c>
      <c r="F76" s="20" t="n">
        <v>1.50568889</v>
      </c>
      <c r="G76" s="18" t="n">
        <v>30.01132817</v>
      </c>
      <c r="H76" s="20" t="n">
        <v>1.48824652</v>
      </c>
      <c r="I76" s="18" t="s">
        <v>349</v>
      </c>
      <c r="J76" s="20" t="s">
        <v>349</v>
      </c>
      <c r="K76" s="18" t="n">
        <v>1.03429255</v>
      </c>
      <c r="L76" s="20" t="n">
        <v>0.26279363</v>
      </c>
      <c r="M76" s="18" t="n">
        <v>0</v>
      </c>
      <c r="N76" s="20" t="n">
        <v>0</v>
      </c>
      <c r="O76" s="18" t="n">
        <v>0</v>
      </c>
      <c r="P76" s="20" t="n">
        <v>0</v>
      </c>
      <c r="Q76" s="18" t="n">
        <v>1.24118152</v>
      </c>
      <c r="R76" s="20" t="n">
        <v>0.30164406</v>
      </c>
    </row>
    <row r="77" spans="1:18">
      <c r="A77" s="15" t="s">
        <v>419</v>
      </c>
      <c r="B77" s="17" t="n">
        <v>6062</v>
      </c>
      <c r="C77" s="18">
        <f>(5344.0/B77*100)</f>
        <v/>
      </c>
      <c r="D77" s="19" t="n">
        <v>718</v>
      </c>
      <c r="E77" s="18" t="n">
        <v>65.26567042000001</v>
      </c>
      <c r="F77" s="20" t="n">
        <v>1.71937128</v>
      </c>
      <c r="G77" s="18" t="n">
        <v>26.95178277</v>
      </c>
      <c r="H77" s="20" t="n">
        <v>1.53486182</v>
      </c>
      <c r="I77" s="18" t="s">
        <v>349</v>
      </c>
      <c r="J77" s="20" t="s">
        <v>349</v>
      </c>
      <c r="K77" s="18" t="n">
        <v>1.38793518</v>
      </c>
      <c r="L77" s="20" t="n">
        <v>0.43986557</v>
      </c>
      <c r="M77" s="18" t="n">
        <v>0</v>
      </c>
      <c r="N77" s="20" t="n">
        <v>0</v>
      </c>
      <c r="O77" s="18" t="n">
        <v>0</v>
      </c>
      <c r="P77" s="20" t="n">
        <v>0</v>
      </c>
      <c r="Q77" s="18" t="n">
        <v>6.39461162</v>
      </c>
      <c r="R77" s="20" t="n">
        <v>0.95323123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(7782.0/B81*100)</f>
        <v/>
      </c>
      <c r="D81" s="19" t="n">
        <v>1079</v>
      </c>
      <c r="E81" s="18" t="n">
        <v>72.48317519</v>
      </c>
      <c r="F81" s="20" t="n">
        <v>1.78966993</v>
      </c>
      <c r="G81" s="18" t="n">
        <v>26.71702834</v>
      </c>
      <c r="H81" s="20" t="n">
        <v>1.7779909</v>
      </c>
      <c r="I81" s="18" t="s">
        <v>349</v>
      </c>
      <c r="J81" s="20" t="s">
        <v>349</v>
      </c>
      <c r="K81" s="18" t="n">
        <v>0.41841489</v>
      </c>
      <c r="L81" s="20" t="n">
        <v>0.39053047</v>
      </c>
      <c r="M81" s="18" t="n">
        <v>0</v>
      </c>
      <c r="N81" s="20" t="n">
        <v>0</v>
      </c>
      <c r="O81" s="18" t="n">
        <v>0</v>
      </c>
      <c r="P81" s="20" t="n">
        <v>0</v>
      </c>
      <c r="Q81" s="18" t="n">
        <v>0.38138158</v>
      </c>
      <c r="R81" s="20" t="n">
        <v>0.21878761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469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(12853.0/B7*100)</f>
        <v/>
      </c>
      <c r="D7" s="19" t="n">
        <v>1677</v>
      </c>
      <c r="E7" s="18" t="n">
        <v>54.47223017</v>
      </c>
      <c r="F7" s="20" t="n">
        <v>1.37072445</v>
      </c>
      <c r="G7" s="18" t="n">
        <v>44.3843795</v>
      </c>
      <c r="H7" s="20" t="n">
        <v>1.3670513</v>
      </c>
      <c r="I7" s="18" t="s">
        <v>349</v>
      </c>
      <c r="J7" s="20" t="s">
        <v>349</v>
      </c>
      <c r="K7" s="18" t="n">
        <v>0.9439348</v>
      </c>
      <c r="L7" s="20" t="n">
        <v>0.27315179</v>
      </c>
      <c r="M7" s="18" t="n">
        <v>0</v>
      </c>
      <c r="N7" s="20" t="n">
        <v>0</v>
      </c>
      <c r="O7" s="18" t="n">
        <v>0</v>
      </c>
      <c r="P7" s="20" t="n">
        <v>0</v>
      </c>
      <c r="Q7" s="18" t="n">
        <v>0.19945552</v>
      </c>
      <c r="R7" s="20" t="n">
        <v>0.11247126</v>
      </c>
    </row>
    <row r="8" spans="1:18">
      <c r="A8" s="15" t="s">
        <v>350</v>
      </c>
      <c r="B8" s="17" t="n">
        <v>7007</v>
      </c>
      <c r="C8" s="18">
        <f>(6173.0/B8*100)</f>
        <v/>
      </c>
      <c r="D8" s="19" t="n">
        <v>834</v>
      </c>
      <c r="E8" s="18" t="n">
        <v>47.95263291</v>
      </c>
      <c r="F8" s="20" t="n">
        <v>2.0179853</v>
      </c>
      <c r="G8" s="18" t="n">
        <v>51.22081122</v>
      </c>
      <c r="H8" s="20" t="n">
        <v>2.05718229</v>
      </c>
      <c r="I8" s="18" t="s">
        <v>349</v>
      </c>
      <c r="J8" s="20" t="s">
        <v>349</v>
      </c>
      <c r="K8" s="18" t="n">
        <v>0.625417</v>
      </c>
      <c r="L8" s="20" t="n">
        <v>0.31226007</v>
      </c>
      <c r="M8" s="18" t="n">
        <v>0</v>
      </c>
      <c r="N8" s="20" t="n">
        <v>0</v>
      </c>
      <c r="O8" s="18" t="n">
        <v>0</v>
      </c>
      <c r="P8" s="20" t="n">
        <v>0</v>
      </c>
      <c r="Q8" s="18" t="n">
        <v>0.20113888</v>
      </c>
      <c r="R8" s="20" t="n">
        <v>0.16772845</v>
      </c>
    </row>
    <row r="9" spans="1:18">
      <c r="A9" s="15" t="s">
        <v>351</v>
      </c>
      <c r="B9" s="17" t="n">
        <v>9651</v>
      </c>
      <c r="C9" s="18">
        <f>(8534.0/B9*100)</f>
        <v/>
      </c>
      <c r="D9" s="19" t="n">
        <v>1117</v>
      </c>
      <c r="E9" s="18" t="n">
        <v>42.22776169</v>
      </c>
      <c r="F9" s="20" t="n">
        <v>1.90333314</v>
      </c>
      <c r="G9" s="18" t="n">
        <v>56.21336207</v>
      </c>
      <c r="H9" s="20" t="n">
        <v>1.87540699</v>
      </c>
      <c r="I9" s="18" t="s">
        <v>349</v>
      </c>
      <c r="J9" s="20" t="s">
        <v>349</v>
      </c>
      <c r="K9" s="18" t="n">
        <v>0.92467804</v>
      </c>
      <c r="L9" s="20" t="n">
        <v>0.35133631</v>
      </c>
      <c r="M9" s="18" t="n">
        <v>0</v>
      </c>
      <c r="N9" s="20" t="n">
        <v>0</v>
      </c>
      <c r="O9" s="18" t="n">
        <v>0</v>
      </c>
      <c r="P9" s="20" t="n">
        <v>0</v>
      </c>
      <c r="Q9" s="18" t="n">
        <v>0.6341982</v>
      </c>
      <c r="R9" s="20" t="n">
        <v>0.22055482</v>
      </c>
    </row>
    <row r="10" spans="1:18">
      <c r="A10" s="15" t="s">
        <v>352</v>
      </c>
      <c r="B10" s="17" t="n">
        <v>20058</v>
      </c>
      <c r="C10" s="18">
        <f>(17623.0/B10*100)</f>
        <v/>
      </c>
      <c r="D10" s="19" t="n">
        <v>2435</v>
      </c>
      <c r="E10" s="18" t="n">
        <v>48.59251777</v>
      </c>
      <c r="F10" s="20" t="n">
        <v>1.55985653</v>
      </c>
      <c r="G10" s="18" t="n">
        <v>50.39203574</v>
      </c>
      <c r="H10" s="20" t="n">
        <v>1.4551093</v>
      </c>
      <c r="I10" s="18" t="s">
        <v>349</v>
      </c>
      <c r="J10" s="20" t="s">
        <v>349</v>
      </c>
      <c r="K10" s="18" t="n">
        <v>0.88391356</v>
      </c>
      <c r="L10" s="20" t="n">
        <v>0.32377639</v>
      </c>
      <c r="M10" s="18" t="n">
        <v>0</v>
      </c>
      <c r="N10" s="20" t="n">
        <v>0</v>
      </c>
      <c r="O10" s="18" t="n">
        <v>0</v>
      </c>
      <c r="P10" s="20" t="n">
        <v>0</v>
      </c>
      <c r="Q10" s="18" t="n">
        <v>0.13153293</v>
      </c>
      <c r="R10" s="20" t="n">
        <v>0.06638856</v>
      </c>
    </row>
    <row r="11" spans="1:18">
      <c r="A11" s="15" t="s">
        <v>353</v>
      </c>
      <c r="B11" s="17" t="n">
        <v>7053</v>
      </c>
      <c r="C11" s="18">
        <f>(6230.0/B11*100)</f>
        <v/>
      </c>
      <c r="D11" s="19" t="n">
        <v>823</v>
      </c>
      <c r="E11" s="18" t="n">
        <v>63.41854313</v>
      </c>
      <c r="F11" s="20" t="n">
        <v>2.2545508</v>
      </c>
      <c r="G11" s="18" t="n">
        <v>35.28679634</v>
      </c>
      <c r="H11" s="20" t="n">
        <v>2.21061254</v>
      </c>
      <c r="I11" s="18" t="s">
        <v>349</v>
      </c>
      <c r="J11" s="20" t="s">
        <v>349</v>
      </c>
      <c r="K11" s="18" t="n">
        <v>0.9414837700000001</v>
      </c>
      <c r="L11" s="20" t="n">
        <v>0.26797863</v>
      </c>
      <c r="M11" s="18" t="n">
        <v>0</v>
      </c>
      <c r="N11" s="20" t="n">
        <v>0</v>
      </c>
      <c r="O11" s="18" t="n">
        <v>0</v>
      </c>
      <c r="P11" s="20" t="n">
        <v>0</v>
      </c>
      <c r="Q11" s="18" t="n">
        <v>0.35317676</v>
      </c>
      <c r="R11" s="20" t="n">
        <v>0.34819696</v>
      </c>
    </row>
    <row r="12" spans="1:18">
      <c r="A12" s="15" t="s">
        <v>354</v>
      </c>
      <c r="B12" s="17" t="n">
        <v>6894</v>
      </c>
      <c r="C12" s="18">
        <f>(6067.0/B12*100)</f>
        <v/>
      </c>
      <c r="D12" s="19" t="n">
        <v>827</v>
      </c>
      <c r="E12" s="18" t="n">
        <v>44.76313282</v>
      </c>
      <c r="F12" s="20" t="n">
        <v>1.8441485</v>
      </c>
      <c r="G12" s="18" t="n">
        <v>54.4853819</v>
      </c>
      <c r="H12" s="20" t="n">
        <v>1.84716586</v>
      </c>
      <c r="I12" s="18" t="s">
        <v>349</v>
      </c>
      <c r="J12" s="20" t="s">
        <v>349</v>
      </c>
      <c r="K12" s="18" t="n">
        <v>0.18050014</v>
      </c>
      <c r="L12" s="20" t="n">
        <v>0.13220427</v>
      </c>
      <c r="M12" s="18" t="n">
        <v>0</v>
      </c>
      <c r="N12" s="20" t="n">
        <v>0</v>
      </c>
      <c r="O12" s="18" t="n">
        <v>0</v>
      </c>
      <c r="P12" s="20" t="n">
        <v>0</v>
      </c>
      <c r="Q12" s="18" t="n">
        <v>0.57098514</v>
      </c>
      <c r="R12" s="20" t="n">
        <v>0.32305065</v>
      </c>
    </row>
    <row r="13" spans="1:18">
      <c r="A13" s="15" t="s">
        <v>355</v>
      </c>
      <c r="B13" s="17" t="n">
        <v>7161</v>
      </c>
      <c r="C13" s="18">
        <f>(6346.0/B13*100)</f>
        <v/>
      </c>
      <c r="D13" s="19" t="n">
        <v>815</v>
      </c>
      <c r="E13" s="18" t="n">
        <v>49.69552351</v>
      </c>
      <c r="F13" s="20" t="n">
        <v>2.3727721</v>
      </c>
      <c r="G13" s="18" t="n">
        <v>49.1124112</v>
      </c>
      <c r="H13" s="20" t="n">
        <v>2.42186044</v>
      </c>
      <c r="I13" s="18" t="s">
        <v>349</v>
      </c>
      <c r="J13" s="20" t="s">
        <v>349</v>
      </c>
      <c r="K13" s="18" t="n">
        <v>1.1920653</v>
      </c>
      <c r="L13" s="20" t="n">
        <v>0.44897874</v>
      </c>
      <c r="M13" s="18" t="n">
        <v>0</v>
      </c>
      <c r="N13" s="20" t="n">
        <v>0</v>
      </c>
      <c r="O13" s="18" t="n">
        <v>0</v>
      </c>
      <c r="P13" s="20" t="n">
        <v>0</v>
      </c>
      <c r="Q13" s="18" t="n">
        <v>0</v>
      </c>
      <c r="R13" s="20" t="n">
        <v>0</v>
      </c>
    </row>
    <row r="14" spans="1:18">
      <c r="A14" s="15" t="s">
        <v>356</v>
      </c>
      <c r="B14" s="17" t="n">
        <v>5587</v>
      </c>
      <c r="C14" s="18">
        <f>(4899.0/B14*100)</f>
        <v/>
      </c>
      <c r="D14" s="19" t="n">
        <v>688</v>
      </c>
      <c r="E14" s="18" t="n">
        <v>50.71057362</v>
      </c>
      <c r="F14" s="20" t="n">
        <v>2.02361205</v>
      </c>
      <c r="G14" s="18" t="n">
        <v>48.38731446</v>
      </c>
      <c r="H14" s="20" t="n">
        <v>1.99826477</v>
      </c>
      <c r="I14" s="18" t="s">
        <v>349</v>
      </c>
      <c r="J14" s="20" t="s">
        <v>349</v>
      </c>
      <c r="K14" s="18" t="n">
        <v>0.66969221</v>
      </c>
      <c r="L14" s="20" t="n">
        <v>0.3076706</v>
      </c>
      <c r="M14" s="18" t="n">
        <v>0</v>
      </c>
      <c r="N14" s="20" t="n">
        <v>0</v>
      </c>
      <c r="O14" s="18" t="n">
        <v>0</v>
      </c>
      <c r="P14" s="20" t="n">
        <v>0</v>
      </c>
      <c r="Q14" s="18" t="n">
        <v>0.23241971</v>
      </c>
      <c r="R14" s="20" t="n">
        <v>0.13572142</v>
      </c>
    </row>
    <row r="15" spans="1:18">
      <c r="A15" s="15" t="s">
        <v>357</v>
      </c>
      <c r="B15" s="17" t="n">
        <v>5882</v>
      </c>
      <c r="C15" s="18">
        <f>(5161.0/B15*100)</f>
        <v/>
      </c>
      <c r="D15" s="19" t="n">
        <v>721</v>
      </c>
      <c r="E15" s="18" t="n">
        <v>51.85174222</v>
      </c>
      <c r="F15" s="20" t="n">
        <v>1.8229856</v>
      </c>
      <c r="G15" s="18" t="n">
        <v>47.36753513</v>
      </c>
      <c r="H15" s="20" t="n">
        <v>1.8092359</v>
      </c>
      <c r="I15" s="18" t="s">
        <v>349</v>
      </c>
      <c r="J15" s="20" t="s">
        <v>349</v>
      </c>
      <c r="K15" s="18" t="n">
        <v>0.51501907</v>
      </c>
      <c r="L15" s="20" t="n">
        <v>0.19508156</v>
      </c>
      <c r="M15" s="18" t="n">
        <v>0</v>
      </c>
      <c r="N15" s="20" t="n">
        <v>0</v>
      </c>
      <c r="O15" s="18" t="n">
        <v>0</v>
      </c>
      <c r="P15" s="20" t="n">
        <v>0</v>
      </c>
      <c r="Q15" s="18" t="n">
        <v>0.26570358</v>
      </c>
      <c r="R15" s="20" t="n">
        <v>0.18406856</v>
      </c>
    </row>
    <row r="16" spans="1:18">
      <c r="A16" s="15" t="s">
        <v>358</v>
      </c>
      <c r="B16" s="17" t="n">
        <v>6108</v>
      </c>
      <c r="C16" s="18">
        <f>(5354.0/B16*100)</f>
        <v/>
      </c>
      <c r="D16" s="19" t="n">
        <v>754</v>
      </c>
      <c r="E16" s="18" t="n">
        <v>54.45492705</v>
      </c>
      <c r="F16" s="20" t="n">
        <v>1.91704155</v>
      </c>
      <c r="G16" s="18" t="n">
        <v>44.4106524</v>
      </c>
      <c r="H16" s="20" t="n">
        <v>1.86196314</v>
      </c>
      <c r="I16" s="18" t="s">
        <v>349</v>
      </c>
      <c r="J16" s="20" t="s">
        <v>349</v>
      </c>
      <c r="K16" s="18" t="n">
        <v>1.13442055</v>
      </c>
      <c r="L16" s="20" t="n">
        <v>0.43105292</v>
      </c>
      <c r="M16" s="18" t="n">
        <v>0</v>
      </c>
      <c r="N16" s="20" t="n">
        <v>0</v>
      </c>
      <c r="O16" s="18" t="n">
        <v>0</v>
      </c>
      <c r="P16" s="20" t="n">
        <v>0</v>
      </c>
      <c r="Q16" s="18" t="n">
        <v>0</v>
      </c>
      <c r="R16" s="20" t="n">
        <v>0</v>
      </c>
    </row>
    <row r="17" spans="1:18">
      <c r="A17" s="15" t="s">
        <v>359</v>
      </c>
      <c r="B17" s="17" t="n">
        <v>6504</v>
      </c>
      <c r="C17" s="18">
        <f>(5751.0/B17*100)</f>
        <v/>
      </c>
      <c r="D17" s="19" t="n">
        <v>753</v>
      </c>
      <c r="E17" s="18" t="n">
        <v>46.80202699</v>
      </c>
      <c r="F17" s="20" t="n">
        <v>1.96096966</v>
      </c>
      <c r="G17" s="18" t="n">
        <v>52.64828617</v>
      </c>
      <c r="H17" s="20" t="n">
        <v>1.94309159</v>
      </c>
      <c r="I17" s="18" t="s">
        <v>349</v>
      </c>
      <c r="J17" s="20" t="s">
        <v>349</v>
      </c>
      <c r="K17" s="18" t="n">
        <v>0.5496868499999999</v>
      </c>
      <c r="L17" s="20" t="n">
        <v>0.28233957</v>
      </c>
      <c r="M17" s="18" t="n">
        <v>0</v>
      </c>
      <c r="N17" s="20" t="n">
        <v>0</v>
      </c>
      <c r="O17" s="18" t="n">
        <v>0</v>
      </c>
      <c r="P17" s="20" t="n">
        <v>0</v>
      </c>
      <c r="Q17" s="18" t="n">
        <v>0</v>
      </c>
      <c r="R17" s="20" t="n">
        <v>0</v>
      </c>
    </row>
    <row r="18" spans="1:18">
      <c r="A18" s="15" t="s">
        <v>360</v>
      </c>
      <c r="B18" s="17" t="n">
        <v>5532</v>
      </c>
      <c r="C18" s="18">
        <f>(4844.0/B18*100)</f>
        <v/>
      </c>
      <c r="D18" s="19" t="n">
        <v>688</v>
      </c>
      <c r="E18" s="18" t="n">
        <v>59.79539148</v>
      </c>
      <c r="F18" s="20" t="n">
        <v>1.94089911</v>
      </c>
      <c r="G18" s="18" t="n">
        <v>38.87870183</v>
      </c>
      <c r="H18" s="20" t="n">
        <v>1.99297768</v>
      </c>
      <c r="I18" s="18" t="s">
        <v>349</v>
      </c>
      <c r="J18" s="20" t="s">
        <v>349</v>
      </c>
      <c r="K18" s="18" t="n">
        <v>0.6974466</v>
      </c>
      <c r="L18" s="20" t="n">
        <v>0.43325145</v>
      </c>
      <c r="M18" s="18" t="n">
        <v>0</v>
      </c>
      <c r="N18" s="20" t="n">
        <v>0</v>
      </c>
      <c r="O18" s="18" t="n">
        <v>0</v>
      </c>
      <c r="P18" s="20" t="n">
        <v>0</v>
      </c>
      <c r="Q18" s="18" t="n">
        <v>0.62846009</v>
      </c>
      <c r="R18" s="20" t="n">
        <v>0.34209509</v>
      </c>
    </row>
    <row r="19" spans="1:18">
      <c r="A19" s="15" t="s">
        <v>361</v>
      </c>
      <c r="B19" s="17" t="n">
        <v>5658</v>
      </c>
      <c r="C19" s="18">
        <f>(4964.0/B19*100)</f>
        <v/>
      </c>
      <c r="D19" s="19" t="n">
        <v>694</v>
      </c>
      <c r="E19" s="18" t="n">
        <v>53.53728595</v>
      </c>
      <c r="F19" s="20" t="n">
        <v>2.03446932</v>
      </c>
      <c r="G19" s="18" t="n">
        <v>45.53760173</v>
      </c>
      <c r="H19" s="20" t="n">
        <v>1.95251577</v>
      </c>
      <c r="I19" s="18" t="s">
        <v>349</v>
      </c>
      <c r="J19" s="20" t="s">
        <v>349</v>
      </c>
      <c r="K19" s="18" t="n">
        <v>0.13182043</v>
      </c>
      <c r="L19" s="20" t="n">
        <v>0.13299995</v>
      </c>
      <c r="M19" s="18" t="n">
        <v>0</v>
      </c>
      <c r="N19" s="20" t="n">
        <v>0</v>
      </c>
      <c r="O19" s="18" t="n">
        <v>0</v>
      </c>
      <c r="P19" s="20" t="n">
        <v>0</v>
      </c>
      <c r="Q19" s="18" t="n">
        <v>0.7932918799999999</v>
      </c>
      <c r="R19" s="20" t="n">
        <v>0.43971841</v>
      </c>
    </row>
    <row r="20" spans="1:18">
      <c r="A20" s="15" t="s">
        <v>362</v>
      </c>
      <c r="B20" s="17" t="n">
        <v>3371</v>
      </c>
      <c r="C20" s="18">
        <f>(2960.0/B20*100)</f>
        <v/>
      </c>
      <c r="D20" s="19" t="n">
        <v>411</v>
      </c>
      <c r="E20" s="18" t="n">
        <v>60.50965547</v>
      </c>
      <c r="F20" s="20" t="n">
        <v>2.5747874</v>
      </c>
      <c r="G20" s="18" t="n">
        <v>38.32165792</v>
      </c>
      <c r="H20" s="20" t="n">
        <v>2.59625835</v>
      </c>
      <c r="I20" s="18" t="s">
        <v>349</v>
      </c>
      <c r="J20" s="20" t="s">
        <v>349</v>
      </c>
      <c r="K20" s="18" t="n">
        <v>0.46650701</v>
      </c>
      <c r="L20" s="20" t="n">
        <v>0.3408645</v>
      </c>
      <c r="M20" s="18" t="n">
        <v>0</v>
      </c>
      <c r="N20" s="20" t="n">
        <v>0</v>
      </c>
      <c r="O20" s="18" t="n">
        <v>0</v>
      </c>
      <c r="P20" s="20" t="n">
        <v>0</v>
      </c>
      <c r="Q20" s="18" t="n">
        <v>0.7021796</v>
      </c>
      <c r="R20" s="20" t="n">
        <v>0.36302931</v>
      </c>
    </row>
    <row r="21" spans="1:18">
      <c r="A21" s="15" t="s">
        <v>363</v>
      </c>
      <c r="B21" s="17" t="n">
        <v>5741</v>
      </c>
      <c r="C21" s="18">
        <f>(4790.0/B21*100)</f>
        <v/>
      </c>
      <c r="D21" s="19" t="n">
        <v>951</v>
      </c>
      <c r="E21" s="18" t="n">
        <v>59.70932195</v>
      </c>
      <c r="F21" s="20" t="n">
        <v>1.67841009</v>
      </c>
      <c r="G21" s="18" t="n">
        <v>39.80963991</v>
      </c>
      <c r="H21" s="20" t="n">
        <v>1.64907723</v>
      </c>
      <c r="I21" s="18" t="s">
        <v>349</v>
      </c>
      <c r="J21" s="20" t="s">
        <v>349</v>
      </c>
      <c r="K21" s="18" t="n">
        <v>0.40517394</v>
      </c>
      <c r="L21" s="20" t="n">
        <v>0.23220482</v>
      </c>
      <c r="M21" s="18" t="n">
        <v>0</v>
      </c>
      <c r="N21" s="20" t="n">
        <v>0</v>
      </c>
      <c r="O21" s="18" t="n">
        <v>0</v>
      </c>
      <c r="P21" s="20" t="n">
        <v>0</v>
      </c>
      <c r="Q21" s="18" t="n">
        <v>0.07586420000000001</v>
      </c>
      <c r="R21" s="20" t="n">
        <v>0.06989969</v>
      </c>
    </row>
    <row r="22" spans="1:18">
      <c r="A22" s="15" t="s">
        <v>364</v>
      </c>
      <c r="B22" s="17" t="n">
        <v>6598</v>
      </c>
      <c r="C22" s="18">
        <f>(5798.0/B22*100)</f>
        <v/>
      </c>
      <c r="D22" s="19" t="n">
        <v>800</v>
      </c>
      <c r="E22" s="18" t="n">
        <v>49.19150337</v>
      </c>
      <c r="F22" s="20" t="n">
        <v>2.12396722</v>
      </c>
      <c r="G22" s="18" t="n">
        <v>49.21997191</v>
      </c>
      <c r="H22" s="20" t="n">
        <v>2.07362047</v>
      </c>
      <c r="I22" s="18" t="s">
        <v>349</v>
      </c>
      <c r="J22" s="20" t="s">
        <v>349</v>
      </c>
      <c r="K22" s="18" t="n">
        <v>0.7526602100000001</v>
      </c>
      <c r="L22" s="20" t="n">
        <v>0.33808502</v>
      </c>
      <c r="M22" s="18" t="n">
        <v>0</v>
      </c>
      <c r="N22" s="20" t="n">
        <v>0</v>
      </c>
      <c r="O22" s="18" t="n">
        <v>0</v>
      </c>
      <c r="P22" s="20" t="n">
        <v>0</v>
      </c>
      <c r="Q22" s="18" t="n">
        <v>0.8358645099999999</v>
      </c>
      <c r="R22" s="20" t="n">
        <v>0.39429192</v>
      </c>
    </row>
    <row r="23" spans="1:18">
      <c r="A23" s="15" t="s">
        <v>365</v>
      </c>
      <c r="B23" s="17" t="n">
        <v>11583</v>
      </c>
      <c r="C23" s="18">
        <f>(10176.0/B23*100)</f>
        <v/>
      </c>
      <c r="D23" s="19" t="n">
        <v>1407</v>
      </c>
      <c r="E23" s="18" t="n">
        <v>51.97438212</v>
      </c>
      <c r="F23" s="20" t="n">
        <v>1.63635852</v>
      </c>
      <c r="G23" s="18" t="n">
        <v>47.26553186</v>
      </c>
      <c r="H23" s="20" t="n">
        <v>1.57831264</v>
      </c>
      <c r="I23" s="18" t="s">
        <v>349</v>
      </c>
      <c r="J23" s="20" t="s">
        <v>349</v>
      </c>
      <c r="K23" s="18" t="n">
        <v>0.44416806</v>
      </c>
      <c r="L23" s="20" t="n">
        <v>0.25591532</v>
      </c>
      <c r="M23" s="18" t="n">
        <v>0</v>
      </c>
      <c r="N23" s="20" t="n">
        <v>0</v>
      </c>
      <c r="O23" s="18" t="n">
        <v>0</v>
      </c>
      <c r="P23" s="20" t="n">
        <v>0</v>
      </c>
      <c r="Q23" s="18" t="n">
        <v>0.31591796</v>
      </c>
      <c r="R23" s="20" t="n">
        <v>0.18317629</v>
      </c>
    </row>
    <row r="24" spans="1:18">
      <c r="A24" s="15" t="s">
        <v>366</v>
      </c>
      <c r="B24" s="17" t="n">
        <v>6647</v>
      </c>
      <c r="C24" s="18">
        <f>(5822.0/B24*100)</f>
        <v/>
      </c>
      <c r="D24" s="19" t="n">
        <v>825</v>
      </c>
      <c r="E24" s="18" t="n">
        <v>47.51099372</v>
      </c>
      <c r="F24" s="20" t="n">
        <v>1.56800051</v>
      </c>
      <c r="G24" s="18" t="n">
        <v>52.27581066</v>
      </c>
      <c r="H24" s="20" t="n">
        <v>1.55012346</v>
      </c>
      <c r="I24" s="18" t="s">
        <v>349</v>
      </c>
      <c r="J24" s="20" t="s">
        <v>349</v>
      </c>
      <c r="K24" s="18" t="n">
        <v>0.11196721</v>
      </c>
      <c r="L24" s="20" t="n">
        <v>0.11312973</v>
      </c>
      <c r="M24" s="18" t="n">
        <v>0</v>
      </c>
      <c r="N24" s="20" t="n">
        <v>0</v>
      </c>
      <c r="O24" s="18" t="n">
        <v>0</v>
      </c>
      <c r="P24" s="20" t="n">
        <v>0</v>
      </c>
      <c r="Q24" s="18" t="n">
        <v>0.10122841</v>
      </c>
      <c r="R24" s="20" t="n">
        <v>0.10136796</v>
      </c>
    </row>
    <row r="25" spans="1:18">
      <c r="A25" s="15" t="s">
        <v>367</v>
      </c>
      <c r="B25" s="17" t="n">
        <v>5581</v>
      </c>
      <c r="C25" s="18">
        <f>(4906.0/B25*100)</f>
        <v/>
      </c>
      <c r="D25" s="19" t="n">
        <v>675</v>
      </c>
      <c r="E25" s="18" t="n">
        <v>36.77600981</v>
      </c>
      <c r="F25" s="20" t="n">
        <v>2.00214727</v>
      </c>
      <c r="G25" s="18" t="n">
        <v>63.09220549</v>
      </c>
      <c r="H25" s="20" t="n">
        <v>2.00762978</v>
      </c>
      <c r="I25" s="18" t="s">
        <v>349</v>
      </c>
      <c r="J25" s="20" t="s">
        <v>349</v>
      </c>
      <c r="K25" s="18" t="n">
        <v>0</v>
      </c>
      <c r="L25" s="20" t="n">
        <v>0</v>
      </c>
      <c r="M25" s="18" t="n">
        <v>0</v>
      </c>
      <c r="N25" s="20" t="n">
        <v>0</v>
      </c>
      <c r="O25" s="18" t="n">
        <v>0</v>
      </c>
      <c r="P25" s="20" t="n">
        <v>0</v>
      </c>
      <c r="Q25" s="18" t="n">
        <v>0.1317847</v>
      </c>
      <c r="R25" s="20" t="n">
        <v>0.1317931</v>
      </c>
    </row>
    <row r="26" spans="1:18">
      <c r="A26" s="15" t="s">
        <v>368</v>
      </c>
      <c r="B26" s="17" t="n">
        <v>4869</v>
      </c>
      <c r="C26" s="18">
        <f>(4287.0/B26*100)</f>
        <v/>
      </c>
      <c r="D26" s="19" t="n">
        <v>582</v>
      </c>
      <c r="E26" s="18" t="n">
        <v>52.15918027</v>
      </c>
      <c r="F26" s="20" t="n">
        <v>2.11716985</v>
      </c>
      <c r="G26" s="18" t="n">
        <v>47.54634619</v>
      </c>
      <c r="H26" s="20" t="n">
        <v>2.10705746</v>
      </c>
      <c r="I26" s="18" t="s">
        <v>349</v>
      </c>
      <c r="J26" s="20" t="s">
        <v>349</v>
      </c>
      <c r="K26" s="18" t="n">
        <v>0.29447354</v>
      </c>
      <c r="L26" s="20" t="n">
        <v>0.23885947</v>
      </c>
      <c r="M26" s="18" t="n">
        <v>0</v>
      </c>
      <c r="N26" s="20" t="n">
        <v>0</v>
      </c>
      <c r="O26" s="18" t="n">
        <v>0</v>
      </c>
      <c r="P26" s="20" t="n">
        <v>0</v>
      </c>
      <c r="Q26" s="18" t="n">
        <v>0</v>
      </c>
      <c r="R26" s="20" t="n">
        <v>0</v>
      </c>
    </row>
    <row r="27" spans="1:18">
      <c r="A27" s="15" t="s">
        <v>369</v>
      </c>
      <c r="B27" s="17" t="n">
        <v>5299</v>
      </c>
      <c r="C27" s="18">
        <f>(4672.0/B27*100)</f>
        <v/>
      </c>
      <c r="D27" s="19" t="n">
        <v>627</v>
      </c>
      <c r="E27" s="18" t="n">
        <v>51.62356013</v>
      </c>
      <c r="F27" s="20" t="n">
        <v>2.28344017</v>
      </c>
      <c r="G27" s="18" t="n">
        <v>47.40868225</v>
      </c>
      <c r="H27" s="20" t="n">
        <v>2.29695915</v>
      </c>
      <c r="I27" s="18" t="s">
        <v>349</v>
      </c>
      <c r="J27" s="20" t="s">
        <v>349</v>
      </c>
      <c r="K27" s="18" t="n">
        <v>0.80435318</v>
      </c>
      <c r="L27" s="20" t="n">
        <v>0.35990252</v>
      </c>
      <c r="M27" s="18" t="n">
        <v>0</v>
      </c>
      <c r="N27" s="20" t="n">
        <v>0</v>
      </c>
      <c r="O27" s="18" t="n">
        <v>0</v>
      </c>
      <c r="P27" s="20" t="n">
        <v>0</v>
      </c>
      <c r="Q27" s="18" t="n">
        <v>0.16340445</v>
      </c>
      <c r="R27" s="20" t="n">
        <v>0.16370333</v>
      </c>
    </row>
    <row r="28" spans="1:18">
      <c r="A28" s="15" t="s">
        <v>370</v>
      </c>
      <c r="B28" s="17" t="n">
        <v>7568</v>
      </c>
      <c r="C28" s="18">
        <f>(6749.0/B28*100)</f>
        <v/>
      </c>
      <c r="D28" s="19" t="n">
        <v>819</v>
      </c>
      <c r="E28" s="18" t="n">
        <v>65.82020224999999</v>
      </c>
      <c r="F28" s="20" t="n">
        <v>1.91813924</v>
      </c>
      <c r="G28" s="18" t="n">
        <v>32.11955367</v>
      </c>
      <c r="H28" s="20" t="n">
        <v>1.89099385</v>
      </c>
      <c r="I28" s="18" t="s">
        <v>349</v>
      </c>
      <c r="J28" s="20" t="s">
        <v>349</v>
      </c>
      <c r="K28" s="18" t="n">
        <v>1.30043615</v>
      </c>
      <c r="L28" s="20" t="n">
        <v>0.67115875</v>
      </c>
      <c r="M28" s="18" t="n">
        <v>0</v>
      </c>
      <c r="N28" s="20" t="n">
        <v>0</v>
      </c>
      <c r="O28" s="18" t="n">
        <v>0</v>
      </c>
      <c r="P28" s="20" t="n">
        <v>0</v>
      </c>
      <c r="Q28" s="18" t="n">
        <v>0.75980793</v>
      </c>
      <c r="R28" s="20" t="n">
        <v>0.3276119</v>
      </c>
    </row>
    <row r="29" spans="1:18">
      <c r="A29" s="15" t="s">
        <v>371</v>
      </c>
      <c r="B29" s="17" t="n">
        <v>5385</v>
      </c>
      <c r="C29" s="18">
        <f>(4755.0/B29*100)</f>
        <v/>
      </c>
      <c r="D29" s="19" t="n">
        <v>630</v>
      </c>
      <c r="E29" s="18" t="n">
        <v>41.06702658</v>
      </c>
      <c r="F29" s="20" t="n">
        <v>2.17733042</v>
      </c>
      <c r="G29" s="18" t="n">
        <v>58.56861185</v>
      </c>
      <c r="H29" s="20" t="n">
        <v>2.16612316</v>
      </c>
      <c r="I29" s="18" t="s">
        <v>349</v>
      </c>
      <c r="J29" s="20" t="s">
        <v>349</v>
      </c>
      <c r="K29" s="18" t="n">
        <v>0.16168784</v>
      </c>
      <c r="L29" s="20" t="n">
        <v>0.16030023</v>
      </c>
      <c r="M29" s="18" t="n">
        <v>0</v>
      </c>
      <c r="N29" s="20" t="n">
        <v>0</v>
      </c>
      <c r="O29" s="18" t="n">
        <v>0</v>
      </c>
      <c r="P29" s="20" t="n">
        <v>0</v>
      </c>
      <c r="Q29" s="18" t="n">
        <v>0.20267374</v>
      </c>
      <c r="R29" s="20" t="n">
        <v>0.20067201</v>
      </c>
    </row>
    <row r="30" spans="1:18">
      <c r="A30" s="15" t="s">
        <v>372</v>
      </c>
      <c r="B30" s="17" t="n">
        <v>4520</v>
      </c>
      <c r="C30" s="18">
        <f>(3980.0/B30*100)</f>
        <v/>
      </c>
      <c r="D30" s="19" t="n">
        <v>540</v>
      </c>
      <c r="E30" s="18" t="n">
        <v>57.32347635</v>
      </c>
      <c r="F30" s="20" t="n">
        <v>2.02388346</v>
      </c>
      <c r="G30" s="18" t="n">
        <v>41.65037813</v>
      </c>
      <c r="H30" s="20" t="n">
        <v>2.09381728</v>
      </c>
      <c r="I30" s="18" t="s">
        <v>349</v>
      </c>
      <c r="J30" s="20" t="s">
        <v>349</v>
      </c>
      <c r="K30" s="18" t="n">
        <v>1.02614551</v>
      </c>
      <c r="L30" s="20" t="n">
        <v>0.49857067</v>
      </c>
      <c r="M30" s="18" t="n">
        <v>0</v>
      </c>
      <c r="N30" s="20" t="n">
        <v>0</v>
      </c>
      <c r="O30" s="18" t="n">
        <v>0</v>
      </c>
      <c r="P30" s="20" t="n">
        <v>0</v>
      </c>
      <c r="Q30" s="18" t="n">
        <v>0</v>
      </c>
      <c r="R30" s="20" t="n">
        <v>0</v>
      </c>
    </row>
    <row r="31" spans="1:18">
      <c r="A31" s="15" t="s">
        <v>373</v>
      </c>
      <c r="B31" s="17" t="n">
        <v>5456</v>
      </c>
      <c r="C31" s="18">
        <f>(4791.0/B31*100)</f>
        <v/>
      </c>
      <c r="D31" s="19" t="n">
        <v>665</v>
      </c>
      <c r="E31" s="18" t="n">
        <v>53.11574257</v>
      </c>
      <c r="F31" s="20" t="n">
        <v>1.8816671</v>
      </c>
      <c r="G31" s="18" t="n">
        <v>45.32140858</v>
      </c>
      <c r="H31" s="20" t="n">
        <v>2.01625858</v>
      </c>
      <c r="I31" s="18" t="s">
        <v>349</v>
      </c>
      <c r="J31" s="20" t="s">
        <v>349</v>
      </c>
      <c r="K31" s="18" t="n">
        <v>1.11376797</v>
      </c>
      <c r="L31" s="20" t="n">
        <v>0.39685389</v>
      </c>
      <c r="M31" s="18" t="n">
        <v>0</v>
      </c>
      <c r="N31" s="20" t="n">
        <v>0</v>
      </c>
      <c r="O31" s="18" t="n">
        <v>0</v>
      </c>
      <c r="P31" s="20" t="n">
        <v>0</v>
      </c>
      <c r="Q31" s="18" t="n">
        <v>0.44908088</v>
      </c>
      <c r="R31" s="20" t="n">
        <v>0.26649064</v>
      </c>
    </row>
    <row r="32" spans="1:18">
      <c r="A32" s="15" t="s">
        <v>374</v>
      </c>
      <c r="B32" s="17" t="n">
        <v>4478</v>
      </c>
      <c r="C32" s="18">
        <f>(3733.0/B32*100)</f>
        <v/>
      </c>
      <c r="D32" s="19" t="n">
        <v>745</v>
      </c>
      <c r="E32" s="18" t="n">
        <v>48.09453276</v>
      </c>
      <c r="F32" s="20" t="n">
        <v>1.98830237</v>
      </c>
      <c r="G32" s="18" t="n">
        <v>51.69585809</v>
      </c>
      <c r="H32" s="20" t="n">
        <v>1.99269484</v>
      </c>
      <c r="I32" s="18" t="s">
        <v>349</v>
      </c>
      <c r="J32" s="20" t="s">
        <v>349</v>
      </c>
      <c r="K32" s="18" t="n">
        <v>0.20960915</v>
      </c>
      <c r="L32" s="20" t="n">
        <v>0.20542236</v>
      </c>
      <c r="M32" s="18" t="n">
        <v>0</v>
      </c>
      <c r="N32" s="20" t="n">
        <v>0</v>
      </c>
      <c r="O32" s="18" t="n">
        <v>0</v>
      </c>
      <c r="P32" s="20" t="n">
        <v>0</v>
      </c>
      <c r="Q32" s="18" t="n">
        <v>0</v>
      </c>
      <c r="R32" s="20" t="n">
        <v>0</v>
      </c>
    </row>
    <row r="33" spans="1:18">
      <c r="A33" s="15" t="s">
        <v>375</v>
      </c>
      <c r="B33" s="17" t="n">
        <v>7325</v>
      </c>
      <c r="C33" s="18">
        <f>(6451.0/B33*100)</f>
        <v/>
      </c>
      <c r="D33" s="19" t="n">
        <v>874</v>
      </c>
      <c r="E33" s="18" t="n">
        <v>55.15818571</v>
      </c>
      <c r="F33" s="20" t="n">
        <v>1.85850696</v>
      </c>
      <c r="G33" s="18" t="n">
        <v>44.08681489</v>
      </c>
      <c r="H33" s="20" t="n">
        <v>1.88572696</v>
      </c>
      <c r="I33" s="18" t="s">
        <v>349</v>
      </c>
      <c r="J33" s="20" t="s">
        <v>349</v>
      </c>
      <c r="K33" s="18" t="n">
        <v>0.50410819</v>
      </c>
      <c r="L33" s="20" t="n">
        <v>0.27847763</v>
      </c>
      <c r="M33" s="18" t="n">
        <v>0</v>
      </c>
      <c r="N33" s="20" t="n">
        <v>0</v>
      </c>
      <c r="O33" s="18" t="n">
        <v>0</v>
      </c>
      <c r="P33" s="20" t="n">
        <v>0</v>
      </c>
      <c r="Q33" s="18" t="n">
        <v>0.25089122</v>
      </c>
      <c r="R33" s="20" t="n">
        <v>0.23302329</v>
      </c>
    </row>
    <row r="34" spans="1:18">
      <c r="A34" s="15" t="s">
        <v>376</v>
      </c>
      <c r="B34" s="17" t="n">
        <v>6350</v>
      </c>
      <c r="C34" s="18">
        <f>(5606.0/B34*100)</f>
        <v/>
      </c>
      <c r="D34" s="19" t="n">
        <v>744</v>
      </c>
      <c r="E34" s="18" t="n">
        <v>43.68870756</v>
      </c>
      <c r="F34" s="20" t="n">
        <v>1.83509166</v>
      </c>
      <c r="G34" s="18" t="n">
        <v>55.49208457</v>
      </c>
      <c r="H34" s="20" t="n">
        <v>1.82814229</v>
      </c>
      <c r="I34" s="18" t="s">
        <v>349</v>
      </c>
      <c r="J34" s="20" t="s">
        <v>349</v>
      </c>
      <c r="K34" s="18" t="n">
        <v>0.14134383</v>
      </c>
      <c r="L34" s="20" t="n">
        <v>0.1440464</v>
      </c>
      <c r="M34" s="18" t="n">
        <v>0</v>
      </c>
      <c r="N34" s="20" t="n">
        <v>0</v>
      </c>
      <c r="O34" s="18" t="n">
        <v>0</v>
      </c>
      <c r="P34" s="20" t="n">
        <v>0</v>
      </c>
      <c r="Q34" s="18" t="n">
        <v>0.67786403</v>
      </c>
      <c r="R34" s="20" t="n">
        <v>0.32166622</v>
      </c>
    </row>
    <row r="35" spans="1:18">
      <c r="A35" s="15" t="s">
        <v>377</v>
      </c>
      <c r="B35" s="17" t="n">
        <v>6406</v>
      </c>
      <c r="C35" s="18">
        <f>(5631.0/B35*100)</f>
        <v/>
      </c>
      <c r="D35" s="19" t="n">
        <v>775</v>
      </c>
      <c r="E35" s="18" t="n">
        <v>44.98600537</v>
      </c>
      <c r="F35" s="20" t="n">
        <v>2.02322782</v>
      </c>
      <c r="G35" s="18" t="n">
        <v>54.76518174</v>
      </c>
      <c r="H35" s="20" t="n">
        <v>2.0327157</v>
      </c>
      <c r="I35" s="18" t="s">
        <v>349</v>
      </c>
      <c r="J35" s="20" t="s">
        <v>349</v>
      </c>
      <c r="K35" s="18" t="n">
        <v>0.18583733</v>
      </c>
      <c r="L35" s="20" t="n">
        <v>0.10852293</v>
      </c>
      <c r="M35" s="18" t="n">
        <v>0</v>
      </c>
      <c r="N35" s="20" t="n">
        <v>0</v>
      </c>
      <c r="O35" s="18" t="n">
        <v>0</v>
      </c>
      <c r="P35" s="20" t="n">
        <v>0</v>
      </c>
      <c r="Q35" s="18" t="n">
        <v>0.06297555000000001</v>
      </c>
      <c r="R35" s="20" t="n">
        <v>0.06325450000000001</v>
      </c>
    </row>
    <row r="36" spans="1:18">
      <c r="A36" s="15" t="s">
        <v>378</v>
      </c>
      <c r="B36" s="17" t="n">
        <v>6736</v>
      </c>
      <c r="C36" s="18">
        <f>(5946.0/B36*100)</f>
        <v/>
      </c>
      <c r="D36" s="19" t="n">
        <v>790</v>
      </c>
      <c r="E36" s="18" t="n">
        <v>52.25567443</v>
      </c>
      <c r="F36" s="20" t="n">
        <v>1.70851398</v>
      </c>
      <c r="G36" s="18" t="n">
        <v>46.74734369</v>
      </c>
      <c r="H36" s="20" t="n">
        <v>1.74939429</v>
      </c>
      <c r="I36" s="18" t="s">
        <v>349</v>
      </c>
      <c r="J36" s="20" t="s">
        <v>349</v>
      </c>
      <c r="K36" s="18" t="n">
        <v>0.99698188</v>
      </c>
      <c r="L36" s="20" t="n">
        <v>0.47432859</v>
      </c>
      <c r="M36" s="18" t="n">
        <v>0</v>
      </c>
      <c r="N36" s="20" t="n">
        <v>0</v>
      </c>
      <c r="O36" s="18" t="n">
        <v>0</v>
      </c>
      <c r="P36" s="20" t="n">
        <v>0</v>
      </c>
      <c r="Q36" s="18" t="n">
        <v>0</v>
      </c>
      <c r="R36" s="20" t="n">
        <v>0</v>
      </c>
    </row>
    <row r="37" spans="1:18">
      <c r="A37" s="15" t="s">
        <v>379</v>
      </c>
      <c r="B37" s="17" t="n">
        <v>5458</v>
      </c>
      <c r="C37" s="18">
        <f>(4822.0/B37*100)</f>
        <v/>
      </c>
      <c r="D37" s="19" t="n">
        <v>636</v>
      </c>
      <c r="E37" s="18" t="n">
        <v>50.95290202</v>
      </c>
      <c r="F37" s="20" t="n">
        <v>2.2148214</v>
      </c>
      <c r="G37" s="18" t="n">
        <v>47.56095824</v>
      </c>
      <c r="H37" s="20" t="n">
        <v>2.2943924</v>
      </c>
      <c r="I37" s="18" t="s">
        <v>349</v>
      </c>
      <c r="J37" s="20" t="s">
        <v>349</v>
      </c>
      <c r="K37" s="18" t="n">
        <v>1.33800972</v>
      </c>
      <c r="L37" s="20" t="n">
        <v>0.48778482</v>
      </c>
      <c r="M37" s="18" t="n">
        <v>0</v>
      </c>
      <c r="N37" s="20" t="n">
        <v>0</v>
      </c>
      <c r="O37" s="18" t="n">
        <v>0</v>
      </c>
      <c r="P37" s="20" t="n">
        <v>0</v>
      </c>
      <c r="Q37" s="18" t="n">
        <v>0.14813002</v>
      </c>
      <c r="R37" s="20" t="n">
        <v>0.14906428</v>
      </c>
    </row>
    <row r="38" spans="1:18">
      <c r="A38" s="15" t="s">
        <v>380</v>
      </c>
      <c r="B38" s="17" t="n">
        <v>5860</v>
      </c>
      <c r="C38" s="18">
        <f>(4920.0/B38*100)</f>
        <v/>
      </c>
      <c r="D38" s="19" t="n">
        <v>940</v>
      </c>
      <c r="E38" s="18" t="n">
        <v>41.78583942</v>
      </c>
      <c r="F38" s="20" t="n">
        <v>1.98292815</v>
      </c>
      <c r="G38" s="18" t="n">
        <v>57.27208075</v>
      </c>
      <c r="H38" s="20" t="n">
        <v>1.97679366</v>
      </c>
      <c r="I38" s="18" t="s">
        <v>349</v>
      </c>
      <c r="J38" s="20" t="s">
        <v>349</v>
      </c>
      <c r="K38" s="18" t="n">
        <v>0.94207983</v>
      </c>
      <c r="L38" s="20" t="n">
        <v>0.32831493</v>
      </c>
      <c r="M38" s="18" t="n">
        <v>0</v>
      </c>
      <c r="N38" s="20" t="n">
        <v>0</v>
      </c>
      <c r="O38" s="18" t="n">
        <v>0</v>
      </c>
      <c r="P38" s="20" t="n">
        <v>0</v>
      </c>
      <c r="Q38" s="18" t="n">
        <v>0</v>
      </c>
      <c r="R38" s="20" t="n">
        <v>0</v>
      </c>
    </row>
    <row r="39" spans="1:18">
      <c r="A39" s="15" t="s">
        <v>381</v>
      </c>
      <c r="B39" s="17" t="n">
        <v>5895</v>
      </c>
      <c r="C39" s="18">
        <f>(5170.0/B39*100)</f>
        <v/>
      </c>
      <c r="D39" s="19" t="n">
        <v>725</v>
      </c>
      <c r="E39" s="18" t="n">
        <v>63.12228202</v>
      </c>
      <c r="F39" s="20" t="n">
        <v>2.10561045</v>
      </c>
      <c r="G39" s="18" t="n">
        <v>36.22434012</v>
      </c>
      <c r="H39" s="20" t="n">
        <v>2.06673255</v>
      </c>
      <c r="I39" s="18" t="s">
        <v>349</v>
      </c>
      <c r="J39" s="20" t="s">
        <v>349</v>
      </c>
      <c r="K39" s="18" t="n">
        <v>0.43428682</v>
      </c>
      <c r="L39" s="20" t="n">
        <v>0.22686218</v>
      </c>
      <c r="M39" s="18" t="n">
        <v>0</v>
      </c>
      <c r="N39" s="20" t="n">
        <v>0</v>
      </c>
      <c r="O39" s="18" t="n">
        <v>0</v>
      </c>
      <c r="P39" s="20" t="n">
        <v>0</v>
      </c>
      <c r="Q39" s="18" t="n">
        <v>0.21909104</v>
      </c>
      <c r="R39" s="20" t="n">
        <v>0.2042311</v>
      </c>
    </row>
    <row r="40" spans="1:18">
      <c r="A40" s="15" t="s">
        <v>382</v>
      </c>
      <c r="B40" s="17" t="n">
        <v>14157</v>
      </c>
      <c r="C40" s="18">
        <f>(12430.0/B40*100)</f>
        <v/>
      </c>
      <c r="D40" s="19" t="n">
        <v>1727</v>
      </c>
      <c r="E40" s="18" t="n">
        <v>58.06962612</v>
      </c>
      <c r="F40" s="20" t="n">
        <v>1.94919473</v>
      </c>
      <c r="G40" s="18" t="n">
        <v>40.75729707</v>
      </c>
      <c r="H40" s="20" t="n">
        <v>1.92455618</v>
      </c>
      <c r="I40" s="18" t="s">
        <v>349</v>
      </c>
      <c r="J40" s="20" t="s">
        <v>349</v>
      </c>
      <c r="K40" s="18" t="n">
        <v>0.48492015</v>
      </c>
      <c r="L40" s="20" t="n">
        <v>0.2541054</v>
      </c>
      <c r="M40" s="18" t="n">
        <v>0</v>
      </c>
      <c r="N40" s="20" t="n">
        <v>0</v>
      </c>
      <c r="O40" s="18" t="n">
        <v>0</v>
      </c>
      <c r="P40" s="20" t="n">
        <v>0</v>
      </c>
      <c r="Q40" s="18" t="n">
        <v>0.68815666</v>
      </c>
      <c r="R40" s="20" t="n">
        <v>0.35462076</v>
      </c>
    </row>
    <row r="41" spans="1:18">
      <c r="A41" s="15" t="s">
        <v>383</v>
      </c>
      <c r="B41" s="17" t="n">
        <v>5712</v>
      </c>
      <c r="C41" s="18">
        <f>(5033.0/B41*100)</f>
        <v/>
      </c>
      <c r="D41" s="19" t="n">
        <v>679</v>
      </c>
      <c r="E41" s="18" t="n">
        <v>57.2125343</v>
      </c>
      <c r="F41" s="20" t="n">
        <v>1.79898625</v>
      </c>
      <c r="G41" s="18" t="n">
        <v>41.46606313</v>
      </c>
      <c r="H41" s="20" t="n">
        <v>1.70962607</v>
      </c>
      <c r="I41" s="18" t="s">
        <v>349</v>
      </c>
      <c r="J41" s="20" t="s">
        <v>349</v>
      </c>
      <c r="K41" s="18" t="n">
        <v>1.06260616</v>
      </c>
      <c r="L41" s="20" t="n">
        <v>0.52256277</v>
      </c>
      <c r="M41" s="18" t="n">
        <v>0</v>
      </c>
      <c r="N41" s="20" t="n">
        <v>0</v>
      </c>
      <c r="O41" s="18" t="n">
        <v>0</v>
      </c>
      <c r="P41" s="20" t="n">
        <v>0</v>
      </c>
      <c r="Q41" s="18" t="n">
        <v>0.2587964</v>
      </c>
      <c r="R41" s="20" t="n">
        <v>0.18746984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(20881.0/B46*100)</f>
        <v/>
      </c>
      <c r="D46" s="19" t="n">
        <v>2260</v>
      </c>
      <c r="E46" s="18" t="n">
        <v>65.73648511</v>
      </c>
      <c r="F46" s="20" t="n">
        <v>1.431568</v>
      </c>
      <c r="G46" s="18" t="n">
        <v>32.02454173</v>
      </c>
      <c r="H46" s="20" t="n">
        <v>1.39718362</v>
      </c>
      <c r="I46" s="18" t="s">
        <v>349</v>
      </c>
      <c r="J46" s="20" t="s">
        <v>349</v>
      </c>
      <c r="K46" s="18" t="n">
        <v>1.80894421</v>
      </c>
      <c r="L46" s="20" t="n">
        <v>0.46309667</v>
      </c>
      <c r="M46" s="18" t="n">
        <v>0</v>
      </c>
      <c r="N46" s="20" t="n">
        <v>0</v>
      </c>
      <c r="O46" s="18" t="n">
        <v>0</v>
      </c>
      <c r="P46" s="20" t="n">
        <v>0</v>
      </c>
      <c r="Q46" s="18" t="n">
        <v>0.43002894</v>
      </c>
      <c r="R46" s="20" t="n">
        <v>0.16027467</v>
      </c>
    </row>
    <row r="47" spans="1:18">
      <c r="A47" s="15" t="s">
        <v>389</v>
      </c>
      <c r="B47" s="17" t="n">
        <v>5928</v>
      </c>
      <c r="C47" s="18">
        <f>(5219.0/B47*100)</f>
        <v/>
      </c>
      <c r="D47" s="19" t="n">
        <v>709</v>
      </c>
      <c r="E47" s="18" t="n">
        <v>49.57153079</v>
      </c>
      <c r="F47" s="20" t="n">
        <v>2.0209632</v>
      </c>
      <c r="G47" s="18" t="n">
        <v>49.3305135</v>
      </c>
      <c r="H47" s="20" t="n">
        <v>1.95521701</v>
      </c>
      <c r="I47" s="18" t="s">
        <v>349</v>
      </c>
      <c r="J47" s="20" t="s">
        <v>349</v>
      </c>
      <c r="K47" s="18" t="n">
        <v>0.66033231</v>
      </c>
      <c r="L47" s="20" t="n">
        <v>0.32466412</v>
      </c>
      <c r="M47" s="18" t="n">
        <v>0</v>
      </c>
      <c r="N47" s="20" t="n">
        <v>0</v>
      </c>
      <c r="O47" s="18" t="n">
        <v>0</v>
      </c>
      <c r="P47" s="20" t="n">
        <v>0</v>
      </c>
      <c r="Q47" s="18" t="n">
        <v>0.4376234</v>
      </c>
      <c r="R47" s="20" t="n">
        <v>0.31691225</v>
      </c>
    </row>
    <row r="48" spans="1:18">
      <c r="A48" s="15" t="s">
        <v>390</v>
      </c>
      <c r="B48" s="17" t="n">
        <v>9841</v>
      </c>
      <c r="C48" s="18">
        <f>(8645.0/B48*100)</f>
        <v/>
      </c>
      <c r="D48" s="19" t="n">
        <v>1196</v>
      </c>
      <c r="E48" s="18" t="n">
        <v>35.50460625</v>
      </c>
      <c r="F48" s="20" t="n">
        <v>1.99106962</v>
      </c>
      <c r="G48" s="18" t="n">
        <v>64.22016943</v>
      </c>
      <c r="H48" s="20" t="n">
        <v>1.99717885</v>
      </c>
      <c r="I48" s="18" t="s">
        <v>349</v>
      </c>
      <c r="J48" s="20" t="s">
        <v>349</v>
      </c>
      <c r="K48" s="18" t="n">
        <v>0.27071016</v>
      </c>
      <c r="L48" s="20" t="n">
        <v>0.18764047</v>
      </c>
      <c r="M48" s="18" t="n">
        <v>0</v>
      </c>
      <c r="N48" s="20" t="n">
        <v>0</v>
      </c>
      <c r="O48" s="18" t="n">
        <v>0</v>
      </c>
      <c r="P48" s="20" t="n">
        <v>0</v>
      </c>
      <c r="Q48" s="18" t="n">
        <v>0.00451416</v>
      </c>
      <c r="R48" s="20" t="n">
        <v>0.00453966</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(10378.0/B50*100)</f>
        <v/>
      </c>
      <c r="D50" s="19" t="n">
        <v>1417</v>
      </c>
      <c r="E50" s="18" t="n">
        <v>68.49271272999999</v>
      </c>
      <c r="F50" s="20" t="n">
        <v>1.5117833</v>
      </c>
      <c r="G50" s="18" t="n">
        <v>30.4116433</v>
      </c>
      <c r="H50" s="20" t="n">
        <v>1.50001164</v>
      </c>
      <c r="I50" s="18" t="s">
        <v>349</v>
      </c>
      <c r="J50" s="20" t="s">
        <v>349</v>
      </c>
      <c r="K50" s="18" t="n">
        <v>0.7338365100000001</v>
      </c>
      <c r="L50" s="20" t="n">
        <v>0.26730105</v>
      </c>
      <c r="M50" s="18" t="n">
        <v>0</v>
      </c>
      <c r="N50" s="20" t="n">
        <v>0</v>
      </c>
      <c r="O50" s="18" t="n">
        <v>0</v>
      </c>
      <c r="P50" s="20" t="n">
        <v>0</v>
      </c>
      <c r="Q50" s="18" t="n">
        <v>0.36180746</v>
      </c>
      <c r="R50" s="20" t="n">
        <v>0.15445503</v>
      </c>
    </row>
    <row r="51" spans="1:18">
      <c r="A51" s="15" t="s">
        <v>393</v>
      </c>
      <c r="B51" s="17" t="n">
        <v>6866</v>
      </c>
      <c r="C51" s="18">
        <f>(6148.0/B51*100)</f>
        <v/>
      </c>
      <c r="D51" s="19" t="n">
        <v>718</v>
      </c>
      <c r="E51" s="18" t="n">
        <v>69.5380203</v>
      </c>
      <c r="F51" s="20" t="n">
        <v>1.74479365</v>
      </c>
      <c r="G51" s="18" t="n">
        <v>30.14611631</v>
      </c>
      <c r="H51" s="20" t="n">
        <v>1.74183444</v>
      </c>
      <c r="I51" s="18" t="s">
        <v>349</v>
      </c>
      <c r="J51" s="20" t="s">
        <v>349</v>
      </c>
      <c r="K51" s="18" t="n">
        <v>0.25016619</v>
      </c>
      <c r="L51" s="20" t="n">
        <v>0.16543899</v>
      </c>
      <c r="M51" s="18" t="n">
        <v>0</v>
      </c>
      <c r="N51" s="20" t="n">
        <v>0</v>
      </c>
      <c r="O51" s="18" t="n">
        <v>0</v>
      </c>
      <c r="P51" s="20" t="n">
        <v>0</v>
      </c>
      <c r="Q51" s="18" t="n">
        <v>0.06569721000000001</v>
      </c>
      <c r="R51" s="20" t="n">
        <v>0.06822735000000001</v>
      </c>
    </row>
    <row r="52" spans="1:18">
      <c r="A52" s="15" t="s">
        <v>394</v>
      </c>
      <c r="B52" s="17" t="n">
        <v>5809</v>
      </c>
      <c r="C52" s="18">
        <f>(5099.0/B52*100)</f>
        <v/>
      </c>
      <c r="D52" s="19" t="n">
        <v>710</v>
      </c>
      <c r="E52" s="18" t="n">
        <v>60.29272876</v>
      </c>
      <c r="F52" s="20" t="n">
        <v>1.98791875</v>
      </c>
      <c r="G52" s="18" t="n">
        <v>39.1130879</v>
      </c>
      <c r="H52" s="20" t="n">
        <v>2.00048217</v>
      </c>
      <c r="I52" s="18" t="s">
        <v>349</v>
      </c>
      <c r="J52" s="20" t="s">
        <v>349</v>
      </c>
      <c r="K52" s="18" t="n">
        <v>0.22321407</v>
      </c>
      <c r="L52" s="20" t="n">
        <v>0.15568686</v>
      </c>
      <c r="M52" s="18" t="n">
        <v>0</v>
      </c>
      <c r="N52" s="20" t="n">
        <v>0</v>
      </c>
      <c r="O52" s="18" t="n">
        <v>0</v>
      </c>
      <c r="P52" s="20" t="n">
        <v>0</v>
      </c>
      <c r="Q52" s="18" t="n">
        <v>0.37096927</v>
      </c>
      <c r="R52" s="20" t="n">
        <v>0.21469412</v>
      </c>
    </row>
    <row r="53" spans="1:18">
      <c r="A53" s="15" t="s">
        <v>395</v>
      </c>
      <c r="B53" s="17" t="n">
        <v>5571</v>
      </c>
      <c r="C53" s="18">
        <f>(4879.0/B53*100)</f>
        <v/>
      </c>
      <c r="D53" s="19" t="n">
        <v>692</v>
      </c>
      <c r="E53" s="18" t="n">
        <v>55.88704074</v>
      </c>
      <c r="F53" s="20" t="n">
        <v>1.62171964</v>
      </c>
      <c r="G53" s="18" t="n">
        <v>43.04606475</v>
      </c>
      <c r="H53" s="20" t="n">
        <v>1.66190725</v>
      </c>
      <c r="I53" s="18" t="s">
        <v>349</v>
      </c>
      <c r="J53" s="20" t="s">
        <v>349</v>
      </c>
      <c r="K53" s="18" t="n">
        <v>0.41957711</v>
      </c>
      <c r="L53" s="20" t="n">
        <v>0.2024442</v>
      </c>
      <c r="M53" s="18" t="n">
        <v>0</v>
      </c>
      <c r="N53" s="20" t="n">
        <v>0</v>
      </c>
      <c r="O53" s="18" t="n">
        <v>0</v>
      </c>
      <c r="P53" s="20" t="n">
        <v>0</v>
      </c>
      <c r="Q53" s="18" t="n">
        <v>0.6473174</v>
      </c>
      <c r="R53" s="20" t="n">
        <v>0.25074776</v>
      </c>
    </row>
    <row r="54" spans="1:18">
      <c r="A54" s="15" t="s">
        <v>396</v>
      </c>
      <c r="B54" s="17" t="n">
        <v>4740</v>
      </c>
      <c r="C54" s="18">
        <f>(3970.0/B54*100)</f>
        <v/>
      </c>
      <c r="D54" s="19" t="n">
        <v>770</v>
      </c>
      <c r="E54" s="18" t="n">
        <v>69.05858798</v>
      </c>
      <c r="F54" s="20" t="n">
        <v>2.05144058</v>
      </c>
      <c r="G54" s="18" t="n">
        <v>18.23672418</v>
      </c>
      <c r="H54" s="20" t="n">
        <v>1.69029882</v>
      </c>
      <c r="I54" s="18" t="s">
        <v>349</v>
      </c>
      <c r="J54" s="20" t="s">
        <v>349</v>
      </c>
      <c r="K54" s="18" t="n">
        <v>12.12935575</v>
      </c>
      <c r="L54" s="20" t="n">
        <v>1.28484356</v>
      </c>
      <c r="M54" s="18" t="n">
        <v>0</v>
      </c>
      <c r="N54" s="20" t="n">
        <v>0</v>
      </c>
      <c r="O54" s="18" t="n">
        <v>0</v>
      </c>
      <c r="P54" s="20" t="n">
        <v>0</v>
      </c>
      <c r="Q54" s="18" t="n">
        <v>0.5753321</v>
      </c>
      <c r="R54" s="20" t="n">
        <v>0.29540094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(4701.0/B56*100)</f>
        <v/>
      </c>
      <c r="D56" s="19" t="n">
        <v>658</v>
      </c>
      <c r="E56" s="18" t="n">
        <v>34.88696372</v>
      </c>
      <c r="F56" s="20" t="n">
        <v>1.90485423</v>
      </c>
      <c r="G56" s="18" t="n">
        <v>64.97366393999999</v>
      </c>
      <c r="H56" s="20" t="n">
        <v>1.93064697</v>
      </c>
      <c r="I56" s="18" t="s">
        <v>349</v>
      </c>
      <c r="J56" s="20" t="s">
        <v>349</v>
      </c>
      <c r="K56" s="18" t="n">
        <v>0.13937234</v>
      </c>
      <c r="L56" s="20" t="n">
        <v>0.15534253</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(5750.0/B61*100)</f>
        <v/>
      </c>
      <c r="D61" s="19" t="n">
        <v>775</v>
      </c>
      <c r="E61" s="18" t="n">
        <v>47.41882073</v>
      </c>
      <c r="F61" s="20" t="n">
        <v>1.92246873</v>
      </c>
      <c r="G61" s="18" t="n">
        <v>52.15101722</v>
      </c>
      <c r="H61" s="20" t="n">
        <v>1.89054181</v>
      </c>
      <c r="I61" s="18" t="s">
        <v>349</v>
      </c>
      <c r="J61" s="20" t="s">
        <v>349</v>
      </c>
      <c r="K61" s="18" t="n">
        <v>0.43016205</v>
      </c>
      <c r="L61" s="20" t="n">
        <v>0.27498805</v>
      </c>
      <c r="M61" s="18" t="n">
        <v>0</v>
      </c>
      <c r="N61" s="20" t="n">
        <v>0</v>
      </c>
      <c r="O61" s="18" t="n">
        <v>0</v>
      </c>
      <c r="P61" s="20" t="n">
        <v>0</v>
      </c>
      <c r="Q61" s="18" t="n">
        <v>0</v>
      </c>
      <c r="R61" s="20" t="n">
        <v>0</v>
      </c>
    </row>
    <row r="62" spans="1:18">
      <c r="A62" s="15" t="s">
        <v>404</v>
      </c>
      <c r="B62" s="17" t="n">
        <v>4476</v>
      </c>
      <c r="C62" s="18">
        <f>(3952.0/B62*100)</f>
        <v/>
      </c>
      <c r="D62" s="19" t="n">
        <v>524</v>
      </c>
      <c r="E62" s="18" t="n">
        <v>40.94131674</v>
      </c>
      <c r="F62" s="20" t="n">
        <v>1.88224134</v>
      </c>
      <c r="G62" s="18" t="n">
        <v>59.05868326</v>
      </c>
      <c r="H62" s="20" t="n">
        <v>1.88224134</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(4979.0/B66*100)</f>
        <v/>
      </c>
      <c r="D66" s="19" t="n">
        <v>686</v>
      </c>
      <c r="E66" s="18" t="n">
        <v>59.89221526</v>
      </c>
      <c r="F66" s="20" t="n">
        <v>1.8181922</v>
      </c>
      <c r="G66" s="18" t="n">
        <v>38.72714135</v>
      </c>
      <c r="H66" s="20" t="n">
        <v>1.78162006</v>
      </c>
      <c r="I66" s="18" t="s">
        <v>349</v>
      </c>
      <c r="J66" s="20" t="s">
        <v>349</v>
      </c>
      <c r="K66" s="18" t="n">
        <v>0.41021924</v>
      </c>
      <c r="L66" s="20" t="n">
        <v>0.23782576</v>
      </c>
      <c r="M66" s="18" t="n">
        <v>0</v>
      </c>
      <c r="N66" s="20" t="n">
        <v>0</v>
      </c>
      <c r="O66" s="18" t="n">
        <v>0</v>
      </c>
      <c r="P66" s="20" t="n">
        <v>0</v>
      </c>
      <c r="Q66" s="18" t="n">
        <v>0.97042416</v>
      </c>
      <c r="R66" s="20" t="n">
        <v>0.36781467</v>
      </c>
    </row>
    <row r="67" spans="1:18">
      <c r="A67" s="15" t="s">
        <v>409</v>
      </c>
      <c r="B67" s="17" t="n">
        <v>6971</v>
      </c>
      <c r="C67" s="18">
        <f>(6226.0/B67*100)</f>
        <v/>
      </c>
      <c r="D67" s="19" t="n">
        <v>745</v>
      </c>
      <c r="E67" s="18" t="n">
        <v>63.6161877</v>
      </c>
      <c r="F67" s="20" t="n">
        <v>1.91411001</v>
      </c>
      <c r="G67" s="18" t="n">
        <v>35.37559663</v>
      </c>
      <c r="H67" s="20" t="n">
        <v>1.85448527</v>
      </c>
      <c r="I67" s="18" t="s">
        <v>349</v>
      </c>
      <c r="J67" s="20" t="s">
        <v>349</v>
      </c>
      <c r="K67" s="18" t="n">
        <v>0.38198114</v>
      </c>
      <c r="L67" s="20" t="n">
        <v>0.22605774</v>
      </c>
      <c r="M67" s="18" t="n">
        <v>0</v>
      </c>
      <c r="N67" s="20" t="n">
        <v>0</v>
      </c>
      <c r="O67" s="18" t="n">
        <v>0</v>
      </c>
      <c r="P67" s="20" t="n">
        <v>0</v>
      </c>
      <c r="Q67" s="18" t="n">
        <v>0.62623453</v>
      </c>
      <c r="R67" s="20" t="n">
        <v>0.28580329</v>
      </c>
    </row>
    <row r="68" spans="1:18">
      <c r="A68" s="15" t="s">
        <v>410</v>
      </c>
      <c r="B68" s="17" t="n">
        <v>12083</v>
      </c>
      <c r="C68" s="18">
        <f>(10090.0/B68*100)</f>
        <v/>
      </c>
      <c r="D68" s="19" t="n">
        <v>1993</v>
      </c>
      <c r="E68" s="18" t="n">
        <v>62.14102772</v>
      </c>
      <c r="F68" s="20" t="n">
        <v>1.03618606</v>
      </c>
      <c r="G68" s="18" t="n">
        <v>33.82144301</v>
      </c>
      <c r="H68" s="20" t="n">
        <v>0.99163564</v>
      </c>
      <c r="I68" s="18" t="s">
        <v>349</v>
      </c>
      <c r="J68" s="20" t="s">
        <v>349</v>
      </c>
      <c r="K68" s="18" t="n">
        <v>2.84250661</v>
      </c>
      <c r="L68" s="20" t="n">
        <v>0.32263128</v>
      </c>
      <c r="M68" s="18" t="n">
        <v>0</v>
      </c>
      <c r="N68" s="20" t="n">
        <v>0</v>
      </c>
      <c r="O68" s="18" t="n">
        <v>0</v>
      </c>
      <c r="P68" s="20" t="n">
        <v>0</v>
      </c>
      <c r="Q68" s="18" t="n">
        <v>1.19502266</v>
      </c>
      <c r="R68" s="20" t="n">
        <v>0.27227735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(5343.0/B70*100)</f>
        <v/>
      </c>
      <c r="D70" s="19" t="n">
        <v>693</v>
      </c>
      <c r="E70" s="18" t="n">
        <v>50.23807572</v>
      </c>
      <c r="F70" s="20" t="n">
        <v>1.93316252</v>
      </c>
      <c r="G70" s="18" t="n">
        <v>48.64559979</v>
      </c>
      <c r="H70" s="20" t="n">
        <v>1.97207785</v>
      </c>
      <c r="I70" s="18" t="s">
        <v>349</v>
      </c>
      <c r="J70" s="20" t="s">
        <v>349</v>
      </c>
      <c r="K70" s="18" t="n">
        <v>0.80791672</v>
      </c>
      <c r="L70" s="20" t="n">
        <v>0.41137819</v>
      </c>
      <c r="M70" s="18" t="n">
        <v>0</v>
      </c>
      <c r="N70" s="20" t="n">
        <v>0</v>
      </c>
      <c r="O70" s="18" t="n">
        <v>0</v>
      </c>
      <c r="P70" s="20" t="n">
        <v>0</v>
      </c>
      <c r="Q70" s="18" t="n">
        <v>0.30840777</v>
      </c>
      <c r="R70" s="20" t="n">
        <v>0.2343351</v>
      </c>
    </row>
    <row r="71" spans="1:18">
      <c r="A71" s="15" t="s">
        <v>413</v>
      </c>
      <c r="B71" s="17" t="n">
        <v>6115</v>
      </c>
      <c r="C71" s="18">
        <f>(5378.0/B71*100)</f>
        <v/>
      </c>
      <c r="D71" s="19" t="n">
        <v>737</v>
      </c>
      <c r="E71" s="18" t="n">
        <v>35.03315862</v>
      </c>
      <c r="F71" s="20" t="n">
        <v>1.57915168</v>
      </c>
      <c r="G71" s="18" t="n">
        <v>64.34595345</v>
      </c>
      <c r="H71" s="20" t="n">
        <v>1.60062851</v>
      </c>
      <c r="I71" s="18" t="s">
        <v>349</v>
      </c>
      <c r="J71" s="20" t="s">
        <v>349</v>
      </c>
      <c r="K71" s="18" t="n">
        <v>0.55518825</v>
      </c>
      <c r="L71" s="20" t="n">
        <v>0.27645019</v>
      </c>
      <c r="M71" s="18" t="n">
        <v>0</v>
      </c>
      <c r="N71" s="20" t="n">
        <v>0</v>
      </c>
      <c r="O71" s="18" t="n">
        <v>0</v>
      </c>
      <c r="P71" s="20" t="n">
        <v>0</v>
      </c>
      <c r="Q71" s="18" t="n">
        <v>0.06569967</v>
      </c>
      <c r="R71" s="20" t="n">
        <v>0.06535966999999999</v>
      </c>
    </row>
    <row r="72" spans="1:18">
      <c r="A72" s="15" t="s">
        <v>414</v>
      </c>
      <c r="B72" s="17" t="n">
        <v>7708</v>
      </c>
      <c r="C72" s="18">
        <f>(6768.0/B72*100)</f>
        <v/>
      </c>
      <c r="D72" s="19" t="n">
        <v>940</v>
      </c>
      <c r="E72" s="18" t="n">
        <v>31.70254876</v>
      </c>
      <c r="F72" s="20" t="n">
        <v>1.8490526</v>
      </c>
      <c r="G72" s="18" t="n">
        <v>68.01347341</v>
      </c>
      <c r="H72" s="20" t="n">
        <v>1.80931285</v>
      </c>
      <c r="I72" s="18" t="s">
        <v>349</v>
      </c>
      <c r="J72" s="20" t="s">
        <v>349</v>
      </c>
      <c r="K72" s="18" t="n">
        <v>0.28397783</v>
      </c>
      <c r="L72" s="20" t="n">
        <v>0.20036399</v>
      </c>
      <c r="M72" s="18" t="n">
        <v>0</v>
      </c>
      <c r="N72" s="20" t="n">
        <v>0</v>
      </c>
      <c r="O72" s="18" t="n">
        <v>0</v>
      </c>
      <c r="P72" s="20" t="n">
        <v>0</v>
      </c>
      <c r="Q72" s="18" t="n">
        <v>0</v>
      </c>
      <c r="R72" s="20" t="n">
        <v>0</v>
      </c>
    </row>
    <row r="73" spans="1:18">
      <c r="A73" s="15" t="s">
        <v>415</v>
      </c>
      <c r="B73" s="17" t="n">
        <v>8249</v>
      </c>
      <c r="C73" s="18">
        <f>(7261.0/B73*100)</f>
        <v/>
      </c>
      <c r="D73" s="19" t="n">
        <v>988</v>
      </c>
      <c r="E73" s="18" t="n">
        <v>64.98190458000001</v>
      </c>
      <c r="F73" s="20" t="n">
        <v>2.25803224</v>
      </c>
      <c r="G73" s="18" t="n">
        <v>34.97291759</v>
      </c>
      <c r="H73" s="20" t="n">
        <v>2.25946897</v>
      </c>
      <c r="I73" s="18" t="s">
        <v>349</v>
      </c>
      <c r="J73" s="20" t="s">
        <v>349</v>
      </c>
      <c r="K73" s="18" t="n">
        <v>0.04517783</v>
      </c>
      <c r="L73" s="20" t="n">
        <v>0.03845101</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(4790.0/B75*100)</f>
        <v/>
      </c>
      <c r="D75" s="19" t="n">
        <v>585</v>
      </c>
      <c r="E75" s="18" t="n">
        <v>66.52306221000001</v>
      </c>
      <c r="F75" s="20" t="n">
        <v>2.13948588</v>
      </c>
      <c r="G75" s="18" t="n">
        <v>28.40143094</v>
      </c>
      <c r="H75" s="20" t="n">
        <v>2.18009363</v>
      </c>
      <c r="I75" s="18" t="s">
        <v>349</v>
      </c>
      <c r="J75" s="20" t="s">
        <v>349</v>
      </c>
      <c r="K75" s="18" t="n">
        <v>3.2559501</v>
      </c>
      <c r="L75" s="20" t="n">
        <v>0.74777248</v>
      </c>
      <c r="M75" s="18" t="n">
        <v>0</v>
      </c>
      <c r="N75" s="20" t="n">
        <v>0</v>
      </c>
      <c r="O75" s="18" t="n">
        <v>0</v>
      </c>
      <c r="P75" s="20" t="n">
        <v>0</v>
      </c>
      <c r="Q75" s="18" t="n">
        <v>1.81955675</v>
      </c>
      <c r="R75" s="20" t="n">
        <v>0.62256119</v>
      </c>
    </row>
    <row r="76" spans="1:18">
      <c r="A76" s="15" t="s">
        <v>418</v>
      </c>
      <c r="B76" s="17" t="n">
        <v>14167</v>
      </c>
      <c r="C76" s="18">
        <f>(12475.0/B76*100)</f>
        <v/>
      </c>
      <c r="D76" s="19" t="n">
        <v>1692</v>
      </c>
      <c r="E76" s="18" t="n">
        <v>64.22040712</v>
      </c>
      <c r="F76" s="20" t="n">
        <v>1.70339049</v>
      </c>
      <c r="G76" s="18" t="n">
        <v>34.30824759</v>
      </c>
      <c r="H76" s="20" t="n">
        <v>1.64596808</v>
      </c>
      <c r="I76" s="18" t="s">
        <v>349</v>
      </c>
      <c r="J76" s="20" t="s">
        <v>349</v>
      </c>
      <c r="K76" s="18" t="n">
        <v>1.25430201</v>
      </c>
      <c r="L76" s="20" t="n">
        <v>0.3089056</v>
      </c>
      <c r="M76" s="18" t="n">
        <v>0</v>
      </c>
      <c r="N76" s="20" t="n">
        <v>0</v>
      </c>
      <c r="O76" s="18" t="n">
        <v>0</v>
      </c>
      <c r="P76" s="20" t="n">
        <v>0</v>
      </c>
      <c r="Q76" s="18" t="n">
        <v>0.21704328</v>
      </c>
      <c r="R76" s="20" t="n">
        <v>0.09323432</v>
      </c>
    </row>
    <row r="77" spans="1:18">
      <c r="A77" s="15" t="s">
        <v>419</v>
      </c>
      <c r="B77" s="17" t="n">
        <v>6062</v>
      </c>
      <c r="C77" s="18">
        <f>(5351.0/B77*100)</f>
        <v/>
      </c>
      <c r="D77" s="19" t="n">
        <v>711</v>
      </c>
      <c r="E77" s="18" t="n">
        <v>61.7531237</v>
      </c>
      <c r="F77" s="20" t="n">
        <v>2.07760701</v>
      </c>
      <c r="G77" s="18" t="n">
        <v>35.96526276</v>
      </c>
      <c r="H77" s="20" t="n">
        <v>2.08647074</v>
      </c>
      <c r="I77" s="18" t="s">
        <v>349</v>
      </c>
      <c r="J77" s="20" t="s">
        <v>349</v>
      </c>
      <c r="K77" s="18" t="n">
        <v>1.66278688</v>
      </c>
      <c r="L77" s="20" t="n">
        <v>0.4836754</v>
      </c>
      <c r="M77" s="18" t="n">
        <v>0</v>
      </c>
      <c r="N77" s="20" t="n">
        <v>0</v>
      </c>
      <c r="O77" s="18" t="n">
        <v>0</v>
      </c>
      <c r="P77" s="20" t="n">
        <v>0</v>
      </c>
      <c r="Q77" s="18" t="n">
        <v>0.61882666</v>
      </c>
      <c r="R77" s="20" t="n">
        <v>0.27861681</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(7784.0/B81*100)</f>
        <v/>
      </c>
      <c r="D81" s="19" t="n">
        <v>1077</v>
      </c>
      <c r="E81" s="18" t="n">
        <v>64.82097597000001</v>
      </c>
      <c r="F81" s="20" t="n">
        <v>2.02032087</v>
      </c>
      <c r="G81" s="18" t="n">
        <v>34.75902118</v>
      </c>
      <c r="H81" s="20" t="n">
        <v>2.01924424</v>
      </c>
      <c r="I81" s="18" t="s">
        <v>349</v>
      </c>
      <c r="J81" s="20" t="s">
        <v>349</v>
      </c>
      <c r="K81" s="18" t="n">
        <v>0.42000285</v>
      </c>
      <c r="L81" s="20" t="n">
        <v>0.39200722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(12855.0/B7*100)</f>
        <v/>
      </c>
      <c r="D7" s="19" t="n">
        <v>1675</v>
      </c>
      <c r="E7" s="18" t="n">
        <v>54.09445937</v>
      </c>
      <c r="F7" s="20" t="n">
        <v>1.36565626</v>
      </c>
      <c r="G7" s="18" t="n">
        <v>44.34359285</v>
      </c>
      <c r="H7" s="20" t="n">
        <v>1.39391882</v>
      </c>
      <c r="I7" s="18" t="s">
        <v>349</v>
      </c>
      <c r="J7" s="20" t="s">
        <v>349</v>
      </c>
      <c r="K7" s="18" t="n">
        <v>1.56194778</v>
      </c>
      <c r="L7" s="20" t="n">
        <v>0.35289895</v>
      </c>
      <c r="M7" s="18" t="n">
        <v>0</v>
      </c>
      <c r="N7" s="20" t="n">
        <v>0</v>
      </c>
      <c r="O7" s="18" t="n">
        <v>0</v>
      </c>
      <c r="P7" s="20" t="n">
        <v>0</v>
      </c>
      <c r="Q7" s="18" t="n">
        <v>0</v>
      </c>
      <c r="R7" s="20" t="n">
        <v>0</v>
      </c>
    </row>
    <row r="8" spans="1:18">
      <c r="A8" s="15" t="s">
        <v>350</v>
      </c>
      <c r="B8" s="17" t="n">
        <v>7007</v>
      </c>
      <c r="C8" s="18">
        <f>(6174.0/B8*100)</f>
        <v/>
      </c>
      <c r="D8" s="19" t="n">
        <v>833</v>
      </c>
      <c r="E8" s="18" t="n">
        <v>47.77739368</v>
      </c>
      <c r="F8" s="20" t="n">
        <v>2.14510421</v>
      </c>
      <c r="G8" s="18" t="n">
        <v>50.64473547</v>
      </c>
      <c r="H8" s="20" t="n">
        <v>2.14716672</v>
      </c>
      <c r="I8" s="18" t="s">
        <v>349</v>
      </c>
      <c r="J8" s="20" t="s">
        <v>349</v>
      </c>
      <c r="K8" s="18" t="n">
        <v>1.57787085</v>
      </c>
      <c r="L8" s="20" t="n">
        <v>0.42761121</v>
      </c>
      <c r="M8" s="18" t="n">
        <v>0</v>
      </c>
      <c r="N8" s="20" t="n">
        <v>0</v>
      </c>
      <c r="O8" s="18" t="n">
        <v>0</v>
      </c>
      <c r="P8" s="20" t="n">
        <v>0</v>
      </c>
      <c r="Q8" s="18" t="n">
        <v>0</v>
      </c>
      <c r="R8" s="20" t="n">
        <v>0</v>
      </c>
    </row>
    <row r="9" spans="1:18">
      <c r="A9" s="15" t="s">
        <v>351</v>
      </c>
      <c r="B9" s="17" t="n">
        <v>9651</v>
      </c>
      <c r="C9" s="18">
        <f>(8534.0/B9*100)</f>
        <v/>
      </c>
      <c r="D9" s="19" t="n">
        <v>1117</v>
      </c>
      <c r="E9" s="18" t="n">
        <v>41.89762306</v>
      </c>
      <c r="F9" s="20" t="n">
        <v>1.6776013</v>
      </c>
      <c r="G9" s="18" t="n">
        <v>56.27414764</v>
      </c>
      <c r="H9" s="20" t="n">
        <v>1.68166016</v>
      </c>
      <c r="I9" s="18" t="s">
        <v>349</v>
      </c>
      <c r="J9" s="20" t="s">
        <v>349</v>
      </c>
      <c r="K9" s="18" t="n">
        <v>1.82822931</v>
      </c>
      <c r="L9" s="20" t="n">
        <v>0.4638311</v>
      </c>
      <c r="M9" s="18" t="n">
        <v>0</v>
      </c>
      <c r="N9" s="20" t="n">
        <v>0</v>
      </c>
      <c r="O9" s="18" t="n">
        <v>0</v>
      </c>
      <c r="P9" s="20" t="n">
        <v>0</v>
      </c>
      <c r="Q9" s="18" t="n">
        <v>0</v>
      </c>
      <c r="R9" s="20" t="n">
        <v>0</v>
      </c>
    </row>
    <row r="10" spans="1:18">
      <c r="A10" s="15" t="s">
        <v>352</v>
      </c>
      <c r="B10" s="17" t="n">
        <v>20058</v>
      </c>
      <c r="C10" s="18">
        <f>(17623.0/B10*100)</f>
        <v/>
      </c>
      <c r="D10" s="19" t="n">
        <v>2435</v>
      </c>
      <c r="E10" s="18" t="n">
        <v>50.3185686</v>
      </c>
      <c r="F10" s="20" t="n">
        <v>1.52524782</v>
      </c>
      <c r="G10" s="18" t="n">
        <v>48.19171894</v>
      </c>
      <c r="H10" s="20" t="n">
        <v>1.43730312</v>
      </c>
      <c r="I10" s="18" t="s">
        <v>349</v>
      </c>
      <c r="J10" s="20" t="s">
        <v>349</v>
      </c>
      <c r="K10" s="18" t="n">
        <v>1.48971246</v>
      </c>
      <c r="L10" s="20" t="n">
        <v>0.37902908</v>
      </c>
      <c r="M10" s="18" t="n">
        <v>0</v>
      </c>
      <c r="N10" s="20" t="n">
        <v>0</v>
      </c>
      <c r="O10" s="18" t="n">
        <v>0</v>
      </c>
      <c r="P10" s="20" t="n">
        <v>0</v>
      </c>
      <c r="Q10" s="18" t="n">
        <v>0</v>
      </c>
      <c r="R10" s="20" t="n">
        <v>0</v>
      </c>
    </row>
    <row r="11" spans="1:18">
      <c r="A11" s="15" t="s">
        <v>353</v>
      </c>
      <c r="B11" s="17" t="n">
        <v>7053</v>
      </c>
      <c r="C11" s="18">
        <f>(6235.0/B11*100)</f>
        <v/>
      </c>
      <c r="D11" s="19" t="n">
        <v>818</v>
      </c>
      <c r="E11" s="18" t="n">
        <v>65.55958923</v>
      </c>
      <c r="F11" s="20" t="n">
        <v>1.95186945</v>
      </c>
      <c r="G11" s="18" t="n">
        <v>32.41241479</v>
      </c>
      <c r="H11" s="20" t="n">
        <v>2.00643418</v>
      </c>
      <c r="I11" s="18" t="s">
        <v>349</v>
      </c>
      <c r="J11" s="20" t="s">
        <v>349</v>
      </c>
      <c r="K11" s="18" t="n">
        <v>2.02799598</v>
      </c>
      <c r="L11" s="20" t="n">
        <v>0.5047921</v>
      </c>
      <c r="M11" s="18" t="n">
        <v>0</v>
      </c>
      <c r="N11" s="20" t="n">
        <v>0</v>
      </c>
      <c r="O11" s="18" t="n">
        <v>0</v>
      </c>
      <c r="P11" s="20" t="n">
        <v>0</v>
      </c>
      <c r="Q11" s="18" t="n">
        <v>0</v>
      </c>
      <c r="R11" s="20" t="n">
        <v>0</v>
      </c>
    </row>
    <row r="12" spans="1:18">
      <c r="A12" s="15" t="s">
        <v>354</v>
      </c>
      <c r="B12" s="17" t="n">
        <v>6894</v>
      </c>
      <c r="C12" s="18">
        <f>(6069.0/B12*100)</f>
        <v/>
      </c>
      <c r="D12" s="19" t="n">
        <v>825</v>
      </c>
      <c r="E12" s="18" t="n">
        <v>53.56344074</v>
      </c>
      <c r="F12" s="20" t="n">
        <v>1.80727798</v>
      </c>
      <c r="G12" s="18" t="n">
        <v>45.45691236</v>
      </c>
      <c r="H12" s="20" t="n">
        <v>1.7783028</v>
      </c>
      <c r="I12" s="18" t="s">
        <v>349</v>
      </c>
      <c r="J12" s="20" t="s">
        <v>349</v>
      </c>
      <c r="K12" s="18" t="n">
        <v>0.9796469</v>
      </c>
      <c r="L12" s="20" t="n">
        <v>0.38794479</v>
      </c>
      <c r="M12" s="18" t="n">
        <v>0</v>
      </c>
      <c r="N12" s="20" t="n">
        <v>0</v>
      </c>
      <c r="O12" s="18" t="n">
        <v>0</v>
      </c>
      <c r="P12" s="20" t="n">
        <v>0</v>
      </c>
      <c r="Q12" s="18" t="n">
        <v>0</v>
      </c>
      <c r="R12" s="20" t="n">
        <v>0</v>
      </c>
    </row>
    <row r="13" spans="1:18">
      <c r="A13" s="15" t="s">
        <v>355</v>
      </c>
      <c r="B13" s="17" t="n">
        <v>7161</v>
      </c>
      <c r="C13" s="18">
        <f>(6348.0/B13*100)</f>
        <v/>
      </c>
      <c r="D13" s="19" t="n">
        <v>813</v>
      </c>
      <c r="E13" s="18" t="n">
        <v>53.35665845</v>
      </c>
      <c r="F13" s="20" t="n">
        <v>2.18511941</v>
      </c>
      <c r="G13" s="18" t="n">
        <v>45.29308655</v>
      </c>
      <c r="H13" s="20" t="n">
        <v>2.16357254</v>
      </c>
      <c r="I13" s="18" t="s">
        <v>349</v>
      </c>
      <c r="J13" s="20" t="s">
        <v>349</v>
      </c>
      <c r="K13" s="18" t="n">
        <v>1.350255</v>
      </c>
      <c r="L13" s="20" t="n">
        <v>0.45815304</v>
      </c>
      <c r="M13" s="18" t="n">
        <v>0</v>
      </c>
      <c r="N13" s="20" t="n">
        <v>0</v>
      </c>
      <c r="O13" s="18" t="n">
        <v>0</v>
      </c>
      <c r="P13" s="20" t="n">
        <v>0</v>
      </c>
      <c r="Q13" s="18" t="n">
        <v>0</v>
      </c>
      <c r="R13" s="20" t="n">
        <v>0</v>
      </c>
    </row>
    <row r="14" spans="1:18">
      <c r="A14" s="15" t="s">
        <v>356</v>
      </c>
      <c r="B14" s="17" t="n">
        <v>5587</v>
      </c>
      <c r="C14" s="18">
        <f>(4903.0/B14*100)</f>
        <v/>
      </c>
      <c r="D14" s="19" t="n">
        <v>684</v>
      </c>
      <c r="E14" s="18" t="n">
        <v>47.81157719</v>
      </c>
      <c r="F14" s="20" t="n">
        <v>2.20517317</v>
      </c>
      <c r="G14" s="18" t="n">
        <v>49.88906111</v>
      </c>
      <c r="H14" s="20" t="n">
        <v>2.13595015</v>
      </c>
      <c r="I14" s="18" t="s">
        <v>349</v>
      </c>
      <c r="J14" s="20" t="s">
        <v>349</v>
      </c>
      <c r="K14" s="18" t="n">
        <v>2.2993617</v>
      </c>
      <c r="L14" s="20" t="n">
        <v>0.5556106200000001</v>
      </c>
      <c r="M14" s="18" t="n">
        <v>0</v>
      </c>
      <c r="N14" s="20" t="n">
        <v>0</v>
      </c>
      <c r="O14" s="18" t="n">
        <v>0</v>
      </c>
      <c r="P14" s="20" t="n">
        <v>0</v>
      </c>
      <c r="Q14" s="18" t="n">
        <v>0</v>
      </c>
      <c r="R14" s="20" t="n">
        <v>0</v>
      </c>
    </row>
    <row r="15" spans="1:18">
      <c r="A15" s="15" t="s">
        <v>357</v>
      </c>
      <c r="B15" s="17" t="n">
        <v>5882</v>
      </c>
      <c r="C15" s="18">
        <f>(5162.0/B15*100)</f>
        <v/>
      </c>
      <c r="D15" s="19" t="n">
        <v>720</v>
      </c>
      <c r="E15" s="18" t="n">
        <v>53.89142613</v>
      </c>
      <c r="F15" s="20" t="n">
        <v>1.92104271</v>
      </c>
      <c r="G15" s="18" t="n">
        <v>45.09341599</v>
      </c>
      <c r="H15" s="20" t="n">
        <v>1.95104748</v>
      </c>
      <c r="I15" s="18" t="s">
        <v>349</v>
      </c>
      <c r="J15" s="20" t="s">
        <v>349</v>
      </c>
      <c r="K15" s="18" t="n">
        <v>1.01515788</v>
      </c>
      <c r="L15" s="20" t="n">
        <v>0.33001371</v>
      </c>
      <c r="M15" s="18" t="n">
        <v>0</v>
      </c>
      <c r="N15" s="20" t="n">
        <v>0</v>
      </c>
      <c r="O15" s="18" t="n">
        <v>0</v>
      </c>
      <c r="P15" s="20" t="n">
        <v>0</v>
      </c>
      <c r="Q15" s="18" t="n">
        <v>0</v>
      </c>
      <c r="R15" s="20" t="n">
        <v>0</v>
      </c>
    </row>
    <row r="16" spans="1:18">
      <c r="A16" s="15" t="s">
        <v>358</v>
      </c>
      <c r="B16" s="17" t="n">
        <v>6108</v>
      </c>
      <c r="C16" s="18">
        <f>(5355.0/B16*100)</f>
        <v/>
      </c>
      <c r="D16" s="19" t="n">
        <v>753</v>
      </c>
      <c r="E16" s="18" t="n">
        <v>53.90118126</v>
      </c>
      <c r="F16" s="20" t="n">
        <v>1.77315088</v>
      </c>
      <c r="G16" s="18" t="n">
        <v>43.97026943</v>
      </c>
      <c r="H16" s="20" t="n">
        <v>1.78816254</v>
      </c>
      <c r="I16" s="18" t="s">
        <v>349</v>
      </c>
      <c r="J16" s="20" t="s">
        <v>349</v>
      </c>
      <c r="K16" s="18" t="n">
        <v>2.12854931</v>
      </c>
      <c r="L16" s="20" t="n">
        <v>0.62703921</v>
      </c>
      <c r="M16" s="18" t="n">
        <v>0</v>
      </c>
      <c r="N16" s="20" t="n">
        <v>0</v>
      </c>
      <c r="O16" s="18" t="n">
        <v>0</v>
      </c>
      <c r="P16" s="20" t="n">
        <v>0</v>
      </c>
      <c r="Q16" s="18" t="n">
        <v>0</v>
      </c>
      <c r="R16" s="20" t="n">
        <v>0</v>
      </c>
    </row>
    <row r="17" spans="1:18">
      <c r="A17" s="15" t="s">
        <v>359</v>
      </c>
      <c r="B17" s="17" t="n">
        <v>6504</v>
      </c>
      <c r="C17" s="18">
        <f>(5753.0/B17*100)</f>
        <v/>
      </c>
      <c r="D17" s="19" t="n">
        <v>751</v>
      </c>
      <c r="E17" s="18" t="n">
        <v>48.04224654</v>
      </c>
      <c r="F17" s="20" t="n">
        <v>1.9900194</v>
      </c>
      <c r="G17" s="18" t="n">
        <v>50.65239327</v>
      </c>
      <c r="H17" s="20" t="n">
        <v>1.98390042</v>
      </c>
      <c r="I17" s="18" t="s">
        <v>349</v>
      </c>
      <c r="J17" s="20" t="s">
        <v>349</v>
      </c>
      <c r="K17" s="18" t="n">
        <v>1.30536019</v>
      </c>
      <c r="L17" s="20" t="n">
        <v>0.41365325</v>
      </c>
      <c r="M17" s="18" t="n">
        <v>0</v>
      </c>
      <c r="N17" s="20" t="n">
        <v>0</v>
      </c>
      <c r="O17" s="18" t="n">
        <v>0</v>
      </c>
      <c r="P17" s="20" t="n">
        <v>0</v>
      </c>
      <c r="Q17" s="18" t="n">
        <v>0</v>
      </c>
      <c r="R17" s="20" t="n">
        <v>0</v>
      </c>
    </row>
    <row r="18" spans="1:18">
      <c r="A18" s="15" t="s">
        <v>360</v>
      </c>
      <c r="B18" s="17" t="n">
        <v>5532</v>
      </c>
      <c r="C18" s="18">
        <f>(4845.0/B18*100)</f>
        <v/>
      </c>
      <c r="D18" s="19" t="n">
        <v>687</v>
      </c>
      <c r="E18" s="18" t="n">
        <v>59.96795193</v>
      </c>
      <c r="F18" s="20" t="n">
        <v>1.91359906</v>
      </c>
      <c r="G18" s="18" t="n">
        <v>38.57321623</v>
      </c>
      <c r="H18" s="20" t="n">
        <v>2.00455439</v>
      </c>
      <c r="I18" s="18" t="s">
        <v>349</v>
      </c>
      <c r="J18" s="20" t="s">
        <v>349</v>
      </c>
      <c r="K18" s="18" t="n">
        <v>1.45883184</v>
      </c>
      <c r="L18" s="20" t="n">
        <v>0.5600937</v>
      </c>
      <c r="M18" s="18" t="n">
        <v>0</v>
      </c>
      <c r="N18" s="20" t="n">
        <v>0</v>
      </c>
      <c r="O18" s="18" t="n">
        <v>0</v>
      </c>
      <c r="P18" s="20" t="n">
        <v>0</v>
      </c>
      <c r="Q18" s="18" t="n">
        <v>0</v>
      </c>
      <c r="R18" s="20" t="n">
        <v>0</v>
      </c>
    </row>
    <row r="19" spans="1:18">
      <c r="A19" s="15" t="s">
        <v>361</v>
      </c>
      <c r="B19" s="17" t="n">
        <v>5658</v>
      </c>
      <c r="C19" s="18">
        <f>(4964.0/B19*100)</f>
        <v/>
      </c>
      <c r="D19" s="19" t="n">
        <v>694</v>
      </c>
      <c r="E19" s="18" t="n">
        <v>51.56688042</v>
      </c>
      <c r="F19" s="20" t="n">
        <v>1.8083192</v>
      </c>
      <c r="G19" s="18" t="n">
        <v>47.90667637</v>
      </c>
      <c r="H19" s="20" t="n">
        <v>1.76779743</v>
      </c>
      <c r="I19" s="18" t="s">
        <v>349</v>
      </c>
      <c r="J19" s="20" t="s">
        <v>349</v>
      </c>
      <c r="K19" s="18" t="n">
        <v>0.5264432100000001</v>
      </c>
      <c r="L19" s="20" t="n">
        <v>0.26389346</v>
      </c>
      <c r="M19" s="18" t="n">
        <v>0</v>
      </c>
      <c r="N19" s="20" t="n">
        <v>0</v>
      </c>
      <c r="O19" s="18" t="n">
        <v>0</v>
      </c>
      <c r="P19" s="20" t="n">
        <v>0</v>
      </c>
      <c r="Q19" s="18" t="n">
        <v>0</v>
      </c>
      <c r="R19" s="20" t="n">
        <v>0</v>
      </c>
    </row>
    <row r="20" spans="1:18">
      <c r="A20" s="15" t="s">
        <v>362</v>
      </c>
      <c r="B20" s="17" t="n">
        <v>3371</v>
      </c>
      <c r="C20" s="18">
        <f>(2962.0/B20*100)</f>
        <v/>
      </c>
      <c r="D20" s="19" t="n">
        <v>409</v>
      </c>
      <c r="E20" s="18" t="n">
        <v>55.38449962</v>
      </c>
      <c r="F20" s="20" t="n">
        <v>2.64685824</v>
      </c>
      <c r="G20" s="18" t="n">
        <v>43.68241914</v>
      </c>
      <c r="H20" s="20" t="n">
        <v>2.59747633</v>
      </c>
      <c r="I20" s="18" t="s">
        <v>349</v>
      </c>
      <c r="J20" s="20" t="s">
        <v>349</v>
      </c>
      <c r="K20" s="18" t="n">
        <v>0.93308124</v>
      </c>
      <c r="L20" s="20" t="n">
        <v>0.4806413</v>
      </c>
      <c r="M20" s="18" t="n">
        <v>0</v>
      </c>
      <c r="N20" s="20" t="n">
        <v>0</v>
      </c>
      <c r="O20" s="18" t="n">
        <v>0</v>
      </c>
      <c r="P20" s="20" t="n">
        <v>0</v>
      </c>
      <c r="Q20" s="18" t="n">
        <v>0</v>
      </c>
      <c r="R20" s="20" t="n">
        <v>0</v>
      </c>
    </row>
    <row r="21" spans="1:18">
      <c r="A21" s="15" t="s">
        <v>363</v>
      </c>
      <c r="B21" s="17" t="n">
        <v>5741</v>
      </c>
      <c r="C21" s="18">
        <f>(4792.0/B21*100)</f>
        <v/>
      </c>
      <c r="D21" s="19" t="n">
        <v>949</v>
      </c>
      <c r="E21" s="18" t="n">
        <v>57.78158443</v>
      </c>
      <c r="F21" s="20" t="n">
        <v>1.56276429</v>
      </c>
      <c r="G21" s="18" t="n">
        <v>41.14840369</v>
      </c>
      <c r="H21" s="20" t="n">
        <v>1.5083198</v>
      </c>
      <c r="I21" s="18" t="s">
        <v>349</v>
      </c>
      <c r="J21" s="20" t="s">
        <v>349</v>
      </c>
      <c r="K21" s="18" t="n">
        <v>1.07001188</v>
      </c>
      <c r="L21" s="20" t="n">
        <v>0.36365154</v>
      </c>
      <c r="M21" s="18" t="n">
        <v>0</v>
      </c>
      <c r="N21" s="20" t="n">
        <v>0</v>
      </c>
      <c r="O21" s="18" t="n">
        <v>0</v>
      </c>
      <c r="P21" s="20" t="n">
        <v>0</v>
      </c>
      <c r="Q21" s="18" t="n">
        <v>0</v>
      </c>
      <c r="R21" s="20" t="n">
        <v>0</v>
      </c>
    </row>
    <row r="22" spans="1:18">
      <c r="A22" s="15" t="s">
        <v>364</v>
      </c>
      <c r="B22" s="17" t="n">
        <v>6598</v>
      </c>
      <c r="C22" s="18">
        <f>(5799.0/B22*100)</f>
        <v/>
      </c>
      <c r="D22" s="19" t="n">
        <v>799</v>
      </c>
      <c r="E22" s="18" t="n">
        <v>53.28225068</v>
      </c>
      <c r="F22" s="20" t="n">
        <v>1.92127757</v>
      </c>
      <c r="G22" s="18" t="n">
        <v>45.00348154</v>
      </c>
      <c r="H22" s="20" t="n">
        <v>1.89494266</v>
      </c>
      <c r="I22" s="18" t="s">
        <v>349</v>
      </c>
      <c r="J22" s="20" t="s">
        <v>349</v>
      </c>
      <c r="K22" s="18" t="n">
        <v>1.71426778</v>
      </c>
      <c r="L22" s="20" t="n">
        <v>0.55270499</v>
      </c>
      <c r="M22" s="18" t="n">
        <v>0</v>
      </c>
      <c r="N22" s="20" t="n">
        <v>0</v>
      </c>
      <c r="O22" s="18" t="n">
        <v>0</v>
      </c>
      <c r="P22" s="20" t="n">
        <v>0</v>
      </c>
      <c r="Q22" s="18" t="n">
        <v>0</v>
      </c>
      <c r="R22" s="20" t="n">
        <v>0</v>
      </c>
    </row>
    <row r="23" spans="1:18">
      <c r="A23" s="15" t="s">
        <v>365</v>
      </c>
      <c r="B23" s="17" t="n">
        <v>11583</v>
      </c>
      <c r="C23" s="18">
        <f>(10178.0/B23*100)</f>
        <v/>
      </c>
      <c r="D23" s="19" t="n">
        <v>1405</v>
      </c>
      <c r="E23" s="18" t="n">
        <v>54.61915618</v>
      </c>
      <c r="F23" s="20" t="n">
        <v>1.89748942</v>
      </c>
      <c r="G23" s="18" t="n">
        <v>44.06653098</v>
      </c>
      <c r="H23" s="20" t="n">
        <v>1.86503338</v>
      </c>
      <c r="I23" s="18" t="s">
        <v>349</v>
      </c>
      <c r="J23" s="20" t="s">
        <v>349</v>
      </c>
      <c r="K23" s="18" t="n">
        <v>1.31431283</v>
      </c>
      <c r="L23" s="20" t="n">
        <v>0.39660564</v>
      </c>
      <c r="M23" s="18" t="n">
        <v>0</v>
      </c>
      <c r="N23" s="20" t="n">
        <v>0</v>
      </c>
      <c r="O23" s="18" t="n">
        <v>0</v>
      </c>
      <c r="P23" s="20" t="n">
        <v>0</v>
      </c>
      <c r="Q23" s="18" t="n">
        <v>0</v>
      </c>
      <c r="R23" s="20" t="n">
        <v>0</v>
      </c>
    </row>
    <row r="24" spans="1:18">
      <c r="A24" s="15" t="s">
        <v>366</v>
      </c>
      <c r="B24" s="17" t="n">
        <v>6647</v>
      </c>
      <c r="C24" s="18">
        <f>(5824.0/B24*100)</f>
        <v/>
      </c>
      <c r="D24" s="19" t="n">
        <v>823</v>
      </c>
      <c r="E24" s="18" t="n">
        <v>43.38017311</v>
      </c>
      <c r="F24" s="20" t="n">
        <v>1.88093967</v>
      </c>
      <c r="G24" s="18" t="n">
        <v>54.96678191</v>
      </c>
      <c r="H24" s="20" t="n">
        <v>1.87250495</v>
      </c>
      <c r="I24" s="18" t="s">
        <v>349</v>
      </c>
      <c r="J24" s="20" t="s">
        <v>349</v>
      </c>
      <c r="K24" s="18" t="n">
        <v>1.65304499</v>
      </c>
      <c r="L24" s="20" t="n">
        <v>0.46919271</v>
      </c>
      <c r="M24" s="18" t="n">
        <v>0</v>
      </c>
      <c r="N24" s="20" t="n">
        <v>0</v>
      </c>
      <c r="O24" s="18" t="n">
        <v>0</v>
      </c>
      <c r="P24" s="20" t="n">
        <v>0</v>
      </c>
      <c r="Q24" s="18" t="n">
        <v>0</v>
      </c>
      <c r="R24" s="20" t="n">
        <v>0</v>
      </c>
    </row>
    <row r="25" spans="1:18">
      <c r="A25" s="15" t="s">
        <v>367</v>
      </c>
      <c r="B25" s="17" t="n">
        <v>5581</v>
      </c>
      <c r="C25" s="18">
        <f>(4907.0/B25*100)</f>
        <v/>
      </c>
      <c r="D25" s="19" t="n">
        <v>674</v>
      </c>
      <c r="E25" s="18" t="n">
        <v>51.10742498</v>
      </c>
      <c r="F25" s="20" t="n">
        <v>1.92801842</v>
      </c>
      <c r="G25" s="18" t="n">
        <v>48.57024582</v>
      </c>
      <c r="H25" s="20" t="n">
        <v>1.89613042</v>
      </c>
      <c r="I25" s="18" t="s">
        <v>349</v>
      </c>
      <c r="J25" s="20" t="s">
        <v>349</v>
      </c>
      <c r="K25" s="18" t="n">
        <v>0.32232921</v>
      </c>
      <c r="L25" s="20" t="n">
        <v>0.21421181</v>
      </c>
      <c r="M25" s="18" t="n">
        <v>0</v>
      </c>
      <c r="N25" s="20" t="n">
        <v>0</v>
      </c>
      <c r="O25" s="18" t="n">
        <v>0</v>
      </c>
      <c r="P25" s="20" t="n">
        <v>0</v>
      </c>
      <c r="Q25" s="18" t="n">
        <v>0</v>
      </c>
      <c r="R25" s="20" t="n">
        <v>0</v>
      </c>
    </row>
    <row r="26" spans="1:18">
      <c r="A26" s="15" t="s">
        <v>368</v>
      </c>
      <c r="B26" s="17" t="n">
        <v>4869</v>
      </c>
      <c r="C26" s="18">
        <f>(4288.0/B26*100)</f>
        <v/>
      </c>
      <c r="D26" s="19" t="n">
        <v>581</v>
      </c>
      <c r="E26" s="18" t="n">
        <v>52.35810997</v>
      </c>
      <c r="F26" s="20" t="n">
        <v>2.18834614</v>
      </c>
      <c r="G26" s="18" t="n">
        <v>46.71864493</v>
      </c>
      <c r="H26" s="20" t="n">
        <v>2.11387908</v>
      </c>
      <c r="I26" s="18" t="s">
        <v>349</v>
      </c>
      <c r="J26" s="20" t="s">
        <v>349</v>
      </c>
      <c r="K26" s="18" t="n">
        <v>0.9232451</v>
      </c>
      <c r="L26" s="20" t="n">
        <v>0.54680772</v>
      </c>
      <c r="M26" s="18" t="n">
        <v>0</v>
      </c>
      <c r="N26" s="20" t="n">
        <v>0</v>
      </c>
      <c r="O26" s="18" t="n">
        <v>0</v>
      </c>
      <c r="P26" s="20" t="n">
        <v>0</v>
      </c>
      <c r="Q26" s="18" t="n">
        <v>0</v>
      </c>
      <c r="R26" s="20" t="n">
        <v>0</v>
      </c>
    </row>
    <row r="27" spans="1:18">
      <c r="A27" s="15" t="s">
        <v>369</v>
      </c>
      <c r="B27" s="17" t="n">
        <v>5299</v>
      </c>
      <c r="C27" s="18">
        <f>(4676.0/B27*100)</f>
        <v/>
      </c>
      <c r="D27" s="19" t="n">
        <v>623</v>
      </c>
      <c r="E27" s="18" t="n">
        <v>54.43419858</v>
      </c>
      <c r="F27" s="20" t="n">
        <v>1.77589458</v>
      </c>
      <c r="G27" s="18" t="n">
        <v>43.63122737</v>
      </c>
      <c r="H27" s="20" t="n">
        <v>1.81361625</v>
      </c>
      <c r="I27" s="18" t="s">
        <v>349</v>
      </c>
      <c r="J27" s="20" t="s">
        <v>349</v>
      </c>
      <c r="K27" s="18" t="n">
        <v>1.93457406</v>
      </c>
      <c r="L27" s="20" t="n">
        <v>0.50137158</v>
      </c>
      <c r="M27" s="18" t="n">
        <v>0</v>
      </c>
      <c r="N27" s="20" t="n">
        <v>0</v>
      </c>
      <c r="O27" s="18" t="n">
        <v>0</v>
      </c>
      <c r="P27" s="20" t="n">
        <v>0</v>
      </c>
      <c r="Q27" s="18" t="n">
        <v>0</v>
      </c>
      <c r="R27" s="20" t="n">
        <v>0</v>
      </c>
    </row>
    <row r="28" spans="1:18">
      <c r="A28" s="15" t="s">
        <v>370</v>
      </c>
      <c r="B28" s="17" t="n">
        <v>7568</v>
      </c>
      <c r="C28" s="18">
        <f>(6757.0/B28*100)</f>
        <v/>
      </c>
      <c r="D28" s="19" t="n">
        <v>811</v>
      </c>
      <c r="E28" s="18" t="n">
        <v>69.25061593</v>
      </c>
      <c r="F28" s="20" t="n">
        <v>1.95761384</v>
      </c>
      <c r="G28" s="18" t="n">
        <v>28.54309822</v>
      </c>
      <c r="H28" s="20" t="n">
        <v>1.92299704</v>
      </c>
      <c r="I28" s="18" t="s">
        <v>349</v>
      </c>
      <c r="J28" s="20" t="s">
        <v>349</v>
      </c>
      <c r="K28" s="18" t="n">
        <v>2.20628586</v>
      </c>
      <c r="L28" s="20" t="n">
        <v>0.7594896</v>
      </c>
      <c r="M28" s="18" t="n">
        <v>0</v>
      </c>
      <c r="N28" s="20" t="n">
        <v>0</v>
      </c>
      <c r="O28" s="18" t="n">
        <v>0</v>
      </c>
      <c r="P28" s="20" t="n">
        <v>0</v>
      </c>
      <c r="Q28" s="18" t="n">
        <v>0</v>
      </c>
      <c r="R28" s="20" t="n">
        <v>0</v>
      </c>
    </row>
    <row r="29" spans="1:18">
      <c r="A29" s="15" t="s">
        <v>371</v>
      </c>
      <c r="B29" s="17" t="n">
        <v>5385</v>
      </c>
      <c r="C29" s="18">
        <f>(4755.0/B29*100)</f>
        <v/>
      </c>
      <c r="D29" s="19" t="n">
        <v>630</v>
      </c>
      <c r="E29" s="18" t="n">
        <v>46.68858549</v>
      </c>
      <c r="F29" s="20" t="n">
        <v>1.87509404</v>
      </c>
      <c r="G29" s="18" t="n">
        <v>53.01046686</v>
      </c>
      <c r="H29" s="20" t="n">
        <v>1.87251007</v>
      </c>
      <c r="I29" s="18" t="s">
        <v>349</v>
      </c>
      <c r="J29" s="20" t="s">
        <v>349</v>
      </c>
      <c r="K29" s="18" t="n">
        <v>0.30094765</v>
      </c>
      <c r="L29" s="20" t="n">
        <v>0.20073233</v>
      </c>
      <c r="M29" s="18" t="n">
        <v>0</v>
      </c>
      <c r="N29" s="20" t="n">
        <v>0</v>
      </c>
      <c r="O29" s="18" t="n">
        <v>0</v>
      </c>
      <c r="P29" s="20" t="n">
        <v>0</v>
      </c>
      <c r="Q29" s="18" t="n">
        <v>0</v>
      </c>
      <c r="R29" s="20" t="n">
        <v>0</v>
      </c>
    </row>
    <row r="30" spans="1:18">
      <c r="A30" s="15" t="s">
        <v>372</v>
      </c>
      <c r="B30" s="17" t="n">
        <v>4520</v>
      </c>
      <c r="C30" s="18">
        <f>(3982.0/B30*100)</f>
        <v/>
      </c>
      <c r="D30" s="19" t="n">
        <v>538</v>
      </c>
      <c r="E30" s="18" t="n">
        <v>55.768365</v>
      </c>
      <c r="F30" s="20" t="n">
        <v>2.35981302</v>
      </c>
      <c r="G30" s="18" t="n">
        <v>42.11268674</v>
      </c>
      <c r="H30" s="20" t="n">
        <v>2.35725446</v>
      </c>
      <c r="I30" s="18" t="s">
        <v>349</v>
      </c>
      <c r="J30" s="20" t="s">
        <v>349</v>
      </c>
      <c r="K30" s="18" t="n">
        <v>2.11894826</v>
      </c>
      <c r="L30" s="20" t="n">
        <v>0.60392632</v>
      </c>
      <c r="M30" s="18" t="n">
        <v>0</v>
      </c>
      <c r="N30" s="20" t="n">
        <v>0</v>
      </c>
      <c r="O30" s="18" t="n">
        <v>0</v>
      </c>
      <c r="P30" s="20" t="n">
        <v>0</v>
      </c>
      <c r="Q30" s="18" t="n">
        <v>0</v>
      </c>
      <c r="R30" s="20" t="n">
        <v>0</v>
      </c>
    </row>
    <row r="31" spans="1:18">
      <c r="A31" s="15" t="s">
        <v>373</v>
      </c>
      <c r="B31" s="17" t="n">
        <v>5456</v>
      </c>
      <c r="C31" s="18">
        <f>(4792.0/B31*100)</f>
        <v/>
      </c>
      <c r="D31" s="19" t="n">
        <v>664</v>
      </c>
      <c r="E31" s="18" t="n">
        <v>49.88616621</v>
      </c>
      <c r="F31" s="20" t="n">
        <v>1.90286229</v>
      </c>
      <c r="G31" s="18" t="n">
        <v>48.53786334</v>
      </c>
      <c r="H31" s="20" t="n">
        <v>1.92833902</v>
      </c>
      <c r="I31" s="18" t="s">
        <v>349</v>
      </c>
      <c r="J31" s="20" t="s">
        <v>349</v>
      </c>
      <c r="K31" s="18" t="n">
        <v>1.57597045</v>
      </c>
      <c r="L31" s="20" t="n">
        <v>0.48022749</v>
      </c>
      <c r="M31" s="18" t="n">
        <v>0</v>
      </c>
      <c r="N31" s="20" t="n">
        <v>0</v>
      </c>
      <c r="O31" s="18" t="n">
        <v>0</v>
      </c>
      <c r="P31" s="20" t="n">
        <v>0</v>
      </c>
      <c r="Q31" s="18" t="n">
        <v>0</v>
      </c>
      <c r="R31" s="20" t="n">
        <v>0</v>
      </c>
    </row>
    <row r="32" spans="1:18">
      <c r="A32" s="15" t="s">
        <v>374</v>
      </c>
      <c r="B32" s="17" t="n">
        <v>4478</v>
      </c>
      <c r="C32" s="18">
        <f>(3733.0/B32*100)</f>
        <v/>
      </c>
      <c r="D32" s="19" t="n">
        <v>745</v>
      </c>
      <c r="E32" s="18" t="n">
        <v>49.42557896</v>
      </c>
      <c r="F32" s="20" t="n">
        <v>1.69454101</v>
      </c>
      <c r="G32" s="18" t="n">
        <v>50.1167275</v>
      </c>
      <c r="H32" s="20" t="n">
        <v>1.70982857</v>
      </c>
      <c r="I32" s="18" t="s">
        <v>349</v>
      </c>
      <c r="J32" s="20" t="s">
        <v>349</v>
      </c>
      <c r="K32" s="18" t="n">
        <v>0.45769355</v>
      </c>
      <c r="L32" s="20" t="n">
        <v>0.26719194</v>
      </c>
      <c r="M32" s="18" t="n">
        <v>0</v>
      </c>
      <c r="N32" s="20" t="n">
        <v>0</v>
      </c>
      <c r="O32" s="18" t="n">
        <v>0</v>
      </c>
      <c r="P32" s="20" t="n">
        <v>0</v>
      </c>
      <c r="Q32" s="18" t="n">
        <v>0</v>
      </c>
      <c r="R32" s="20" t="n">
        <v>0</v>
      </c>
    </row>
    <row r="33" spans="1:18">
      <c r="A33" s="15" t="s">
        <v>375</v>
      </c>
      <c r="B33" s="17" t="n">
        <v>7325</v>
      </c>
      <c r="C33" s="18">
        <f>(6468.0/B33*100)</f>
        <v/>
      </c>
      <c r="D33" s="19" t="n">
        <v>857</v>
      </c>
      <c r="E33" s="18" t="n">
        <v>58.20474323</v>
      </c>
      <c r="F33" s="20" t="n">
        <v>2.04536811</v>
      </c>
      <c r="G33" s="18" t="n">
        <v>39.80844001</v>
      </c>
      <c r="H33" s="20" t="n">
        <v>1.96187416</v>
      </c>
      <c r="I33" s="18" t="s">
        <v>349</v>
      </c>
      <c r="J33" s="20" t="s">
        <v>349</v>
      </c>
      <c r="K33" s="18" t="n">
        <v>1.98681676</v>
      </c>
      <c r="L33" s="20" t="n">
        <v>0.69454231</v>
      </c>
      <c r="M33" s="18" t="n">
        <v>0</v>
      </c>
      <c r="N33" s="20" t="n">
        <v>0</v>
      </c>
      <c r="O33" s="18" t="n">
        <v>0</v>
      </c>
      <c r="P33" s="20" t="n">
        <v>0</v>
      </c>
      <c r="Q33" s="18" t="n">
        <v>0</v>
      </c>
      <c r="R33" s="20" t="n">
        <v>0</v>
      </c>
    </row>
    <row r="34" spans="1:18">
      <c r="A34" s="15" t="s">
        <v>376</v>
      </c>
      <c r="B34" s="17" t="n">
        <v>6350</v>
      </c>
      <c r="C34" s="18">
        <f>(5607.0/B34*100)</f>
        <v/>
      </c>
      <c r="D34" s="19" t="n">
        <v>743</v>
      </c>
      <c r="E34" s="18" t="n">
        <v>48.94225585</v>
      </c>
      <c r="F34" s="20" t="n">
        <v>2.23584611</v>
      </c>
      <c r="G34" s="18" t="n">
        <v>50.48691583</v>
      </c>
      <c r="H34" s="20" t="n">
        <v>2.21530311</v>
      </c>
      <c r="I34" s="18" t="s">
        <v>349</v>
      </c>
      <c r="J34" s="20" t="s">
        <v>349</v>
      </c>
      <c r="K34" s="18" t="n">
        <v>0.5708283199999999</v>
      </c>
      <c r="L34" s="20" t="n">
        <v>0.25999747</v>
      </c>
      <c r="M34" s="18" t="n">
        <v>0</v>
      </c>
      <c r="N34" s="20" t="n">
        <v>0</v>
      </c>
      <c r="O34" s="18" t="n">
        <v>0</v>
      </c>
      <c r="P34" s="20" t="n">
        <v>0</v>
      </c>
      <c r="Q34" s="18" t="n">
        <v>0</v>
      </c>
      <c r="R34" s="20" t="n">
        <v>0</v>
      </c>
    </row>
    <row r="35" spans="1:18">
      <c r="A35" s="15" t="s">
        <v>377</v>
      </c>
      <c r="B35" s="17" t="n">
        <v>6406</v>
      </c>
      <c r="C35" s="18">
        <f>(5631.0/B35*100)</f>
        <v/>
      </c>
      <c r="D35" s="19" t="n">
        <v>775</v>
      </c>
      <c r="E35" s="18" t="n">
        <v>41.68497852</v>
      </c>
      <c r="F35" s="20" t="n">
        <v>2.22102352</v>
      </c>
      <c r="G35" s="18" t="n">
        <v>57.37171856</v>
      </c>
      <c r="H35" s="20" t="n">
        <v>2.19714871</v>
      </c>
      <c r="I35" s="18" t="s">
        <v>349</v>
      </c>
      <c r="J35" s="20" t="s">
        <v>349</v>
      </c>
      <c r="K35" s="18" t="n">
        <v>0.94330292</v>
      </c>
      <c r="L35" s="20" t="n">
        <v>0.3409149</v>
      </c>
      <c r="M35" s="18" t="n">
        <v>0</v>
      </c>
      <c r="N35" s="20" t="n">
        <v>0</v>
      </c>
      <c r="O35" s="18" t="n">
        <v>0</v>
      </c>
      <c r="P35" s="20" t="n">
        <v>0</v>
      </c>
      <c r="Q35" s="18" t="n">
        <v>0</v>
      </c>
      <c r="R35" s="20" t="n">
        <v>0</v>
      </c>
    </row>
    <row r="36" spans="1:18">
      <c r="A36" s="15" t="s">
        <v>378</v>
      </c>
      <c r="B36" s="17" t="n">
        <v>6736</v>
      </c>
      <c r="C36" s="18">
        <f>(5948.0/B36*100)</f>
        <v/>
      </c>
      <c r="D36" s="19" t="n">
        <v>788</v>
      </c>
      <c r="E36" s="18" t="n">
        <v>54.58032877</v>
      </c>
      <c r="F36" s="20" t="n">
        <v>2.05559916</v>
      </c>
      <c r="G36" s="18" t="n">
        <v>43.72246424</v>
      </c>
      <c r="H36" s="20" t="n">
        <v>2.09077466</v>
      </c>
      <c r="I36" s="18" t="s">
        <v>349</v>
      </c>
      <c r="J36" s="20" t="s">
        <v>349</v>
      </c>
      <c r="K36" s="18" t="n">
        <v>1.697207</v>
      </c>
      <c r="L36" s="20" t="n">
        <v>0.56058751</v>
      </c>
      <c r="M36" s="18" t="n">
        <v>0</v>
      </c>
      <c r="N36" s="20" t="n">
        <v>0</v>
      </c>
      <c r="O36" s="18" t="n">
        <v>0</v>
      </c>
      <c r="P36" s="20" t="n">
        <v>0</v>
      </c>
      <c r="Q36" s="18" t="n">
        <v>0</v>
      </c>
      <c r="R36" s="20" t="n">
        <v>0</v>
      </c>
    </row>
    <row r="37" spans="1:18">
      <c r="A37" s="15" t="s">
        <v>379</v>
      </c>
      <c r="B37" s="17" t="n">
        <v>5458</v>
      </c>
      <c r="C37" s="18">
        <f>(4824.0/B37*100)</f>
        <v/>
      </c>
      <c r="D37" s="19" t="n">
        <v>634</v>
      </c>
      <c r="E37" s="18" t="n">
        <v>50.80225855</v>
      </c>
      <c r="F37" s="20" t="n">
        <v>2.02935381</v>
      </c>
      <c r="G37" s="18" t="n">
        <v>46.71773624</v>
      </c>
      <c r="H37" s="20" t="n">
        <v>2.07475372</v>
      </c>
      <c r="I37" s="18" t="s">
        <v>349</v>
      </c>
      <c r="J37" s="20" t="s">
        <v>349</v>
      </c>
      <c r="K37" s="18" t="n">
        <v>2.48000521</v>
      </c>
      <c r="L37" s="20" t="n">
        <v>0.61465081</v>
      </c>
      <c r="M37" s="18" t="n">
        <v>0</v>
      </c>
      <c r="N37" s="20" t="n">
        <v>0</v>
      </c>
      <c r="O37" s="18" t="n">
        <v>0</v>
      </c>
      <c r="P37" s="20" t="n">
        <v>0</v>
      </c>
      <c r="Q37" s="18" t="n">
        <v>0</v>
      </c>
      <c r="R37" s="20" t="n">
        <v>0</v>
      </c>
    </row>
    <row r="38" spans="1:18">
      <c r="A38" s="15" t="s">
        <v>380</v>
      </c>
      <c r="B38" s="17" t="n">
        <v>5860</v>
      </c>
      <c r="C38" s="18">
        <f>(4920.0/B38*100)</f>
        <v/>
      </c>
      <c r="D38" s="19" t="n">
        <v>940</v>
      </c>
      <c r="E38" s="18" t="n">
        <v>43.19045768</v>
      </c>
      <c r="F38" s="20" t="n">
        <v>1.88700911</v>
      </c>
      <c r="G38" s="18" t="n">
        <v>55.53041693</v>
      </c>
      <c r="H38" s="20" t="n">
        <v>1.92200387</v>
      </c>
      <c r="I38" s="18" t="s">
        <v>349</v>
      </c>
      <c r="J38" s="20" t="s">
        <v>349</v>
      </c>
      <c r="K38" s="18" t="n">
        <v>1.27912539</v>
      </c>
      <c r="L38" s="20" t="n">
        <v>0.36366169</v>
      </c>
      <c r="M38" s="18" t="n">
        <v>0</v>
      </c>
      <c r="N38" s="20" t="n">
        <v>0</v>
      </c>
      <c r="O38" s="18" t="n">
        <v>0</v>
      </c>
      <c r="P38" s="20" t="n">
        <v>0</v>
      </c>
      <c r="Q38" s="18" t="n">
        <v>0</v>
      </c>
      <c r="R38" s="20" t="n">
        <v>0</v>
      </c>
    </row>
    <row r="39" spans="1:18">
      <c r="A39" s="15" t="s">
        <v>381</v>
      </c>
      <c r="B39" s="17" t="n">
        <v>5895</v>
      </c>
      <c r="C39" s="18">
        <f>(5170.0/B39*100)</f>
        <v/>
      </c>
      <c r="D39" s="19" t="n">
        <v>725</v>
      </c>
      <c r="E39" s="18" t="n">
        <v>63.6655128</v>
      </c>
      <c r="F39" s="20" t="n">
        <v>2.05625736</v>
      </c>
      <c r="G39" s="18" t="n">
        <v>34.92871866</v>
      </c>
      <c r="H39" s="20" t="n">
        <v>1.93765743</v>
      </c>
      <c r="I39" s="18" t="s">
        <v>349</v>
      </c>
      <c r="J39" s="20" t="s">
        <v>349</v>
      </c>
      <c r="K39" s="18" t="n">
        <v>1.40576854</v>
      </c>
      <c r="L39" s="20" t="n">
        <v>0.57187309</v>
      </c>
      <c r="M39" s="18" t="n">
        <v>0</v>
      </c>
      <c r="N39" s="20" t="n">
        <v>0</v>
      </c>
      <c r="O39" s="18" t="n">
        <v>0</v>
      </c>
      <c r="P39" s="20" t="n">
        <v>0</v>
      </c>
      <c r="Q39" s="18" t="n">
        <v>0</v>
      </c>
      <c r="R39" s="20" t="n">
        <v>0</v>
      </c>
    </row>
    <row r="40" spans="1:18">
      <c r="A40" s="15" t="s">
        <v>382</v>
      </c>
      <c r="B40" s="17" t="n">
        <v>14157</v>
      </c>
      <c r="C40" s="18">
        <f>(12430.0/B40*100)</f>
        <v/>
      </c>
      <c r="D40" s="19" t="n">
        <v>1727</v>
      </c>
      <c r="E40" s="18" t="n">
        <v>57.76180746</v>
      </c>
      <c r="F40" s="20" t="n">
        <v>1.93142502</v>
      </c>
      <c r="G40" s="18" t="n">
        <v>41.5337277</v>
      </c>
      <c r="H40" s="20" t="n">
        <v>1.91241252</v>
      </c>
      <c r="I40" s="18" t="s">
        <v>349</v>
      </c>
      <c r="J40" s="20" t="s">
        <v>349</v>
      </c>
      <c r="K40" s="18" t="n">
        <v>0.70446484</v>
      </c>
      <c r="L40" s="20" t="n">
        <v>0.27728587</v>
      </c>
      <c r="M40" s="18" t="n">
        <v>0</v>
      </c>
      <c r="N40" s="20" t="n">
        <v>0</v>
      </c>
      <c r="O40" s="18" t="n">
        <v>0</v>
      </c>
      <c r="P40" s="20" t="n">
        <v>0</v>
      </c>
      <c r="Q40" s="18" t="n">
        <v>0</v>
      </c>
      <c r="R40" s="20" t="n">
        <v>0</v>
      </c>
    </row>
    <row r="41" spans="1:18">
      <c r="A41" s="15" t="s">
        <v>383</v>
      </c>
      <c r="B41" s="17" t="n">
        <v>5712</v>
      </c>
      <c r="C41" s="18">
        <f>(5036.0/B41*100)</f>
        <v/>
      </c>
      <c r="D41" s="19" t="n">
        <v>676</v>
      </c>
      <c r="E41" s="18" t="n">
        <v>60.52670509</v>
      </c>
      <c r="F41" s="20" t="n">
        <v>1.93147986</v>
      </c>
      <c r="G41" s="18" t="n">
        <v>38.30245086</v>
      </c>
      <c r="H41" s="20" t="n">
        <v>1.98616207</v>
      </c>
      <c r="I41" s="18" t="s">
        <v>349</v>
      </c>
      <c r="J41" s="20" t="s">
        <v>349</v>
      </c>
      <c r="K41" s="18" t="n">
        <v>1.17084405</v>
      </c>
      <c r="L41" s="20" t="n">
        <v>0.53439984</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(20917.0/B46*100)</f>
        <v/>
      </c>
      <c r="D46" s="19" t="n">
        <v>2224</v>
      </c>
      <c r="E46" s="18" t="n">
        <v>70.41519427</v>
      </c>
      <c r="F46" s="20" t="n">
        <v>1.17730335</v>
      </c>
      <c r="G46" s="18" t="n">
        <v>26.74242594</v>
      </c>
      <c r="H46" s="20" t="n">
        <v>1.1483296</v>
      </c>
      <c r="I46" s="18" t="s">
        <v>349</v>
      </c>
      <c r="J46" s="20" t="s">
        <v>349</v>
      </c>
      <c r="K46" s="18" t="n">
        <v>2.84237979</v>
      </c>
      <c r="L46" s="20" t="n">
        <v>0.5575485100000001</v>
      </c>
      <c r="M46" s="18" t="n">
        <v>0</v>
      </c>
      <c r="N46" s="20" t="n">
        <v>0</v>
      </c>
      <c r="O46" s="18" t="n">
        <v>0</v>
      </c>
      <c r="P46" s="20" t="n">
        <v>0</v>
      </c>
      <c r="Q46" s="18" t="n">
        <v>0</v>
      </c>
      <c r="R46" s="20" t="n">
        <v>0</v>
      </c>
    </row>
    <row r="47" spans="1:18">
      <c r="A47" s="15" t="s">
        <v>389</v>
      </c>
      <c r="B47" s="17" t="n">
        <v>5928</v>
      </c>
      <c r="C47" s="18">
        <f>(5222.0/B47*100)</f>
        <v/>
      </c>
      <c r="D47" s="19" t="n">
        <v>706</v>
      </c>
      <c r="E47" s="18" t="n">
        <v>54.82816373</v>
      </c>
      <c r="F47" s="20" t="n">
        <v>2.35395745</v>
      </c>
      <c r="G47" s="18" t="n">
        <v>43.83074585</v>
      </c>
      <c r="H47" s="20" t="n">
        <v>2.33103463</v>
      </c>
      <c r="I47" s="18" t="s">
        <v>349</v>
      </c>
      <c r="J47" s="20" t="s">
        <v>349</v>
      </c>
      <c r="K47" s="18" t="n">
        <v>1.34109042</v>
      </c>
      <c r="L47" s="20" t="n">
        <v>0.35381473</v>
      </c>
      <c r="M47" s="18" t="n">
        <v>0</v>
      </c>
      <c r="N47" s="20" t="n">
        <v>0</v>
      </c>
      <c r="O47" s="18" t="n">
        <v>0</v>
      </c>
      <c r="P47" s="20" t="n">
        <v>0</v>
      </c>
      <c r="Q47" s="18" t="n">
        <v>0</v>
      </c>
      <c r="R47" s="20" t="n">
        <v>0</v>
      </c>
    </row>
    <row r="48" spans="1:18">
      <c r="A48" s="15" t="s">
        <v>390</v>
      </c>
      <c r="B48" s="17" t="n">
        <v>9841</v>
      </c>
      <c r="C48" s="18">
        <f>(8645.0/B48*100)</f>
        <v/>
      </c>
      <c r="D48" s="19" t="n">
        <v>1196</v>
      </c>
      <c r="E48" s="18" t="n">
        <v>31.75538809</v>
      </c>
      <c r="F48" s="20" t="n">
        <v>1.7604249</v>
      </c>
      <c r="G48" s="18" t="n">
        <v>67.62834087</v>
      </c>
      <c r="H48" s="20" t="n">
        <v>1.76746527</v>
      </c>
      <c r="I48" s="18" t="s">
        <v>349</v>
      </c>
      <c r="J48" s="20" t="s">
        <v>349</v>
      </c>
      <c r="K48" s="18" t="n">
        <v>0.61627105</v>
      </c>
      <c r="L48" s="20" t="n">
        <v>0.26554056</v>
      </c>
      <c r="M48" s="18" t="n">
        <v>0</v>
      </c>
      <c r="N48" s="20" t="n">
        <v>0</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(10389.0/B50*100)</f>
        <v/>
      </c>
      <c r="D50" s="19" t="n">
        <v>1406</v>
      </c>
      <c r="E50" s="18" t="n">
        <v>72.29709681</v>
      </c>
      <c r="F50" s="20" t="n">
        <v>1.74432227</v>
      </c>
      <c r="G50" s="18" t="n">
        <v>25.82404065</v>
      </c>
      <c r="H50" s="20" t="n">
        <v>1.60974236</v>
      </c>
      <c r="I50" s="18" t="s">
        <v>349</v>
      </c>
      <c r="J50" s="20" t="s">
        <v>349</v>
      </c>
      <c r="K50" s="18" t="n">
        <v>1.87886255</v>
      </c>
      <c r="L50" s="20" t="n">
        <v>0.50417022</v>
      </c>
      <c r="M50" s="18" t="n">
        <v>0</v>
      </c>
      <c r="N50" s="20" t="n">
        <v>0</v>
      </c>
      <c r="O50" s="18" t="n">
        <v>0</v>
      </c>
      <c r="P50" s="20" t="n">
        <v>0</v>
      </c>
      <c r="Q50" s="18" t="n">
        <v>0</v>
      </c>
      <c r="R50" s="20" t="n">
        <v>0</v>
      </c>
    </row>
    <row r="51" spans="1:18">
      <c r="A51" s="15" t="s">
        <v>393</v>
      </c>
      <c r="B51" s="17" t="n">
        <v>6866</v>
      </c>
      <c r="C51" s="18">
        <f>(6154.0/B51*100)</f>
        <v/>
      </c>
      <c r="D51" s="19" t="n">
        <v>712</v>
      </c>
      <c r="E51" s="18" t="n">
        <v>70.81479937</v>
      </c>
      <c r="F51" s="20" t="n">
        <v>1.79616991</v>
      </c>
      <c r="G51" s="18" t="n">
        <v>28.40244233</v>
      </c>
      <c r="H51" s="20" t="n">
        <v>1.83665145</v>
      </c>
      <c r="I51" s="18" t="s">
        <v>349</v>
      </c>
      <c r="J51" s="20" t="s">
        <v>349</v>
      </c>
      <c r="K51" s="18" t="n">
        <v>0.7827583</v>
      </c>
      <c r="L51" s="20" t="n">
        <v>0.31100777</v>
      </c>
      <c r="M51" s="18" t="n">
        <v>0</v>
      </c>
      <c r="N51" s="20" t="n">
        <v>0</v>
      </c>
      <c r="O51" s="18" t="n">
        <v>0</v>
      </c>
      <c r="P51" s="20" t="n">
        <v>0</v>
      </c>
      <c r="Q51" s="18" t="n">
        <v>0</v>
      </c>
      <c r="R51" s="20" t="n">
        <v>0</v>
      </c>
    </row>
    <row r="52" spans="1:18">
      <c r="A52" s="15" t="s">
        <v>394</v>
      </c>
      <c r="B52" s="17" t="n">
        <v>5809</v>
      </c>
      <c r="C52" s="18">
        <f>(5106.0/B52*100)</f>
        <v/>
      </c>
      <c r="D52" s="19" t="n">
        <v>703</v>
      </c>
      <c r="E52" s="18" t="n">
        <v>52.38506179</v>
      </c>
      <c r="F52" s="20" t="n">
        <v>1.90216699</v>
      </c>
      <c r="G52" s="18" t="n">
        <v>45.89936678</v>
      </c>
      <c r="H52" s="20" t="n">
        <v>1.90756074</v>
      </c>
      <c r="I52" s="18" t="s">
        <v>349</v>
      </c>
      <c r="J52" s="20" t="s">
        <v>349</v>
      </c>
      <c r="K52" s="18" t="n">
        <v>1.71557143</v>
      </c>
      <c r="L52" s="20" t="n">
        <v>0.47973335</v>
      </c>
      <c r="M52" s="18" t="n">
        <v>0</v>
      </c>
      <c r="N52" s="20" t="n">
        <v>0</v>
      </c>
      <c r="O52" s="18" t="n">
        <v>0</v>
      </c>
      <c r="P52" s="20" t="n">
        <v>0</v>
      </c>
      <c r="Q52" s="18" t="n">
        <v>0</v>
      </c>
      <c r="R52" s="20" t="n">
        <v>0</v>
      </c>
    </row>
    <row r="53" spans="1:18">
      <c r="A53" s="15" t="s">
        <v>395</v>
      </c>
      <c r="B53" s="17" t="n">
        <v>5571</v>
      </c>
      <c r="C53" s="18">
        <f>(4879.0/B53*100)</f>
        <v/>
      </c>
      <c r="D53" s="19" t="n">
        <v>692</v>
      </c>
      <c r="E53" s="18" t="n">
        <v>62.68726501</v>
      </c>
      <c r="F53" s="20" t="n">
        <v>1.80624722</v>
      </c>
      <c r="G53" s="18" t="n">
        <v>36.20785269</v>
      </c>
      <c r="H53" s="20" t="n">
        <v>1.80478949</v>
      </c>
      <c r="I53" s="18" t="s">
        <v>349</v>
      </c>
      <c r="J53" s="20" t="s">
        <v>349</v>
      </c>
      <c r="K53" s="18" t="n">
        <v>1.1048823</v>
      </c>
      <c r="L53" s="20" t="n">
        <v>0.35172636</v>
      </c>
      <c r="M53" s="18" t="n">
        <v>0</v>
      </c>
      <c r="N53" s="20" t="n">
        <v>0</v>
      </c>
      <c r="O53" s="18" t="n">
        <v>0</v>
      </c>
      <c r="P53" s="20" t="n">
        <v>0</v>
      </c>
      <c r="Q53" s="18" t="n">
        <v>0</v>
      </c>
      <c r="R53" s="20" t="n">
        <v>0</v>
      </c>
    </row>
    <row r="54" spans="1:18">
      <c r="A54" s="15" t="s">
        <v>396</v>
      </c>
      <c r="B54" s="17" t="n">
        <v>4740</v>
      </c>
      <c r="C54" s="18">
        <f>(3970.0/B54*100)</f>
        <v/>
      </c>
      <c r="D54" s="19" t="n">
        <v>770</v>
      </c>
      <c r="E54" s="18" t="n">
        <v>71.2371333</v>
      </c>
      <c r="F54" s="20" t="n">
        <v>2.00450911</v>
      </c>
      <c r="G54" s="18" t="n">
        <v>13.95766552</v>
      </c>
      <c r="H54" s="20" t="n">
        <v>1.43763229</v>
      </c>
      <c r="I54" s="18" t="s">
        <v>349</v>
      </c>
      <c r="J54" s="20" t="s">
        <v>349</v>
      </c>
      <c r="K54" s="18" t="n">
        <v>14.80520118</v>
      </c>
      <c r="L54" s="20" t="n">
        <v>1.48250618</v>
      </c>
      <c r="M54" s="18" t="n">
        <v>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(4701.0/B56*100)</f>
        <v/>
      </c>
      <c r="D56" s="19" t="n">
        <v>658</v>
      </c>
      <c r="E56" s="18" t="n">
        <v>33.04593639</v>
      </c>
      <c r="F56" s="20" t="n">
        <v>2.08363394</v>
      </c>
      <c r="G56" s="18" t="n">
        <v>66.63951853</v>
      </c>
      <c r="H56" s="20" t="n">
        <v>2.08576118</v>
      </c>
      <c r="I56" s="18" t="s">
        <v>349</v>
      </c>
      <c r="J56" s="20" t="s">
        <v>349</v>
      </c>
      <c r="K56" s="18" t="n">
        <v>0.31454509</v>
      </c>
      <c r="L56" s="20" t="n">
        <v>0.19389159</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(5751.0/B61*100)</f>
        <v/>
      </c>
      <c r="D61" s="19" t="n">
        <v>774</v>
      </c>
      <c r="E61" s="18" t="n">
        <v>50.55817836</v>
      </c>
      <c r="F61" s="20" t="n">
        <v>1.96660459</v>
      </c>
      <c r="G61" s="18" t="n">
        <v>47.96690789</v>
      </c>
      <c r="H61" s="20" t="n">
        <v>1.92235712</v>
      </c>
      <c r="I61" s="18" t="s">
        <v>349</v>
      </c>
      <c r="J61" s="20" t="s">
        <v>349</v>
      </c>
      <c r="K61" s="18" t="n">
        <v>1.47491374</v>
      </c>
      <c r="L61" s="20" t="n">
        <v>0.47925391</v>
      </c>
      <c r="M61" s="18" t="n">
        <v>0</v>
      </c>
      <c r="N61" s="20" t="n">
        <v>0</v>
      </c>
      <c r="O61" s="18" t="n">
        <v>0</v>
      </c>
      <c r="P61" s="20" t="n">
        <v>0</v>
      </c>
      <c r="Q61" s="18" t="n">
        <v>0</v>
      </c>
      <c r="R61" s="20" t="n">
        <v>0</v>
      </c>
    </row>
    <row r="62" spans="1:18">
      <c r="A62" s="15" t="s">
        <v>404</v>
      </c>
      <c r="B62" s="17" t="n">
        <v>4476</v>
      </c>
      <c r="C62" s="18">
        <f>(3956.0/B62*100)</f>
        <v/>
      </c>
      <c r="D62" s="19" t="n">
        <v>520</v>
      </c>
      <c r="E62" s="18" t="n">
        <v>43.1114269</v>
      </c>
      <c r="F62" s="20" t="n">
        <v>2.01528132</v>
      </c>
      <c r="G62" s="18" t="n">
        <v>56.8885731</v>
      </c>
      <c r="H62" s="20" t="n">
        <v>2.01528132</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(4979.0/B66*100)</f>
        <v/>
      </c>
      <c r="D66" s="19" t="n">
        <v>686</v>
      </c>
      <c r="E66" s="18" t="n">
        <v>55.66968062</v>
      </c>
      <c r="F66" s="20" t="n">
        <v>1.87461016</v>
      </c>
      <c r="G66" s="18" t="n">
        <v>41.12379887</v>
      </c>
      <c r="H66" s="20" t="n">
        <v>1.71709569</v>
      </c>
      <c r="I66" s="18" t="s">
        <v>349</v>
      </c>
      <c r="J66" s="20" t="s">
        <v>349</v>
      </c>
      <c r="K66" s="18" t="n">
        <v>3.20652051</v>
      </c>
      <c r="L66" s="20" t="n">
        <v>0.65069461</v>
      </c>
      <c r="M66" s="18" t="n">
        <v>0</v>
      </c>
      <c r="N66" s="20" t="n">
        <v>0</v>
      </c>
      <c r="O66" s="18" t="n">
        <v>0</v>
      </c>
      <c r="P66" s="20" t="n">
        <v>0</v>
      </c>
      <c r="Q66" s="18" t="n">
        <v>0</v>
      </c>
      <c r="R66" s="20" t="n">
        <v>0</v>
      </c>
    </row>
    <row r="67" spans="1:18">
      <c r="A67" s="15" t="s">
        <v>409</v>
      </c>
      <c r="B67" s="17" t="n">
        <v>6971</v>
      </c>
      <c r="C67" s="18">
        <f>(6235.0/B67*100)</f>
        <v/>
      </c>
      <c r="D67" s="19" t="n">
        <v>736</v>
      </c>
      <c r="E67" s="18" t="n">
        <v>72.95386917</v>
      </c>
      <c r="F67" s="20" t="n">
        <v>1.67726766</v>
      </c>
      <c r="G67" s="18" t="n">
        <v>24.95403557</v>
      </c>
      <c r="H67" s="20" t="n">
        <v>1.67049938</v>
      </c>
      <c r="I67" s="18" t="s">
        <v>349</v>
      </c>
      <c r="J67" s="20" t="s">
        <v>349</v>
      </c>
      <c r="K67" s="18" t="n">
        <v>2.09209526</v>
      </c>
      <c r="L67" s="20" t="n">
        <v>0.58602812</v>
      </c>
      <c r="M67" s="18" t="n">
        <v>0</v>
      </c>
      <c r="N67" s="20" t="n">
        <v>0</v>
      </c>
      <c r="O67" s="18" t="n">
        <v>0</v>
      </c>
      <c r="P67" s="20" t="n">
        <v>0</v>
      </c>
      <c r="Q67" s="18" t="n">
        <v>0</v>
      </c>
      <c r="R67" s="20" t="n">
        <v>0</v>
      </c>
    </row>
    <row r="68" spans="1:18">
      <c r="A68" s="15" t="s">
        <v>410</v>
      </c>
      <c r="B68" s="17" t="n">
        <v>12083</v>
      </c>
      <c r="C68" s="18">
        <f>(10091.0/B68*100)</f>
        <v/>
      </c>
      <c r="D68" s="19" t="n">
        <v>1992</v>
      </c>
      <c r="E68" s="18" t="n">
        <v>67.37171875</v>
      </c>
      <c r="F68" s="20" t="n">
        <v>0.99905666</v>
      </c>
      <c r="G68" s="18" t="n">
        <v>28.71337371</v>
      </c>
      <c r="H68" s="20" t="n">
        <v>0.9428843099999999</v>
      </c>
      <c r="I68" s="18" t="s">
        <v>349</v>
      </c>
      <c r="J68" s="20" t="s">
        <v>349</v>
      </c>
      <c r="K68" s="18" t="n">
        <v>3.91490755</v>
      </c>
      <c r="L68" s="20" t="n">
        <v>0.38942375</v>
      </c>
      <c r="M68" s="18" t="n">
        <v>0</v>
      </c>
      <c r="N68" s="20" t="n">
        <v>0</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(5344.0/B70*100)</f>
        <v/>
      </c>
      <c r="D70" s="19" t="n">
        <v>692</v>
      </c>
      <c r="E70" s="18" t="n">
        <v>51.61978329</v>
      </c>
      <c r="F70" s="20" t="n">
        <v>2.26528269</v>
      </c>
      <c r="G70" s="18" t="n">
        <v>47.13900153</v>
      </c>
      <c r="H70" s="20" t="n">
        <v>2.30041876</v>
      </c>
      <c r="I70" s="18" t="s">
        <v>349</v>
      </c>
      <c r="J70" s="20" t="s">
        <v>349</v>
      </c>
      <c r="K70" s="18" t="n">
        <v>1.24121518</v>
      </c>
      <c r="L70" s="20" t="n">
        <v>0.49271401</v>
      </c>
      <c r="M70" s="18" t="n">
        <v>0</v>
      </c>
      <c r="N70" s="20" t="n">
        <v>0</v>
      </c>
      <c r="O70" s="18" t="n">
        <v>0</v>
      </c>
      <c r="P70" s="20" t="n">
        <v>0</v>
      </c>
      <c r="Q70" s="18" t="n">
        <v>0</v>
      </c>
      <c r="R70" s="20" t="n">
        <v>0</v>
      </c>
    </row>
    <row r="71" spans="1:18">
      <c r="A71" s="15" t="s">
        <v>413</v>
      </c>
      <c r="B71" s="17" t="n">
        <v>6115</v>
      </c>
      <c r="C71" s="18">
        <f>(5379.0/B71*100)</f>
        <v/>
      </c>
      <c r="D71" s="19" t="n">
        <v>736</v>
      </c>
      <c r="E71" s="18" t="n">
        <v>35.11797491</v>
      </c>
      <c r="F71" s="20" t="n">
        <v>2.02380554</v>
      </c>
      <c r="G71" s="18" t="n">
        <v>63.67001027</v>
      </c>
      <c r="H71" s="20" t="n">
        <v>2.03688354</v>
      </c>
      <c r="I71" s="18" t="s">
        <v>349</v>
      </c>
      <c r="J71" s="20" t="s">
        <v>349</v>
      </c>
      <c r="K71" s="18" t="n">
        <v>1.21201482</v>
      </c>
      <c r="L71" s="20" t="n">
        <v>0.40289716</v>
      </c>
      <c r="M71" s="18" t="n">
        <v>0</v>
      </c>
      <c r="N71" s="20" t="n">
        <v>0</v>
      </c>
      <c r="O71" s="18" t="n">
        <v>0</v>
      </c>
      <c r="P71" s="20" t="n">
        <v>0</v>
      </c>
      <c r="Q71" s="18" t="n">
        <v>0</v>
      </c>
      <c r="R71" s="20" t="n">
        <v>0</v>
      </c>
    </row>
    <row r="72" spans="1:18">
      <c r="A72" s="15" t="s">
        <v>414</v>
      </c>
      <c r="B72" s="17" t="n">
        <v>7708</v>
      </c>
      <c r="C72" s="18">
        <f>(6768.0/B72*100)</f>
        <v/>
      </c>
      <c r="D72" s="19" t="n">
        <v>940</v>
      </c>
      <c r="E72" s="18" t="n">
        <v>40.77348477</v>
      </c>
      <c r="F72" s="20" t="n">
        <v>1.77940002</v>
      </c>
      <c r="G72" s="18" t="n">
        <v>58.70807321</v>
      </c>
      <c r="H72" s="20" t="n">
        <v>1.73844855</v>
      </c>
      <c r="I72" s="18" t="s">
        <v>349</v>
      </c>
      <c r="J72" s="20" t="s">
        <v>349</v>
      </c>
      <c r="K72" s="18" t="n">
        <v>0.5184420199999999</v>
      </c>
      <c r="L72" s="20" t="n">
        <v>0.26109957</v>
      </c>
      <c r="M72" s="18" t="n">
        <v>0</v>
      </c>
      <c r="N72" s="20" t="n">
        <v>0</v>
      </c>
      <c r="O72" s="18" t="n">
        <v>0</v>
      </c>
      <c r="P72" s="20" t="n">
        <v>0</v>
      </c>
      <c r="Q72" s="18" t="n">
        <v>0</v>
      </c>
      <c r="R72" s="20" t="n">
        <v>0</v>
      </c>
    </row>
    <row r="73" spans="1:18">
      <c r="A73" s="15" t="s">
        <v>415</v>
      </c>
      <c r="B73" s="17" t="n">
        <v>8249</v>
      </c>
      <c r="C73" s="18">
        <f>(7270.0/B73*100)</f>
        <v/>
      </c>
      <c r="D73" s="19" t="n">
        <v>979</v>
      </c>
      <c r="E73" s="18" t="n">
        <v>70.16543716</v>
      </c>
      <c r="F73" s="20" t="n">
        <v>1.71782567</v>
      </c>
      <c r="G73" s="18" t="n">
        <v>29.2416853</v>
      </c>
      <c r="H73" s="20" t="n">
        <v>1.72258969</v>
      </c>
      <c r="I73" s="18" t="s">
        <v>349</v>
      </c>
      <c r="J73" s="20" t="s">
        <v>349</v>
      </c>
      <c r="K73" s="18" t="n">
        <v>0.59287755</v>
      </c>
      <c r="L73" s="20" t="n">
        <v>0.25534968</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(4793.0/B75*100)</f>
        <v/>
      </c>
      <c r="D75" s="19" t="n">
        <v>582</v>
      </c>
      <c r="E75" s="18" t="n">
        <v>65.34820463</v>
      </c>
      <c r="F75" s="20" t="n">
        <v>1.96982125</v>
      </c>
      <c r="G75" s="18" t="n">
        <v>30.49534776</v>
      </c>
      <c r="H75" s="20" t="n">
        <v>2.00945772</v>
      </c>
      <c r="I75" s="18" t="s">
        <v>349</v>
      </c>
      <c r="J75" s="20" t="s">
        <v>349</v>
      </c>
      <c r="K75" s="18" t="n">
        <v>4.15644761</v>
      </c>
      <c r="L75" s="20" t="n">
        <v>0.83876997</v>
      </c>
      <c r="M75" s="18" t="n">
        <v>0</v>
      </c>
      <c r="N75" s="20" t="n">
        <v>0</v>
      </c>
      <c r="O75" s="18" t="n">
        <v>0</v>
      </c>
      <c r="P75" s="20" t="n">
        <v>0</v>
      </c>
      <c r="Q75" s="18" t="n">
        <v>0</v>
      </c>
      <c r="R75" s="20" t="n">
        <v>0</v>
      </c>
    </row>
    <row r="76" spans="1:18">
      <c r="A76" s="15" t="s">
        <v>418</v>
      </c>
      <c r="B76" s="17" t="n">
        <v>14167</v>
      </c>
      <c r="C76" s="18">
        <f>(12474.0/B76*100)</f>
        <v/>
      </c>
      <c r="D76" s="19" t="n">
        <v>1693</v>
      </c>
      <c r="E76" s="18" t="n">
        <v>65.56561360000001</v>
      </c>
      <c r="F76" s="20" t="n">
        <v>1.46920781</v>
      </c>
      <c r="G76" s="18" t="n">
        <v>32.00107903</v>
      </c>
      <c r="H76" s="20" t="n">
        <v>1.47502853</v>
      </c>
      <c r="I76" s="18" t="s">
        <v>349</v>
      </c>
      <c r="J76" s="20" t="s">
        <v>349</v>
      </c>
      <c r="K76" s="18" t="n">
        <v>2.43330737</v>
      </c>
      <c r="L76" s="20" t="n">
        <v>0.45056421</v>
      </c>
      <c r="M76" s="18" t="n">
        <v>0</v>
      </c>
      <c r="N76" s="20" t="n">
        <v>0</v>
      </c>
      <c r="O76" s="18" t="n">
        <v>0</v>
      </c>
      <c r="P76" s="20" t="n">
        <v>0</v>
      </c>
      <c r="Q76" s="18" t="n">
        <v>0</v>
      </c>
      <c r="R76" s="20" t="n">
        <v>0</v>
      </c>
    </row>
    <row r="77" spans="1:18">
      <c r="A77" s="15" t="s">
        <v>419</v>
      </c>
      <c r="B77" s="17" t="n">
        <v>6062</v>
      </c>
      <c r="C77" s="18">
        <f>(5351.0/B77*100)</f>
        <v/>
      </c>
      <c r="D77" s="19" t="n">
        <v>711</v>
      </c>
      <c r="E77" s="18" t="n">
        <v>61.76247394</v>
      </c>
      <c r="F77" s="20" t="n">
        <v>2.10887797</v>
      </c>
      <c r="G77" s="18" t="n">
        <v>34.76302084</v>
      </c>
      <c r="H77" s="20" t="n">
        <v>1.97174473</v>
      </c>
      <c r="I77" s="18" t="s">
        <v>349</v>
      </c>
      <c r="J77" s="20" t="s">
        <v>349</v>
      </c>
      <c r="K77" s="18" t="n">
        <v>3.47450522</v>
      </c>
      <c r="L77" s="20" t="n">
        <v>0.73368101</v>
      </c>
      <c r="M77" s="18" t="n">
        <v>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(7789.0/B81*100)</f>
        <v/>
      </c>
      <c r="D81" s="19" t="n">
        <v>1072</v>
      </c>
      <c r="E81" s="18" t="n">
        <v>70.21132502</v>
      </c>
      <c r="F81" s="20" t="n">
        <v>1.90099194</v>
      </c>
      <c r="G81" s="18" t="n">
        <v>29.19005874</v>
      </c>
      <c r="H81" s="20" t="n">
        <v>1.82572247</v>
      </c>
      <c r="I81" s="18" t="s">
        <v>349</v>
      </c>
      <c r="J81" s="20" t="s">
        <v>349</v>
      </c>
      <c r="K81" s="18" t="n">
        <v>0.59861624</v>
      </c>
      <c r="L81" s="20" t="n">
        <v>0.43040061</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(12737.0/B7*100)</f>
        <v/>
      </c>
      <c r="D7" s="19" t="n">
        <v>1793</v>
      </c>
      <c r="E7" s="18" t="n">
        <v>32.44894439</v>
      </c>
      <c r="F7" s="20" t="n">
        <v>1.20698058</v>
      </c>
      <c r="G7" s="18" t="n">
        <v>66.14733209000001</v>
      </c>
      <c r="H7" s="20" t="n">
        <v>1.24468529</v>
      </c>
      <c r="I7" s="18" t="s">
        <v>349</v>
      </c>
      <c r="J7" s="20" t="s">
        <v>349</v>
      </c>
      <c r="K7" s="18" t="n">
        <v>0.38056355</v>
      </c>
      <c r="L7" s="20" t="n">
        <v>0.16978075</v>
      </c>
      <c r="M7" s="18" t="n">
        <v>0</v>
      </c>
      <c r="N7" s="20" t="n">
        <v>0</v>
      </c>
      <c r="O7" s="18" t="n">
        <v>0</v>
      </c>
      <c r="P7" s="20" t="n">
        <v>0</v>
      </c>
      <c r="Q7" s="18" t="n">
        <v>1.02315996</v>
      </c>
      <c r="R7" s="20" t="n">
        <v>0.24528885</v>
      </c>
    </row>
    <row r="8" spans="1:18">
      <c r="A8" s="15" t="s">
        <v>350</v>
      </c>
      <c r="B8" s="17" t="n">
        <v>7007</v>
      </c>
      <c r="C8" s="18">
        <f>(6156.0/B8*100)</f>
        <v/>
      </c>
      <c r="D8" s="19" t="n">
        <v>851</v>
      </c>
      <c r="E8" s="18" t="n">
        <v>26.99225589</v>
      </c>
      <c r="F8" s="20" t="n">
        <v>1.57148757</v>
      </c>
      <c r="G8" s="18" t="n">
        <v>71.66553334</v>
      </c>
      <c r="H8" s="20" t="n">
        <v>1.62514015</v>
      </c>
      <c r="I8" s="18" t="s">
        <v>349</v>
      </c>
      <c r="J8" s="20" t="s">
        <v>349</v>
      </c>
      <c r="K8" s="18" t="n">
        <v>0</v>
      </c>
      <c r="L8" s="20" t="n">
        <v>0</v>
      </c>
      <c r="M8" s="18" t="n">
        <v>0</v>
      </c>
      <c r="N8" s="20" t="n">
        <v>0</v>
      </c>
      <c r="O8" s="18" t="n">
        <v>0</v>
      </c>
      <c r="P8" s="20" t="n">
        <v>0</v>
      </c>
      <c r="Q8" s="18" t="n">
        <v>1.34221078</v>
      </c>
      <c r="R8" s="20" t="n">
        <v>0.44190009</v>
      </c>
    </row>
    <row r="9" spans="1:18">
      <c r="A9" s="15" t="s">
        <v>351</v>
      </c>
      <c r="B9" s="17" t="n">
        <v>9651</v>
      </c>
      <c r="C9" s="18">
        <f>(8505.0/B9*100)</f>
        <v/>
      </c>
      <c r="D9" s="19" t="n">
        <v>1146</v>
      </c>
      <c r="E9" s="18" t="n">
        <v>26.31619802</v>
      </c>
      <c r="F9" s="20" t="n">
        <v>1.44456519</v>
      </c>
      <c r="G9" s="18" t="n">
        <v>73.06888893999999</v>
      </c>
      <c r="H9" s="20" t="n">
        <v>1.44703767</v>
      </c>
      <c r="I9" s="18" t="s">
        <v>349</v>
      </c>
      <c r="J9" s="20" t="s">
        <v>349</v>
      </c>
      <c r="K9" s="18" t="n">
        <v>0.12130257</v>
      </c>
      <c r="L9" s="20" t="n">
        <v>0.1208413</v>
      </c>
      <c r="M9" s="18" t="n">
        <v>0</v>
      </c>
      <c r="N9" s="20" t="n">
        <v>0</v>
      </c>
      <c r="O9" s="18" t="n">
        <v>0</v>
      </c>
      <c r="P9" s="20" t="n">
        <v>0</v>
      </c>
      <c r="Q9" s="18" t="n">
        <v>0.49361047</v>
      </c>
      <c r="R9" s="20" t="n">
        <v>0.23846042</v>
      </c>
    </row>
    <row r="10" spans="1:18">
      <c r="A10" s="15" t="s">
        <v>352</v>
      </c>
      <c r="B10" s="17" t="n">
        <v>20058</v>
      </c>
      <c r="C10" s="18">
        <f>(17596.0/B10*100)</f>
        <v/>
      </c>
      <c r="D10" s="19" t="n">
        <v>2462</v>
      </c>
      <c r="E10" s="18" t="n">
        <v>32.55596581</v>
      </c>
      <c r="F10" s="20" t="n">
        <v>1.19953452</v>
      </c>
      <c r="G10" s="18" t="n">
        <v>66.83888038000001</v>
      </c>
      <c r="H10" s="20" t="n">
        <v>1.25642595</v>
      </c>
      <c r="I10" s="18" t="s">
        <v>349</v>
      </c>
      <c r="J10" s="20" t="s">
        <v>349</v>
      </c>
      <c r="K10" s="18" t="n">
        <v>0.06816949999999999</v>
      </c>
      <c r="L10" s="20" t="n">
        <v>0.03629512</v>
      </c>
      <c r="M10" s="18" t="n">
        <v>0</v>
      </c>
      <c r="N10" s="20" t="n">
        <v>0</v>
      </c>
      <c r="O10" s="18" t="n">
        <v>0</v>
      </c>
      <c r="P10" s="20" t="n">
        <v>0</v>
      </c>
      <c r="Q10" s="18" t="n">
        <v>0.5369843</v>
      </c>
      <c r="R10" s="20" t="n">
        <v>0.23892096</v>
      </c>
    </row>
    <row r="11" spans="1:18">
      <c r="A11" s="15" t="s">
        <v>353</v>
      </c>
      <c r="B11" s="17" t="n">
        <v>7053</v>
      </c>
      <c r="C11" s="18">
        <f>(6205.0/B11*100)</f>
        <v/>
      </c>
      <c r="D11" s="19" t="n">
        <v>848</v>
      </c>
      <c r="E11" s="18" t="n">
        <v>52.61534954</v>
      </c>
      <c r="F11" s="20" t="n">
        <v>1.80785067</v>
      </c>
      <c r="G11" s="18" t="n">
        <v>45.42043479</v>
      </c>
      <c r="H11" s="20" t="n">
        <v>1.84787197</v>
      </c>
      <c r="I11" s="18" t="s">
        <v>349</v>
      </c>
      <c r="J11" s="20" t="s">
        <v>349</v>
      </c>
      <c r="K11" s="18" t="n">
        <v>0.312275</v>
      </c>
      <c r="L11" s="20" t="n">
        <v>0.21517866</v>
      </c>
      <c r="M11" s="18" t="n">
        <v>0</v>
      </c>
      <c r="N11" s="20" t="n">
        <v>0</v>
      </c>
      <c r="O11" s="18" t="n">
        <v>0</v>
      </c>
      <c r="P11" s="20" t="n">
        <v>0</v>
      </c>
      <c r="Q11" s="18" t="n">
        <v>1.65194068</v>
      </c>
      <c r="R11" s="20" t="n">
        <v>0.46326188</v>
      </c>
    </row>
    <row r="12" spans="1:18">
      <c r="A12" s="15" t="s">
        <v>354</v>
      </c>
      <c r="B12" s="17" t="n">
        <v>6894</v>
      </c>
      <c r="C12" s="18">
        <f>(6027.0/B12*100)</f>
        <v/>
      </c>
      <c r="D12" s="19" t="n">
        <v>867</v>
      </c>
      <c r="E12" s="18" t="n">
        <v>29.91040313</v>
      </c>
      <c r="F12" s="20" t="n">
        <v>1.70981731</v>
      </c>
      <c r="G12" s="18" t="n">
        <v>68.72884556</v>
      </c>
      <c r="H12" s="20" t="n">
        <v>1.70695527</v>
      </c>
      <c r="I12" s="18" t="s">
        <v>349</v>
      </c>
      <c r="J12" s="20" t="s">
        <v>349</v>
      </c>
      <c r="K12" s="18" t="n">
        <v>0</v>
      </c>
      <c r="L12" s="20" t="n">
        <v>0</v>
      </c>
      <c r="M12" s="18" t="n">
        <v>0</v>
      </c>
      <c r="N12" s="20" t="n">
        <v>0</v>
      </c>
      <c r="O12" s="18" t="n">
        <v>0</v>
      </c>
      <c r="P12" s="20" t="n">
        <v>0</v>
      </c>
      <c r="Q12" s="18" t="n">
        <v>1.36075131</v>
      </c>
      <c r="R12" s="20" t="n">
        <v>0.40415242</v>
      </c>
    </row>
    <row r="13" spans="1:18">
      <c r="A13" s="15" t="s">
        <v>355</v>
      </c>
      <c r="B13" s="17" t="n">
        <v>7161</v>
      </c>
      <c r="C13" s="18">
        <f>(6291.0/B13*100)</f>
        <v/>
      </c>
      <c r="D13" s="19" t="n">
        <v>870</v>
      </c>
      <c r="E13" s="18" t="n">
        <v>30.59505836</v>
      </c>
      <c r="F13" s="20" t="n">
        <v>2.08593491</v>
      </c>
      <c r="G13" s="18" t="n">
        <v>67.87063616</v>
      </c>
      <c r="H13" s="20" t="n">
        <v>2.15870975</v>
      </c>
      <c r="I13" s="18" t="s">
        <v>349</v>
      </c>
      <c r="J13" s="20" t="s">
        <v>349</v>
      </c>
      <c r="K13" s="18" t="n">
        <v>0.55200887</v>
      </c>
      <c r="L13" s="20" t="n">
        <v>0.36857424</v>
      </c>
      <c r="M13" s="18" t="n">
        <v>0</v>
      </c>
      <c r="N13" s="20" t="n">
        <v>0</v>
      </c>
      <c r="O13" s="18" t="n">
        <v>0</v>
      </c>
      <c r="P13" s="20" t="n">
        <v>0</v>
      </c>
      <c r="Q13" s="18" t="n">
        <v>0.98229661</v>
      </c>
      <c r="R13" s="20" t="n">
        <v>0.43582894</v>
      </c>
    </row>
    <row r="14" spans="1:18">
      <c r="A14" s="15" t="s">
        <v>356</v>
      </c>
      <c r="B14" s="17" t="n">
        <v>5587</v>
      </c>
      <c r="C14" s="18">
        <f>(4898.0/B14*100)</f>
        <v/>
      </c>
      <c r="D14" s="19" t="n">
        <v>689</v>
      </c>
      <c r="E14" s="18" t="n">
        <v>29.66921768</v>
      </c>
      <c r="F14" s="20" t="n">
        <v>1.8523348</v>
      </c>
      <c r="G14" s="18" t="n">
        <v>69.19839127</v>
      </c>
      <c r="H14" s="20" t="n">
        <v>1.91839711</v>
      </c>
      <c r="I14" s="18" t="s">
        <v>349</v>
      </c>
      <c r="J14" s="20" t="s">
        <v>349</v>
      </c>
      <c r="K14" s="18" t="n">
        <v>0</v>
      </c>
      <c r="L14" s="20" t="n">
        <v>0</v>
      </c>
      <c r="M14" s="18" t="n">
        <v>0</v>
      </c>
      <c r="N14" s="20" t="n">
        <v>0</v>
      </c>
      <c r="O14" s="18" t="n">
        <v>0</v>
      </c>
      <c r="P14" s="20" t="n">
        <v>0</v>
      </c>
      <c r="Q14" s="18" t="n">
        <v>1.13239105</v>
      </c>
      <c r="R14" s="20" t="n">
        <v>0.51439616</v>
      </c>
    </row>
    <row r="15" spans="1:18">
      <c r="A15" s="15" t="s">
        <v>357</v>
      </c>
      <c r="B15" s="17" t="n">
        <v>5882</v>
      </c>
      <c r="C15" s="18">
        <f>(5161.0/B15*100)</f>
        <v/>
      </c>
      <c r="D15" s="19" t="n">
        <v>721</v>
      </c>
      <c r="E15" s="18" t="n">
        <v>24.41356971</v>
      </c>
      <c r="F15" s="20" t="n">
        <v>1.6810332</v>
      </c>
      <c r="G15" s="18" t="n">
        <v>74.16924342999999</v>
      </c>
      <c r="H15" s="20" t="n">
        <v>1.71406859</v>
      </c>
      <c r="I15" s="18" t="s">
        <v>349</v>
      </c>
      <c r="J15" s="20" t="s">
        <v>349</v>
      </c>
      <c r="K15" s="18" t="n">
        <v>0</v>
      </c>
      <c r="L15" s="20" t="n">
        <v>0</v>
      </c>
      <c r="M15" s="18" t="n">
        <v>0</v>
      </c>
      <c r="N15" s="20" t="n">
        <v>0</v>
      </c>
      <c r="O15" s="18" t="n">
        <v>0</v>
      </c>
      <c r="P15" s="20" t="n">
        <v>0</v>
      </c>
      <c r="Q15" s="18" t="n">
        <v>1.41718686</v>
      </c>
      <c r="R15" s="20" t="n">
        <v>0.63151068</v>
      </c>
    </row>
    <row r="16" spans="1:18">
      <c r="A16" s="15" t="s">
        <v>358</v>
      </c>
      <c r="B16" s="17" t="n">
        <v>6108</v>
      </c>
      <c r="C16" s="18">
        <f>(5379.0/B16*100)</f>
        <v/>
      </c>
      <c r="D16" s="19" t="n">
        <v>729</v>
      </c>
      <c r="E16" s="18" t="n">
        <v>34.05981774</v>
      </c>
      <c r="F16" s="20" t="n">
        <v>1.58149601</v>
      </c>
      <c r="G16" s="18" t="n">
        <v>63.56697072</v>
      </c>
      <c r="H16" s="20" t="n">
        <v>1.67346138</v>
      </c>
      <c r="I16" s="18" t="s">
        <v>349</v>
      </c>
      <c r="J16" s="20" t="s">
        <v>349</v>
      </c>
      <c r="K16" s="18" t="n">
        <v>0.14673779</v>
      </c>
      <c r="L16" s="20" t="n">
        <v>0.10987868</v>
      </c>
      <c r="M16" s="18" t="n">
        <v>0</v>
      </c>
      <c r="N16" s="20" t="n">
        <v>0</v>
      </c>
      <c r="O16" s="18" t="n">
        <v>0</v>
      </c>
      <c r="P16" s="20" t="n">
        <v>0</v>
      </c>
      <c r="Q16" s="18" t="n">
        <v>2.22647375</v>
      </c>
      <c r="R16" s="20" t="n">
        <v>0.60846202</v>
      </c>
    </row>
    <row r="17" spans="1:18">
      <c r="A17" s="15" t="s">
        <v>359</v>
      </c>
      <c r="B17" s="17" t="n">
        <v>6504</v>
      </c>
      <c r="C17" s="18">
        <f>(5708.0/B17*100)</f>
        <v/>
      </c>
      <c r="D17" s="19" t="n">
        <v>796</v>
      </c>
      <c r="E17" s="18" t="n">
        <v>27.43431084</v>
      </c>
      <c r="F17" s="20" t="n">
        <v>1.74807769</v>
      </c>
      <c r="G17" s="18" t="n">
        <v>70.93394768</v>
      </c>
      <c r="H17" s="20" t="n">
        <v>1.85187712</v>
      </c>
      <c r="I17" s="18" t="s">
        <v>349</v>
      </c>
      <c r="J17" s="20" t="s">
        <v>349</v>
      </c>
      <c r="K17" s="18" t="n">
        <v>0.09162975</v>
      </c>
      <c r="L17" s="20" t="n">
        <v>0.09533055999999999</v>
      </c>
      <c r="M17" s="18" t="n">
        <v>0</v>
      </c>
      <c r="N17" s="20" t="n">
        <v>0</v>
      </c>
      <c r="O17" s="18" t="n">
        <v>0</v>
      </c>
      <c r="P17" s="20" t="n">
        <v>0</v>
      </c>
      <c r="Q17" s="18" t="n">
        <v>1.54011173</v>
      </c>
      <c r="R17" s="20" t="n">
        <v>0.45966959</v>
      </c>
    </row>
    <row r="18" spans="1:18">
      <c r="A18" s="15" t="s">
        <v>360</v>
      </c>
      <c r="B18" s="17" t="n">
        <v>5532</v>
      </c>
      <c r="C18" s="18">
        <f>(4849.0/B18*100)</f>
        <v/>
      </c>
      <c r="D18" s="19" t="n">
        <v>683</v>
      </c>
      <c r="E18" s="18" t="n">
        <v>51.85831616</v>
      </c>
      <c r="F18" s="20" t="n">
        <v>2.3782839</v>
      </c>
      <c r="G18" s="18" t="n">
        <v>46.40416241</v>
      </c>
      <c r="H18" s="20" t="n">
        <v>2.37311141</v>
      </c>
      <c r="I18" s="18" t="s">
        <v>349</v>
      </c>
      <c r="J18" s="20" t="s">
        <v>349</v>
      </c>
      <c r="K18" s="18" t="n">
        <v>0</v>
      </c>
      <c r="L18" s="20" t="n">
        <v>0</v>
      </c>
      <c r="M18" s="18" t="n">
        <v>0</v>
      </c>
      <c r="N18" s="20" t="n">
        <v>0</v>
      </c>
      <c r="O18" s="18" t="n">
        <v>0</v>
      </c>
      <c r="P18" s="20" t="n">
        <v>0</v>
      </c>
      <c r="Q18" s="18" t="n">
        <v>1.73752143</v>
      </c>
      <c r="R18" s="20" t="n">
        <v>0.45093152</v>
      </c>
    </row>
    <row r="19" spans="1:18">
      <c r="A19" s="15" t="s">
        <v>361</v>
      </c>
      <c r="B19" s="17" t="n">
        <v>5658</v>
      </c>
      <c r="C19" s="18">
        <f>(4948.0/B19*100)</f>
        <v/>
      </c>
      <c r="D19" s="19" t="n">
        <v>710</v>
      </c>
      <c r="E19" s="18" t="n">
        <v>34.48047465</v>
      </c>
      <c r="F19" s="20" t="n">
        <v>1.81071169</v>
      </c>
      <c r="G19" s="18" t="n">
        <v>63.49228426</v>
      </c>
      <c r="H19" s="20" t="n">
        <v>1.87091544</v>
      </c>
      <c r="I19" s="18" t="s">
        <v>349</v>
      </c>
      <c r="J19" s="20" t="s">
        <v>349</v>
      </c>
      <c r="K19" s="18" t="n">
        <v>0.14568953</v>
      </c>
      <c r="L19" s="20" t="n">
        <v>0.1453913</v>
      </c>
      <c r="M19" s="18" t="n">
        <v>0</v>
      </c>
      <c r="N19" s="20" t="n">
        <v>0</v>
      </c>
      <c r="O19" s="18" t="n">
        <v>0</v>
      </c>
      <c r="P19" s="20" t="n">
        <v>0</v>
      </c>
      <c r="Q19" s="18" t="n">
        <v>1.88155155</v>
      </c>
      <c r="R19" s="20" t="n">
        <v>0.63444583</v>
      </c>
    </row>
    <row r="20" spans="1:18">
      <c r="A20" s="15" t="s">
        <v>362</v>
      </c>
      <c r="B20" s="17" t="n">
        <v>3371</v>
      </c>
      <c r="C20" s="18">
        <f>(2964.0/B20*100)</f>
        <v/>
      </c>
      <c r="D20" s="19" t="n">
        <v>407</v>
      </c>
      <c r="E20" s="18" t="n">
        <v>30.92777467</v>
      </c>
      <c r="F20" s="20" t="n">
        <v>2.36639872</v>
      </c>
      <c r="G20" s="18" t="n">
        <v>66.19057074</v>
      </c>
      <c r="H20" s="20" t="n">
        <v>2.39774298</v>
      </c>
      <c r="I20" s="18" t="s">
        <v>349</v>
      </c>
      <c r="J20" s="20" t="s">
        <v>349</v>
      </c>
      <c r="K20" s="18" t="n">
        <v>0.20857493</v>
      </c>
      <c r="L20" s="20" t="n">
        <v>0.20854663</v>
      </c>
      <c r="M20" s="18" t="n">
        <v>0</v>
      </c>
      <c r="N20" s="20" t="n">
        <v>0</v>
      </c>
      <c r="O20" s="18" t="n">
        <v>0</v>
      </c>
      <c r="P20" s="20" t="n">
        <v>0</v>
      </c>
      <c r="Q20" s="18" t="n">
        <v>2.67307965</v>
      </c>
      <c r="R20" s="20" t="n">
        <v>0.81155428</v>
      </c>
    </row>
    <row r="21" spans="1:18">
      <c r="A21" s="15" t="s">
        <v>363</v>
      </c>
      <c r="B21" s="17" t="n">
        <v>5741</v>
      </c>
      <c r="C21" s="18">
        <f>(4771.0/B21*100)</f>
        <v/>
      </c>
      <c r="D21" s="19" t="n">
        <v>970</v>
      </c>
      <c r="E21" s="18" t="n">
        <v>41.75763511</v>
      </c>
      <c r="F21" s="20" t="n">
        <v>1.75698847</v>
      </c>
      <c r="G21" s="18" t="n">
        <v>57.00191029</v>
      </c>
      <c r="H21" s="20" t="n">
        <v>1.8220182</v>
      </c>
      <c r="I21" s="18" t="s">
        <v>349</v>
      </c>
      <c r="J21" s="20" t="s">
        <v>349</v>
      </c>
      <c r="K21" s="18" t="n">
        <v>0.09823398999999999</v>
      </c>
      <c r="L21" s="20" t="n">
        <v>0.098131</v>
      </c>
      <c r="M21" s="18" t="n">
        <v>0</v>
      </c>
      <c r="N21" s="20" t="n">
        <v>0</v>
      </c>
      <c r="O21" s="18" t="n">
        <v>0</v>
      </c>
      <c r="P21" s="20" t="n">
        <v>0</v>
      </c>
      <c r="Q21" s="18" t="n">
        <v>1.14222061</v>
      </c>
      <c r="R21" s="20" t="n">
        <v>0.36512154</v>
      </c>
    </row>
    <row r="22" spans="1:18">
      <c r="A22" s="15" t="s">
        <v>364</v>
      </c>
      <c r="B22" s="17" t="n">
        <v>6598</v>
      </c>
      <c r="C22" s="18">
        <f>(5770.0/B22*100)</f>
        <v/>
      </c>
      <c r="D22" s="19" t="n">
        <v>828</v>
      </c>
      <c r="E22" s="18" t="n">
        <v>41.41853376</v>
      </c>
      <c r="F22" s="20" t="n">
        <v>1.93631654</v>
      </c>
      <c r="G22" s="18" t="n">
        <v>56.16860308</v>
      </c>
      <c r="H22" s="20" t="n">
        <v>1.9860448</v>
      </c>
      <c r="I22" s="18" t="s">
        <v>349</v>
      </c>
      <c r="J22" s="20" t="s">
        <v>349</v>
      </c>
      <c r="K22" s="18" t="n">
        <v>0.43785883</v>
      </c>
      <c r="L22" s="20" t="n">
        <v>0.28919475</v>
      </c>
      <c r="M22" s="18" t="n">
        <v>0</v>
      </c>
      <c r="N22" s="20" t="n">
        <v>0</v>
      </c>
      <c r="O22" s="18" t="n">
        <v>0</v>
      </c>
      <c r="P22" s="20" t="n">
        <v>0</v>
      </c>
      <c r="Q22" s="18" t="n">
        <v>1.97500433</v>
      </c>
      <c r="R22" s="20" t="n">
        <v>0.5659733300000001</v>
      </c>
    </row>
    <row r="23" spans="1:18">
      <c r="A23" s="15" t="s">
        <v>365</v>
      </c>
      <c r="B23" s="17" t="n">
        <v>11583</v>
      </c>
      <c r="C23" s="18">
        <f>(10154.0/B23*100)</f>
        <v/>
      </c>
      <c r="D23" s="19" t="n">
        <v>1429</v>
      </c>
      <c r="E23" s="18" t="n">
        <v>34.43021841</v>
      </c>
      <c r="F23" s="20" t="n">
        <v>1.81033881</v>
      </c>
      <c r="G23" s="18" t="n">
        <v>63.83125233</v>
      </c>
      <c r="H23" s="20" t="n">
        <v>1.74359617</v>
      </c>
      <c r="I23" s="18" t="s">
        <v>349</v>
      </c>
      <c r="J23" s="20" t="s">
        <v>349</v>
      </c>
      <c r="K23" s="18" t="n">
        <v>0.08320698999999999</v>
      </c>
      <c r="L23" s="20" t="n">
        <v>0.08002761</v>
      </c>
      <c r="M23" s="18" t="n">
        <v>0</v>
      </c>
      <c r="N23" s="20" t="n">
        <v>0</v>
      </c>
      <c r="O23" s="18" t="n">
        <v>0</v>
      </c>
      <c r="P23" s="20" t="n">
        <v>0</v>
      </c>
      <c r="Q23" s="18" t="n">
        <v>1.65532227</v>
      </c>
      <c r="R23" s="20" t="n">
        <v>0.47206054</v>
      </c>
    </row>
    <row r="24" spans="1:18">
      <c r="A24" s="15" t="s">
        <v>366</v>
      </c>
      <c r="B24" s="17" t="n">
        <v>6647</v>
      </c>
      <c r="C24" s="18">
        <f>(5824.0/B24*100)</f>
        <v/>
      </c>
      <c r="D24" s="19" t="n">
        <v>823</v>
      </c>
      <c r="E24" s="18" t="n">
        <v>17.95547899</v>
      </c>
      <c r="F24" s="20" t="n">
        <v>1.39365743</v>
      </c>
      <c r="G24" s="18" t="n">
        <v>81.47331757000001</v>
      </c>
      <c r="H24" s="20" t="n">
        <v>1.41134713</v>
      </c>
      <c r="I24" s="18" t="s">
        <v>349</v>
      </c>
      <c r="J24" s="20" t="s">
        <v>349</v>
      </c>
      <c r="K24" s="18" t="n">
        <v>0.08640636</v>
      </c>
      <c r="L24" s="20" t="n">
        <v>0.08656612</v>
      </c>
      <c r="M24" s="18" t="n">
        <v>0</v>
      </c>
      <c r="N24" s="20" t="n">
        <v>0</v>
      </c>
      <c r="O24" s="18" t="n">
        <v>0</v>
      </c>
      <c r="P24" s="20" t="n">
        <v>0</v>
      </c>
      <c r="Q24" s="18" t="n">
        <v>0.48479707</v>
      </c>
      <c r="R24" s="20" t="n">
        <v>0.24344317</v>
      </c>
    </row>
    <row r="25" spans="1:18">
      <c r="A25" s="15" t="s">
        <v>367</v>
      </c>
      <c r="B25" s="17" t="n">
        <v>5581</v>
      </c>
      <c r="C25" s="18">
        <f>(4904.0/B25*100)</f>
        <v/>
      </c>
      <c r="D25" s="19" t="n">
        <v>677</v>
      </c>
      <c r="E25" s="18" t="n">
        <v>16.72639216</v>
      </c>
      <c r="F25" s="20" t="n">
        <v>1.55219744</v>
      </c>
      <c r="G25" s="18" t="n">
        <v>82.64281072999999</v>
      </c>
      <c r="H25" s="20" t="n">
        <v>1.54306547</v>
      </c>
      <c r="I25" s="18" t="s">
        <v>349</v>
      </c>
      <c r="J25" s="20" t="s">
        <v>349</v>
      </c>
      <c r="K25" s="18" t="n">
        <v>0</v>
      </c>
      <c r="L25" s="20" t="n">
        <v>0</v>
      </c>
      <c r="M25" s="18" t="n">
        <v>0</v>
      </c>
      <c r="N25" s="20" t="n">
        <v>0</v>
      </c>
      <c r="O25" s="18" t="n">
        <v>0</v>
      </c>
      <c r="P25" s="20" t="n">
        <v>0</v>
      </c>
      <c r="Q25" s="18" t="n">
        <v>0.63079711</v>
      </c>
      <c r="R25" s="20" t="n">
        <v>0.31300507</v>
      </c>
    </row>
    <row r="26" spans="1:18">
      <c r="A26" s="15" t="s">
        <v>368</v>
      </c>
      <c r="B26" s="17" t="n">
        <v>4869</v>
      </c>
      <c r="C26" s="18">
        <f>(4259.0/B26*100)</f>
        <v/>
      </c>
      <c r="D26" s="19" t="n">
        <v>610</v>
      </c>
      <c r="E26" s="18" t="n">
        <v>35.74662944</v>
      </c>
      <c r="F26" s="20" t="n">
        <v>1.92338743</v>
      </c>
      <c r="G26" s="18" t="n">
        <v>63.55807536</v>
      </c>
      <c r="H26" s="20" t="n">
        <v>1.96180726</v>
      </c>
      <c r="I26" s="18" t="s">
        <v>349</v>
      </c>
      <c r="J26" s="20" t="s">
        <v>349</v>
      </c>
      <c r="K26" s="18" t="n">
        <v>0</v>
      </c>
      <c r="L26" s="20" t="n">
        <v>0</v>
      </c>
      <c r="M26" s="18" t="n">
        <v>0</v>
      </c>
      <c r="N26" s="20" t="n">
        <v>0</v>
      </c>
      <c r="O26" s="18" t="n">
        <v>0</v>
      </c>
      <c r="P26" s="20" t="n">
        <v>0</v>
      </c>
      <c r="Q26" s="18" t="n">
        <v>0.6952952</v>
      </c>
      <c r="R26" s="20" t="n">
        <v>0.29894205</v>
      </c>
    </row>
    <row r="27" spans="1:18">
      <c r="A27" s="15" t="s">
        <v>369</v>
      </c>
      <c r="B27" s="17" t="n">
        <v>5299</v>
      </c>
      <c r="C27" s="18">
        <f>(4658.0/B27*100)</f>
        <v/>
      </c>
      <c r="D27" s="19" t="n">
        <v>641</v>
      </c>
      <c r="E27" s="18" t="n">
        <v>35.28054916</v>
      </c>
      <c r="F27" s="20" t="n">
        <v>1.7201276</v>
      </c>
      <c r="G27" s="18" t="n">
        <v>62.99989182</v>
      </c>
      <c r="H27" s="20" t="n">
        <v>1.58814857</v>
      </c>
      <c r="I27" s="18" t="s">
        <v>349</v>
      </c>
      <c r="J27" s="20" t="s">
        <v>349</v>
      </c>
      <c r="K27" s="18" t="n">
        <v>0.15488866</v>
      </c>
      <c r="L27" s="20" t="n">
        <v>0.15427087</v>
      </c>
      <c r="M27" s="18" t="n">
        <v>0</v>
      </c>
      <c r="N27" s="20" t="n">
        <v>0</v>
      </c>
      <c r="O27" s="18" t="n">
        <v>0</v>
      </c>
      <c r="P27" s="20" t="n">
        <v>0</v>
      </c>
      <c r="Q27" s="18" t="n">
        <v>1.56467037</v>
      </c>
      <c r="R27" s="20" t="n">
        <v>0.42342787</v>
      </c>
    </row>
    <row r="28" spans="1:18">
      <c r="A28" s="15" t="s">
        <v>370</v>
      </c>
      <c r="B28" s="17" t="n">
        <v>7568</v>
      </c>
      <c r="C28" s="18">
        <f>(6630.0/B28*100)</f>
        <v/>
      </c>
      <c r="D28" s="19" t="n">
        <v>938</v>
      </c>
      <c r="E28" s="18" t="n">
        <v>55.91676721</v>
      </c>
      <c r="F28" s="20" t="n">
        <v>1.63043034</v>
      </c>
      <c r="G28" s="18" t="n">
        <v>40.16783857</v>
      </c>
      <c r="H28" s="20" t="n">
        <v>1.66589111</v>
      </c>
      <c r="I28" s="18" t="s">
        <v>349</v>
      </c>
      <c r="J28" s="20" t="s">
        <v>349</v>
      </c>
      <c r="K28" s="18" t="n">
        <v>0.30356884</v>
      </c>
      <c r="L28" s="20" t="n">
        <v>0.21788018</v>
      </c>
      <c r="M28" s="18" t="n">
        <v>0</v>
      </c>
      <c r="N28" s="20" t="n">
        <v>0</v>
      </c>
      <c r="O28" s="18" t="n">
        <v>0</v>
      </c>
      <c r="P28" s="20" t="n">
        <v>0</v>
      </c>
      <c r="Q28" s="18" t="n">
        <v>3.61182538</v>
      </c>
      <c r="R28" s="20" t="n">
        <v>0.7305591</v>
      </c>
    </row>
    <row r="29" spans="1:18">
      <c r="A29" s="15" t="s">
        <v>371</v>
      </c>
      <c r="B29" s="17" t="n">
        <v>5385</v>
      </c>
      <c r="C29" s="18">
        <f>(4735.0/B29*100)</f>
        <v/>
      </c>
      <c r="D29" s="19" t="n">
        <v>650</v>
      </c>
      <c r="E29" s="18" t="n">
        <v>23.78802332</v>
      </c>
      <c r="F29" s="20" t="n">
        <v>1.37872144</v>
      </c>
      <c r="G29" s="18" t="n">
        <v>75.67386773</v>
      </c>
      <c r="H29" s="20" t="n">
        <v>1.41194904</v>
      </c>
      <c r="I29" s="18" t="s">
        <v>349</v>
      </c>
      <c r="J29" s="20" t="s">
        <v>349</v>
      </c>
      <c r="K29" s="18" t="n">
        <v>0.19972311</v>
      </c>
      <c r="L29" s="20" t="n">
        <v>0.15347317</v>
      </c>
      <c r="M29" s="18" t="n">
        <v>0</v>
      </c>
      <c r="N29" s="20" t="n">
        <v>0</v>
      </c>
      <c r="O29" s="18" t="n">
        <v>0</v>
      </c>
      <c r="P29" s="20" t="n">
        <v>0</v>
      </c>
      <c r="Q29" s="18" t="n">
        <v>0.33838584</v>
      </c>
      <c r="R29" s="20" t="n">
        <v>0.22559842</v>
      </c>
    </row>
    <row r="30" spans="1:18">
      <c r="A30" s="15" t="s">
        <v>372</v>
      </c>
      <c r="B30" s="17" t="n">
        <v>4520</v>
      </c>
      <c r="C30" s="18">
        <f>(3942.0/B30*100)</f>
        <v/>
      </c>
      <c r="D30" s="19" t="n">
        <v>578</v>
      </c>
      <c r="E30" s="18" t="n">
        <v>33.52552665</v>
      </c>
      <c r="F30" s="20" t="n">
        <v>2.10401574</v>
      </c>
      <c r="G30" s="18" t="n">
        <v>65.90812882</v>
      </c>
      <c r="H30" s="20" t="n">
        <v>2.10290534</v>
      </c>
      <c r="I30" s="18" t="s">
        <v>349</v>
      </c>
      <c r="J30" s="20" t="s">
        <v>349</v>
      </c>
      <c r="K30" s="18" t="n">
        <v>0</v>
      </c>
      <c r="L30" s="20" t="n">
        <v>0</v>
      </c>
      <c r="M30" s="18" t="n">
        <v>0</v>
      </c>
      <c r="N30" s="20" t="n">
        <v>0</v>
      </c>
      <c r="O30" s="18" t="n">
        <v>0</v>
      </c>
      <c r="P30" s="20" t="n">
        <v>0</v>
      </c>
      <c r="Q30" s="18" t="n">
        <v>0.56634454</v>
      </c>
      <c r="R30" s="20" t="n">
        <v>0.30125982</v>
      </c>
    </row>
    <row r="31" spans="1:18">
      <c r="A31" s="15" t="s">
        <v>373</v>
      </c>
      <c r="B31" s="17" t="n">
        <v>5456</v>
      </c>
      <c r="C31" s="18">
        <f>(4805.0/B31*100)</f>
        <v/>
      </c>
      <c r="D31" s="19" t="n">
        <v>651</v>
      </c>
      <c r="E31" s="18" t="n">
        <v>35.80422685</v>
      </c>
      <c r="F31" s="20" t="n">
        <v>1.94993676</v>
      </c>
      <c r="G31" s="18" t="n">
        <v>63.16079687</v>
      </c>
      <c r="H31" s="20" t="n">
        <v>1.94719036</v>
      </c>
      <c r="I31" s="18" t="s">
        <v>349</v>
      </c>
      <c r="J31" s="20" t="s">
        <v>349</v>
      </c>
      <c r="K31" s="18" t="n">
        <v>0.1384388</v>
      </c>
      <c r="L31" s="20" t="n">
        <v>0.13786309</v>
      </c>
      <c r="M31" s="18" t="n">
        <v>0</v>
      </c>
      <c r="N31" s="20" t="n">
        <v>0</v>
      </c>
      <c r="O31" s="18" t="n">
        <v>0</v>
      </c>
      <c r="P31" s="20" t="n">
        <v>0</v>
      </c>
      <c r="Q31" s="18" t="n">
        <v>0.89653748</v>
      </c>
      <c r="R31" s="20" t="n">
        <v>0.35924518</v>
      </c>
    </row>
    <row r="32" spans="1:18">
      <c r="A32" s="15" t="s">
        <v>374</v>
      </c>
      <c r="B32" s="17" t="n">
        <v>4478</v>
      </c>
      <c r="C32" s="18">
        <f>(3741.0/B32*100)</f>
        <v/>
      </c>
      <c r="D32" s="19" t="n">
        <v>737</v>
      </c>
      <c r="E32" s="18" t="n">
        <v>37.21191024</v>
      </c>
      <c r="F32" s="20" t="n">
        <v>1.916586</v>
      </c>
      <c r="G32" s="18" t="n">
        <v>61.94221093</v>
      </c>
      <c r="H32" s="20" t="n">
        <v>1.91804408</v>
      </c>
      <c r="I32" s="18" t="s">
        <v>349</v>
      </c>
      <c r="J32" s="20" t="s">
        <v>349</v>
      </c>
      <c r="K32" s="18" t="n">
        <v>0.12904646</v>
      </c>
      <c r="L32" s="20" t="n">
        <v>0.13462201</v>
      </c>
      <c r="M32" s="18" t="n">
        <v>0</v>
      </c>
      <c r="N32" s="20" t="n">
        <v>0</v>
      </c>
      <c r="O32" s="18" t="n">
        <v>0</v>
      </c>
      <c r="P32" s="20" t="n">
        <v>0</v>
      </c>
      <c r="Q32" s="18" t="n">
        <v>0.71683238</v>
      </c>
      <c r="R32" s="20" t="n">
        <v>0.31493604</v>
      </c>
    </row>
    <row r="33" spans="1:18">
      <c r="A33" s="15" t="s">
        <v>375</v>
      </c>
      <c r="B33" s="17" t="n">
        <v>7325</v>
      </c>
      <c r="C33" s="18">
        <f>(6424.0/B33*100)</f>
        <v/>
      </c>
      <c r="D33" s="19" t="n">
        <v>901</v>
      </c>
      <c r="E33" s="18" t="n">
        <v>35.47996032</v>
      </c>
      <c r="F33" s="20" t="n">
        <v>2.06053692</v>
      </c>
      <c r="G33" s="18" t="n">
        <v>62.86528582</v>
      </c>
      <c r="H33" s="20" t="n">
        <v>2.1130436</v>
      </c>
      <c r="I33" s="18" t="s">
        <v>349</v>
      </c>
      <c r="J33" s="20" t="s">
        <v>349</v>
      </c>
      <c r="K33" s="18" t="n">
        <v>0.21954927</v>
      </c>
      <c r="L33" s="20" t="n">
        <v>0.26122987</v>
      </c>
      <c r="M33" s="18" t="n">
        <v>0</v>
      </c>
      <c r="N33" s="20" t="n">
        <v>0</v>
      </c>
      <c r="O33" s="18" t="n">
        <v>0</v>
      </c>
      <c r="P33" s="20" t="n">
        <v>0</v>
      </c>
      <c r="Q33" s="18" t="n">
        <v>1.43520459</v>
      </c>
      <c r="R33" s="20" t="n">
        <v>0.38760602</v>
      </c>
    </row>
    <row r="34" spans="1:18">
      <c r="A34" s="15" t="s">
        <v>376</v>
      </c>
      <c r="B34" s="17" t="n">
        <v>6350</v>
      </c>
      <c r="C34" s="18">
        <f>(5574.0/B34*100)</f>
        <v/>
      </c>
      <c r="D34" s="19" t="n">
        <v>776</v>
      </c>
      <c r="E34" s="18" t="n">
        <v>37.80714184</v>
      </c>
      <c r="F34" s="20" t="n">
        <v>1.69008228</v>
      </c>
      <c r="G34" s="18" t="n">
        <v>60.24060284</v>
      </c>
      <c r="H34" s="20" t="n">
        <v>1.69558107</v>
      </c>
      <c r="I34" s="18" t="s">
        <v>349</v>
      </c>
      <c r="J34" s="20" t="s">
        <v>349</v>
      </c>
      <c r="K34" s="18" t="n">
        <v>0</v>
      </c>
      <c r="L34" s="20" t="n">
        <v>0</v>
      </c>
      <c r="M34" s="18" t="n">
        <v>0</v>
      </c>
      <c r="N34" s="20" t="n">
        <v>0</v>
      </c>
      <c r="O34" s="18" t="n">
        <v>0</v>
      </c>
      <c r="P34" s="20" t="n">
        <v>0</v>
      </c>
      <c r="Q34" s="18" t="n">
        <v>1.95225533</v>
      </c>
      <c r="R34" s="20" t="n">
        <v>0.46120234</v>
      </c>
    </row>
    <row r="35" spans="1:18">
      <c r="A35" s="15" t="s">
        <v>377</v>
      </c>
      <c r="B35" s="17" t="n">
        <v>6406</v>
      </c>
      <c r="C35" s="18">
        <f>(5616.0/B35*100)</f>
        <v/>
      </c>
      <c r="D35" s="19" t="n">
        <v>790</v>
      </c>
      <c r="E35" s="18" t="n">
        <v>24.59308354</v>
      </c>
      <c r="F35" s="20" t="n">
        <v>1.88146365</v>
      </c>
      <c r="G35" s="18" t="n">
        <v>74.73220761</v>
      </c>
      <c r="H35" s="20" t="n">
        <v>1.85471883</v>
      </c>
      <c r="I35" s="18" t="s">
        <v>349</v>
      </c>
      <c r="J35" s="20" t="s">
        <v>349</v>
      </c>
      <c r="K35" s="18" t="n">
        <v>0</v>
      </c>
      <c r="L35" s="20" t="n">
        <v>0</v>
      </c>
      <c r="M35" s="18" t="n">
        <v>0</v>
      </c>
      <c r="N35" s="20" t="n">
        <v>0</v>
      </c>
      <c r="O35" s="18" t="n">
        <v>0</v>
      </c>
      <c r="P35" s="20" t="n">
        <v>0</v>
      </c>
      <c r="Q35" s="18" t="n">
        <v>0.67470885</v>
      </c>
      <c r="R35" s="20" t="n">
        <v>0.32903496</v>
      </c>
    </row>
    <row r="36" spans="1:18">
      <c r="A36" s="15" t="s">
        <v>378</v>
      </c>
      <c r="B36" s="17" t="n">
        <v>6736</v>
      </c>
      <c r="C36" s="18">
        <f>(5905.0/B36*100)</f>
        <v/>
      </c>
      <c r="D36" s="19" t="n">
        <v>831</v>
      </c>
      <c r="E36" s="18" t="n">
        <v>37.93985508</v>
      </c>
      <c r="F36" s="20" t="n">
        <v>2.00264076</v>
      </c>
      <c r="G36" s="18" t="n">
        <v>61.17968213</v>
      </c>
      <c r="H36" s="20" t="n">
        <v>1.96876222</v>
      </c>
      <c r="I36" s="18" t="s">
        <v>349</v>
      </c>
      <c r="J36" s="20" t="s">
        <v>349</v>
      </c>
      <c r="K36" s="18" t="n">
        <v>0.32238757</v>
      </c>
      <c r="L36" s="20" t="n">
        <v>0.21724931</v>
      </c>
      <c r="M36" s="18" t="n">
        <v>0</v>
      </c>
      <c r="N36" s="20" t="n">
        <v>0</v>
      </c>
      <c r="O36" s="18" t="n">
        <v>0</v>
      </c>
      <c r="P36" s="20" t="n">
        <v>0</v>
      </c>
      <c r="Q36" s="18" t="n">
        <v>0.55807522</v>
      </c>
      <c r="R36" s="20" t="n">
        <v>0.25204902</v>
      </c>
    </row>
    <row r="37" spans="1:18">
      <c r="A37" s="15" t="s">
        <v>379</v>
      </c>
      <c r="B37" s="17" t="n">
        <v>5458</v>
      </c>
      <c r="C37" s="18">
        <f>(4772.0/B37*100)</f>
        <v/>
      </c>
      <c r="D37" s="19" t="n">
        <v>686</v>
      </c>
      <c r="E37" s="18" t="n">
        <v>40.66027333</v>
      </c>
      <c r="F37" s="20" t="n">
        <v>1.88783129</v>
      </c>
      <c r="G37" s="18" t="n">
        <v>57.19042605</v>
      </c>
      <c r="H37" s="20" t="n">
        <v>1.97360668</v>
      </c>
      <c r="I37" s="18" t="s">
        <v>349</v>
      </c>
      <c r="J37" s="20" t="s">
        <v>349</v>
      </c>
      <c r="K37" s="18" t="n">
        <v>0</v>
      </c>
      <c r="L37" s="20" t="n">
        <v>0</v>
      </c>
      <c r="M37" s="18" t="n">
        <v>0</v>
      </c>
      <c r="N37" s="20" t="n">
        <v>0</v>
      </c>
      <c r="O37" s="18" t="n">
        <v>0</v>
      </c>
      <c r="P37" s="20" t="n">
        <v>0</v>
      </c>
      <c r="Q37" s="18" t="n">
        <v>2.14930062</v>
      </c>
      <c r="R37" s="20" t="n">
        <v>0.53122179</v>
      </c>
    </row>
    <row r="38" spans="1:18">
      <c r="A38" s="15" t="s">
        <v>380</v>
      </c>
      <c r="B38" s="17" t="n">
        <v>5860</v>
      </c>
      <c r="C38" s="18">
        <f>(4873.0/B38*100)</f>
        <v/>
      </c>
      <c r="D38" s="19" t="n">
        <v>987</v>
      </c>
      <c r="E38" s="18" t="n">
        <v>25.85426447</v>
      </c>
      <c r="F38" s="20" t="n">
        <v>1.51613078</v>
      </c>
      <c r="G38" s="18" t="n">
        <v>72.48487092000001</v>
      </c>
      <c r="H38" s="20" t="n">
        <v>1.63650521</v>
      </c>
      <c r="I38" s="18" t="s">
        <v>349</v>
      </c>
      <c r="J38" s="20" t="s">
        <v>349</v>
      </c>
      <c r="K38" s="18" t="n">
        <v>0.10027414</v>
      </c>
      <c r="L38" s="20" t="n">
        <v>0.10340555</v>
      </c>
      <c r="M38" s="18" t="n">
        <v>0</v>
      </c>
      <c r="N38" s="20" t="n">
        <v>0</v>
      </c>
      <c r="O38" s="18" t="n">
        <v>0</v>
      </c>
      <c r="P38" s="20" t="n">
        <v>0</v>
      </c>
      <c r="Q38" s="18" t="n">
        <v>1.56059047</v>
      </c>
      <c r="R38" s="20" t="n">
        <v>0.45461285</v>
      </c>
    </row>
    <row r="39" spans="1:18">
      <c r="A39" s="15" t="s">
        <v>381</v>
      </c>
      <c r="B39" s="17" t="n">
        <v>5895</v>
      </c>
      <c r="C39" s="18">
        <f>(5199.0/B39*100)</f>
        <v/>
      </c>
      <c r="D39" s="19" t="n">
        <v>696</v>
      </c>
      <c r="E39" s="18" t="n">
        <v>45.55936699</v>
      </c>
      <c r="F39" s="20" t="n">
        <v>2.18689825</v>
      </c>
      <c r="G39" s="18" t="n">
        <v>50.35699749</v>
      </c>
      <c r="H39" s="20" t="n">
        <v>2.13227645</v>
      </c>
      <c r="I39" s="18" t="s">
        <v>349</v>
      </c>
      <c r="J39" s="20" t="s">
        <v>349</v>
      </c>
      <c r="K39" s="18" t="n">
        <v>0.47331021</v>
      </c>
      <c r="L39" s="20" t="n">
        <v>0.32041375</v>
      </c>
      <c r="M39" s="18" t="n">
        <v>0</v>
      </c>
      <c r="N39" s="20" t="n">
        <v>0</v>
      </c>
      <c r="O39" s="18" t="n">
        <v>0</v>
      </c>
      <c r="P39" s="20" t="n">
        <v>0</v>
      </c>
      <c r="Q39" s="18" t="n">
        <v>3.6103253</v>
      </c>
      <c r="R39" s="20" t="n">
        <v>0.88050571</v>
      </c>
    </row>
    <row r="40" spans="1:18">
      <c r="A40" s="15" t="s">
        <v>382</v>
      </c>
      <c r="B40" s="17" t="n">
        <v>14157</v>
      </c>
      <c r="C40" s="18">
        <f>(12419.0/B40*100)</f>
        <v/>
      </c>
      <c r="D40" s="19" t="n">
        <v>1738</v>
      </c>
      <c r="E40" s="18" t="n">
        <v>35.46848324</v>
      </c>
      <c r="F40" s="20" t="n">
        <v>1.56765064</v>
      </c>
      <c r="G40" s="18" t="n">
        <v>63.84598639</v>
      </c>
      <c r="H40" s="20" t="n">
        <v>1.56089125</v>
      </c>
      <c r="I40" s="18" t="s">
        <v>349</v>
      </c>
      <c r="J40" s="20" t="s">
        <v>349</v>
      </c>
      <c r="K40" s="18" t="n">
        <v>0.13876192</v>
      </c>
      <c r="L40" s="20" t="n">
        <v>0.09859508</v>
      </c>
      <c r="M40" s="18" t="n">
        <v>0</v>
      </c>
      <c r="N40" s="20" t="n">
        <v>0</v>
      </c>
      <c r="O40" s="18" t="n">
        <v>0</v>
      </c>
      <c r="P40" s="20" t="n">
        <v>0</v>
      </c>
      <c r="Q40" s="18" t="n">
        <v>0.54676845</v>
      </c>
      <c r="R40" s="20" t="n">
        <v>0.26946924</v>
      </c>
    </row>
    <row r="41" spans="1:18">
      <c r="A41" s="15" t="s">
        <v>383</v>
      </c>
      <c r="B41" s="17" t="n">
        <v>5712</v>
      </c>
      <c r="C41" s="18">
        <f>(4981.0/B41*100)</f>
        <v/>
      </c>
      <c r="D41" s="19" t="n">
        <v>731</v>
      </c>
      <c r="E41" s="18" t="n">
        <v>42.89079356</v>
      </c>
      <c r="F41" s="20" t="n">
        <v>1.96386862</v>
      </c>
      <c r="G41" s="18" t="n">
        <v>54.95322315</v>
      </c>
      <c r="H41" s="20" t="n">
        <v>2.1820253</v>
      </c>
      <c r="I41" s="18" t="s">
        <v>349</v>
      </c>
      <c r="J41" s="20" t="s">
        <v>349</v>
      </c>
      <c r="K41" s="18" t="n">
        <v>0.10493584</v>
      </c>
      <c r="L41" s="20" t="n">
        <v>0.10871142</v>
      </c>
      <c r="M41" s="18" t="n">
        <v>0</v>
      </c>
      <c r="N41" s="20" t="n">
        <v>0</v>
      </c>
      <c r="O41" s="18" t="n">
        <v>0</v>
      </c>
      <c r="P41" s="20" t="n">
        <v>0</v>
      </c>
      <c r="Q41" s="18" t="n">
        <v>2.05104745</v>
      </c>
      <c r="R41" s="20" t="n">
        <v>0.99153501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(20417.0/B46*100)</f>
        <v/>
      </c>
      <c r="D46" s="19" t="n">
        <v>2724</v>
      </c>
      <c r="E46" s="18" t="n">
        <v>61.46742301</v>
      </c>
      <c r="F46" s="20" t="n">
        <v>1.22316809</v>
      </c>
      <c r="G46" s="18" t="n">
        <v>33.19694187</v>
      </c>
      <c r="H46" s="20" t="n">
        <v>1.14732236</v>
      </c>
      <c r="I46" s="18" t="s">
        <v>349</v>
      </c>
      <c r="J46" s="20" t="s">
        <v>349</v>
      </c>
      <c r="K46" s="18" t="n">
        <v>0.27909891</v>
      </c>
      <c r="L46" s="20" t="n">
        <v>0.13970122</v>
      </c>
      <c r="M46" s="18" t="n">
        <v>0</v>
      </c>
      <c r="N46" s="20" t="n">
        <v>0</v>
      </c>
      <c r="O46" s="18" t="n">
        <v>0</v>
      </c>
      <c r="P46" s="20" t="n">
        <v>0</v>
      </c>
      <c r="Q46" s="18" t="n">
        <v>5.05653621</v>
      </c>
      <c r="R46" s="20" t="n">
        <v>0.49763958</v>
      </c>
    </row>
    <row r="47" spans="1:18">
      <c r="A47" s="15" t="s">
        <v>389</v>
      </c>
      <c r="B47" s="17" t="n">
        <v>5928</v>
      </c>
      <c r="C47" s="18">
        <f>(5178.0/B47*100)</f>
        <v/>
      </c>
      <c r="D47" s="19" t="n">
        <v>750</v>
      </c>
      <c r="E47" s="18" t="n">
        <v>47.14169927</v>
      </c>
      <c r="F47" s="20" t="n">
        <v>2.0252958</v>
      </c>
      <c r="G47" s="18" t="n">
        <v>48.21250457</v>
      </c>
      <c r="H47" s="20" t="n">
        <v>2.16658126</v>
      </c>
      <c r="I47" s="18" t="s">
        <v>349</v>
      </c>
      <c r="J47" s="20" t="s">
        <v>349</v>
      </c>
      <c r="K47" s="18" t="n">
        <v>0</v>
      </c>
      <c r="L47" s="20" t="n">
        <v>0</v>
      </c>
      <c r="M47" s="18" t="n">
        <v>0</v>
      </c>
      <c r="N47" s="20" t="n">
        <v>0</v>
      </c>
      <c r="O47" s="18" t="n">
        <v>0</v>
      </c>
      <c r="P47" s="20" t="n">
        <v>0</v>
      </c>
      <c r="Q47" s="18" t="n">
        <v>4.64579616</v>
      </c>
      <c r="R47" s="20" t="n">
        <v>0.84250172</v>
      </c>
    </row>
    <row r="48" spans="1:18">
      <c r="A48" s="15" t="s">
        <v>390</v>
      </c>
      <c r="B48" s="17" t="n">
        <v>9841</v>
      </c>
      <c r="C48" s="18">
        <f>(8646.0/B48*100)</f>
        <v/>
      </c>
      <c r="D48" s="19" t="n">
        <v>1195</v>
      </c>
      <c r="E48" s="18" t="n">
        <v>26.02248124</v>
      </c>
      <c r="F48" s="20" t="n">
        <v>2.06336856</v>
      </c>
      <c r="G48" s="18" t="n">
        <v>72.1057855</v>
      </c>
      <c r="H48" s="20" t="n">
        <v>2.06275985</v>
      </c>
      <c r="I48" s="18" t="s">
        <v>349</v>
      </c>
      <c r="J48" s="20" t="s">
        <v>349</v>
      </c>
      <c r="K48" s="18" t="n">
        <v>0.28303089</v>
      </c>
      <c r="L48" s="20" t="n">
        <v>0.20763111</v>
      </c>
      <c r="M48" s="18" t="n">
        <v>0</v>
      </c>
      <c r="N48" s="20" t="n">
        <v>0</v>
      </c>
      <c r="O48" s="18" t="n">
        <v>0</v>
      </c>
      <c r="P48" s="20" t="n">
        <v>0</v>
      </c>
      <c r="Q48" s="18" t="n">
        <v>1.58870238</v>
      </c>
      <c r="R48" s="20" t="n">
        <v>0.46083393</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(10380.0/B50*100)</f>
        <v/>
      </c>
      <c r="D50" s="19" t="n">
        <v>1415</v>
      </c>
      <c r="E50" s="18" t="n">
        <v>61.27658581</v>
      </c>
      <c r="F50" s="20" t="n">
        <v>2.01526975</v>
      </c>
      <c r="G50" s="18" t="n">
        <v>36.02616004</v>
      </c>
      <c r="H50" s="20" t="n">
        <v>2.03738065</v>
      </c>
      <c r="I50" s="18" t="s">
        <v>349</v>
      </c>
      <c r="J50" s="20" t="s">
        <v>349</v>
      </c>
      <c r="K50" s="18" t="n">
        <v>0.55784599</v>
      </c>
      <c r="L50" s="20" t="n">
        <v>0.2780874</v>
      </c>
      <c r="M50" s="18" t="n">
        <v>0</v>
      </c>
      <c r="N50" s="20" t="n">
        <v>0</v>
      </c>
      <c r="O50" s="18" t="n">
        <v>0</v>
      </c>
      <c r="P50" s="20" t="n">
        <v>0</v>
      </c>
      <c r="Q50" s="18" t="n">
        <v>2.13940816</v>
      </c>
      <c r="R50" s="20" t="n">
        <v>0.50126784</v>
      </c>
    </row>
    <row r="51" spans="1:18">
      <c r="A51" s="15" t="s">
        <v>393</v>
      </c>
      <c r="B51" s="17" t="n">
        <v>6866</v>
      </c>
      <c r="C51" s="18">
        <f>(6117.0/B51*100)</f>
        <v/>
      </c>
      <c r="D51" s="19" t="n">
        <v>749</v>
      </c>
      <c r="E51" s="18" t="n">
        <v>64.99779082000001</v>
      </c>
      <c r="F51" s="20" t="n">
        <v>1.87253763</v>
      </c>
      <c r="G51" s="18" t="n">
        <v>32.33410064</v>
      </c>
      <c r="H51" s="20" t="n">
        <v>1.83136185</v>
      </c>
      <c r="I51" s="18" t="s">
        <v>349</v>
      </c>
      <c r="J51" s="20" t="s">
        <v>349</v>
      </c>
      <c r="K51" s="18" t="n">
        <v>0.30659181</v>
      </c>
      <c r="L51" s="20" t="n">
        <v>0.22024832</v>
      </c>
      <c r="M51" s="18" t="n">
        <v>0</v>
      </c>
      <c r="N51" s="20" t="n">
        <v>0</v>
      </c>
      <c r="O51" s="18" t="n">
        <v>0</v>
      </c>
      <c r="P51" s="20" t="n">
        <v>0</v>
      </c>
      <c r="Q51" s="18" t="n">
        <v>2.36151673</v>
      </c>
      <c r="R51" s="20" t="n">
        <v>0.5567164999999999</v>
      </c>
    </row>
    <row r="52" spans="1:18">
      <c r="A52" s="15" t="s">
        <v>394</v>
      </c>
      <c r="B52" s="17" t="n">
        <v>5809</v>
      </c>
      <c r="C52" s="18">
        <f>(5082.0/B52*100)</f>
        <v/>
      </c>
      <c r="D52" s="19" t="n">
        <v>727</v>
      </c>
      <c r="E52" s="18" t="n">
        <v>48.25343572</v>
      </c>
      <c r="F52" s="20" t="n">
        <v>1.83032856</v>
      </c>
      <c r="G52" s="18" t="n">
        <v>50.48411535</v>
      </c>
      <c r="H52" s="20" t="n">
        <v>1.89263755</v>
      </c>
      <c r="I52" s="18" t="s">
        <v>349</v>
      </c>
      <c r="J52" s="20" t="s">
        <v>349</v>
      </c>
      <c r="K52" s="18" t="n">
        <v>0.10323734</v>
      </c>
      <c r="L52" s="20" t="n">
        <v>0.10339573</v>
      </c>
      <c r="M52" s="18" t="n">
        <v>0</v>
      </c>
      <c r="N52" s="20" t="n">
        <v>0</v>
      </c>
      <c r="O52" s="18" t="n">
        <v>0</v>
      </c>
      <c r="P52" s="20" t="n">
        <v>0</v>
      </c>
      <c r="Q52" s="18" t="n">
        <v>1.15921159</v>
      </c>
      <c r="R52" s="20" t="n">
        <v>0.36767799</v>
      </c>
    </row>
    <row r="53" spans="1:18">
      <c r="A53" s="15" t="s">
        <v>395</v>
      </c>
      <c r="B53" s="17" t="n">
        <v>5571</v>
      </c>
      <c r="C53" s="18">
        <f>(4882.0/B53*100)</f>
        <v/>
      </c>
      <c r="D53" s="19" t="n">
        <v>689</v>
      </c>
      <c r="E53" s="18" t="n">
        <v>50.16315456</v>
      </c>
      <c r="F53" s="20" t="n">
        <v>1.84402052</v>
      </c>
      <c r="G53" s="18" t="n">
        <v>47.80606</v>
      </c>
      <c r="H53" s="20" t="n">
        <v>1.8942735</v>
      </c>
      <c r="I53" s="18" t="s">
        <v>349</v>
      </c>
      <c r="J53" s="20" t="s">
        <v>349</v>
      </c>
      <c r="K53" s="18" t="n">
        <v>0</v>
      </c>
      <c r="L53" s="20" t="n">
        <v>0</v>
      </c>
      <c r="M53" s="18" t="n">
        <v>0</v>
      </c>
      <c r="N53" s="20" t="n">
        <v>0</v>
      </c>
      <c r="O53" s="18" t="n">
        <v>0</v>
      </c>
      <c r="P53" s="20" t="n">
        <v>0</v>
      </c>
      <c r="Q53" s="18" t="n">
        <v>2.03078544</v>
      </c>
      <c r="R53" s="20" t="n">
        <v>0.52597353</v>
      </c>
    </row>
    <row r="54" spans="1:18">
      <c r="A54" s="15" t="s">
        <v>396</v>
      </c>
      <c r="B54" s="17" t="n">
        <v>4740</v>
      </c>
      <c r="C54" s="18">
        <f>(3949.0/B54*100)</f>
        <v/>
      </c>
      <c r="D54" s="19" t="n">
        <v>791</v>
      </c>
      <c r="E54" s="18" t="n">
        <v>66.44993784</v>
      </c>
      <c r="F54" s="20" t="n">
        <v>2.02625452</v>
      </c>
      <c r="G54" s="18" t="n">
        <v>23.630553</v>
      </c>
      <c r="H54" s="20" t="n">
        <v>1.62043642</v>
      </c>
      <c r="I54" s="18" t="s">
        <v>349</v>
      </c>
      <c r="J54" s="20" t="s">
        <v>349</v>
      </c>
      <c r="K54" s="18" t="n">
        <v>4.21550213</v>
      </c>
      <c r="L54" s="20" t="n">
        <v>0.8282116899999999</v>
      </c>
      <c r="M54" s="18" t="n">
        <v>0</v>
      </c>
      <c r="N54" s="20" t="n">
        <v>0</v>
      </c>
      <c r="O54" s="18" t="n">
        <v>0</v>
      </c>
      <c r="P54" s="20" t="n">
        <v>0</v>
      </c>
      <c r="Q54" s="18" t="n">
        <v>5.70400703</v>
      </c>
      <c r="R54" s="20" t="n">
        <v>0.94548276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(4702.0/B56*100)</f>
        <v/>
      </c>
      <c r="D56" s="19" t="n">
        <v>657</v>
      </c>
      <c r="E56" s="18" t="n">
        <v>20.7313293</v>
      </c>
      <c r="F56" s="20" t="n">
        <v>1.57013394</v>
      </c>
      <c r="G56" s="18" t="n">
        <v>78.22559099</v>
      </c>
      <c r="H56" s="20" t="n">
        <v>1.63318743</v>
      </c>
      <c r="I56" s="18" t="s">
        <v>349</v>
      </c>
      <c r="J56" s="20" t="s">
        <v>349</v>
      </c>
      <c r="K56" s="18" t="n">
        <v>0.12666486</v>
      </c>
      <c r="L56" s="20" t="n">
        <v>0.12891892</v>
      </c>
      <c r="M56" s="18" t="n">
        <v>0</v>
      </c>
      <c r="N56" s="20" t="n">
        <v>0</v>
      </c>
      <c r="O56" s="18" t="n">
        <v>0</v>
      </c>
      <c r="P56" s="20" t="n">
        <v>0</v>
      </c>
      <c r="Q56" s="18" t="n">
        <v>0.91641485</v>
      </c>
      <c r="R56" s="20" t="n">
        <v>0.64329078</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(5712.0/B61*100)</f>
        <v/>
      </c>
      <c r="D61" s="19" t="n">
        <v>813</v>
      </c>
      <c r="E61" s="18" t="n">
        <v>36.57037445</v>
      </c>
      <c r="F61" s="20" t="n">
        <v>2.07725948</v>
      </c>
      <c r="G61" s="18" t="n">
        <v>61.33905276</v>
      </c>
      <c r="H61" s="20" t="n">
        <v>2.13633187</v>
      </c>
      <c r="I61" s="18" t="s">
        <v>349</v>
      </c>
      <c r="J61" s="20" t="s">
        <v>349</v>
      </c>
      <c r="K61" s="18" t="n">
        <v>0.35988103</v>
      </c>
      <c r="L61" s="20" t="n">
        <v>0.35249915</v>
      </c>
      <c r="M61" s="18" t="n">
        <v>0</v>
      </c>
      <c r="N61" s="20" t="n">
        <v>0</v>
      </c>
      <c r="O61" s="18" t="n">
        <v>0</v>
      </c>
      <c r="P61" s="20" t="n">
        <v>0</v>
      </c>
      <c r="Q61" s="18" t="n">
        <v>1.73069176</v>
      </c>
      <c r="R61" s="20" t="n">
        <v>0.63685574</v>
      </c>
    </row>
    <row r="62" spans="1:18">
      <c r="A62" s="15" t="s">
        <v>404</v>
      </c>
      <c r="B62" s="17" t="n">
        <v>4476</v>
      </c>
      <c r="C62" s="18">
        <f>(3922.0/B62*100)</f>
        <v/>
      </c>
      <c r="D62" s="19" t="n">
        <v>554</v>
      </c>
      <c r="E62" s="18" t="n">
        <v>19.83685593</v>
      </c>
      <c r="F62" s="20" t="n">
        <v>1.49688182</v>
      </c>
      <c r="G62" s="18" t="n">
        <v>79.97963536</v>
      </c>
      <c r="H62" s="20" t="n">
        <v>1.51999727</v>
      </c>
      <c r="I62" s="18" t="s">
        <v>349</v>
      </c>
      <c r="J62" s="20" t="s">
        <v>349</v>
      </c>
      <c r="K62" s="18" t="n">
        <v>0</v>
      </c>
      <c r="L62" s="20" t="n">
        <v>0</v>
      </c>
      <c r="M62" s="18" t="n">
        <v>0</v>
      </c>
      <c r="N62" s="20" t="n">
        <v>0</v>
      </c>
      <c r="O62" s="18" t="n">
        <v>0</v>
      </c>
      <c r="P62" s="20" t="n">
        <v>0</v>
      </c>
      <c r="Q62" s="18" t="n">
        <v>0.18350871</v>
      </c>
      <c r="R62" s="20" t="n">
        <v>0.18268511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59.42835555</v>
      </c>
      <c r="F66" s="20" t="n">
        <v>1.95462351</v>
      </c>
      <c r="G66" s="18" t="n">
        <v>36.21854774</v>
      </c>
      <c r="H66" s="20" t="n">
        <v>1.88133555</v>
      </c>
      <c r="I66" s="18" t="s">
        <v>349</v>
      </c>
      <c r="J66" s="20" t="s">
        <v>349</v>
      </c>
      <c r="K66" s="18" t="n">
        <v>0.12572652</v>
      </c>
      <c r="L66" s="20" t="n">
        <v>0.12571312</v>
      </c>
      <c r="M66" s="18" t="n">
        <v>0</v>
      </c>
      <c r="N66" s="20" t="n">
        <v>0</v>
      </c>
      <c r="O66" s="18" t="n">
        <v>0</v>
      </c>
      <c r="P66" s="20" t="n">
        <v>0</v>
      </c>
      <c r="Q66" s="18" t="n">
        <v>4.22737019</v>
      </c>
      <c r="R66" s="20" t="n">
        <v>0.68770124</v>
      </c>
    </row>
    <row r="67" spans="1:18">
      <c r="A67" s="15" t="s">
        <v>409</v>
      </c>
      <c r="B67" s="17" t="n">
        <v>6971</v>
      </c>
      <c r="C67" s="18">
        <f>(6122.0/B67*100)</f>
        <v/>
      </c>
      <c r="D67" s="19" t="n">
        <v>849</v>
      </c>
      <c r="E67" s="18" t="n">
        <v>58.36879212</v>
      </c>
      <c r="F67" s="20" t="n">
        <v>1.8712324</v>
      </c>
      <c r="G67" s="18" t="n">
        <v>33.53443901</v>
      </c>
      <c r="H67" s="20" t="n">
        <v>1.78722091</v>
      </c>
      <c r="I67" s="18" t="s">
        <v>349</v>
      </c>
      <c r="J67" s="20" t="s">
        <v>349</v>
      </c>
      <c r="K67" s="18" t="n">
        <v>0.15481148</v>
      </c>
      <c r="L67" s="20" t="n">
        <v>0.15482062</v>
      </c>
      <c r="M67" s="18" t="n">
        <v>0</v>
      </c>
      <c r="N67" s="20" t="n">
        <v>0</v>
      </c>
      <c r="O67" s="18" t="n">
        <v>0</v>
      </c>
      <c r="P67" s="20" t="n">
        <v>0</v>
      </c>
      <c r="Q67" s="18" t="n">
        <v>7.94195739</v>
      </c>
      <c r="R67" s="20" t="n">
        <v>1.00558981</v>
      </c>
    </row>
    <row r="68" spans="1:18">
      <c r="A68" s="15" t="s">
        <v>410</v>
      </c>
      <c r="B68" s="17" t="n">
        <v>12083</v>
      </c>
      <c r="C68" s="18">
        <f>(10096.0/B68*100)</f>
        <v/>
      </c>
      <c r="D68" s="19" t="n">
        <v>1987</v>
      </c>
      <c r="E68" s="18" t="n">
        <v>60.36355746</v>
      </c>
      <c r="F68" s="20" t="n">
        <v>1.06793513</v>
      </c>
      <c r="G68" s="18" t="n">
        <v>34.8377044</v>
      </c>
      <c r="H68" s="20" t="n">
        <v>1.03109705</v>
      </c>
      <c r="I68" s="18" t="s">
        <v>349</v>
      </c>
      <c r="J68" s="20" t="s">
        <v>349</v>
      </c>
      <c r="K68" s="18" t="n">
        <v>0.9006552</v>
      </c>
      <c r="L68" s="20" t="n">
        <v>0.21542793</v>
      </c>
      <c r="M68" s="18" t="n">
        <v>0</v>
      </c>
      <c r="N68" s="20" t="n">
        <v>0</v>
      </c>
      <c r="O68" s="18" t="n">
        <v>0</v>
      </c>
      <c r="P68" s="20" t="n">
        <v>0</v>
      </c>
      <c r="Q68" s="18" t="n">
        <v>3.89808294</v>
      </c>
      <c r="R68" s="20" t="n">
        <v>0.44532847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(5310.0/B70*100)</f>
        <v/>
      </c>
      <c r="D70" s="19" t="n">
        <v>726</v>
      </c>
      <c r="E70" s="18" t="n">
        <v>34.85611909</v>
      </c>
      <c r="F70" s="20" t="n">
        <v>2.21378579</v>
      </c>
      <c r="G70" s="18" t="n">
        <v>62.46412969</v>
      </c>
      <c r="H70" s="20" t="n">
        <v>2.30666882</v>
      </c>
      <c r="I70" s="18" t="s">
        <v>349</v>
      </c>
      <c r="J70" s="20" t="s">
        <v>349</v>
      </c>
      <c r="K70" s="18" t="n">
        <v>0.16669773</v>
      </c>
      <c r="L70" s="20" t="n">
        <v>0.11713832</v>
      </c>
      <c r="M70" s="18" t="n">
        <v>0</v>
      </c>
      <c r="N70" s="20" t="n">
        <v>0</v>
      </c>
      <c r="O70" s="18" t="n">
        <v>0</v>
      </c>
      <c r="P70" s="20" t="n">
        <v>0</v>
      </c>
      <c r="Q70" s="18" t="n">
        <v>2.51305349</v>
      </c>
      <c r="R70" s="20" t="n">
        <v>0.63365038</v>
      </c>
    </row>
    <row r="71" spans="1:18">
      <c r="A71" s="15" t="s">
        <v>413</v>
      </c>
      <c r="B71" s="17" t="n">
        <v>6115</v>
      </c>
      <c r="C71" s="18">
        <f>(5378.0/B71*100)</f>
        <v/>
      </c>
      <c r="D71" s="19" t="n">
        <v>737</v>
      </c>
      <c r="E71" s="18" t="n">
        <v>25.39423194</v>
      </c>
      <c r="F71" s="20" t="n">
        <v>1.52226402</v>
      </c>
      <c r="G71" s="18" t="n">
        <v>73.77974644</v>
      </c>
      <c r="H71" s="20" t="n">
        <v>1.57916839</v>
      </c>
      <c r="I71" s="18" t="s">
        <v>349</v>
      </c>
      <c r="J71" s="20" t="s">
        <v>349</v>
      </c>
      <c r="K71" s="18" t="n">
        <v>0.16091157</v>
      </c>
      <c r="L71" s="20" t="n">
        <v>0.16076994</v>
      </c>
      <c r="M71" s="18" t="n">
        <v>0</v>
      </c>
      <c r="N71" s="20" t="n">
        <v>0</v>
      </c>
      <c r="O71" s="18" t="n">
        <v>0</v>
      </c>
      <c r="P71" s="20" t="n">
        <v>0</v>
      </c>
      <c r="Q71" s="18" t="n">
        <v>0.66511005</v>
      </c>
      <c r="R71" s="20" t="n">
        <v>0.24680164</v>
      </c>
    </row>
    <row r="72" spans="1:18">
      <c r="A72" s="15" t="s">
        <v>414</v>
      </c>
      <c r="B72" s="17" t="n">
        <v>7708</v>
      </c>
      <c r="C72" s="18">
        <f>(6752.0/B72*100)</f>
        <v/>
      </c>
      <c r="D72" s="19" t="n">
        <v>956</v>
      </c>
      <c r="E72" s="18" t="n">
        <v>23.31175283</v>
      </c>
      <c r="F72" s="20" t="n">
        <v>1.45983322</v>
      </c>
      <c r="G72" s="18" t="n">
        <v>75.77143866999999</v>
      </c>
      <c r="H72" s="20" t="n">
        <v>1.47088134</v>
      </c>
      <c r="I72" s="18" t="s">
        <v>349</v>
      </c>
      <c r="J72" s="20" t="s">
        <v>349</v>
      </c>
      <c r="K72" s="18" t="n">
        <v>0</v>
      </c>
      <c r="L72" s="20" t="n">
        <v>0</v>
      </c>
      <c r="M72" s="18" t="n">
        <v>0</v>
      </c>
      <c r="N72" s="20" t="n">
        <v>0</v>
      </c>
      <c r="O72" s="18" t="n">
        <v>0</v>
      </c>
      <c r="P72" s="20" t="n">
        <v>0</v>
      </c>
      <c r="Q72" s="18" t="n">
        <v>0.9168085</v>
      </c>
      <c r="R72" s="20" t="n">
        <v>0.24686503</v>
      </c>
    </row>
    <row r="73" spans="1:18">
      <c r="A73" s="15" t="s">
        <v>415</v>
      </c>
      <c r="B73" s="17" t="n">
        <v>8249</v>
      </c>
      <c r="C73" s="18">
        <f>(7230.0/B73*100)</f>
        <v/>
      </c>
      <c r="D73" s="19" t="n">
        <v>1019</v>
      </c>
      <c r="E73" s="18" t="n">
        <v>45.5022061</v>
      </c>
      <c r="F73" s="20" t="n">
        <v>1.79066105</v>
      </c>
      <c r="G73" s="18" t="n">
        <v>43.64449897</v>
      </c>
      <c r="H73" s="20" t="n">
        <v>2.01194113</v>
      </c>
      <c r="I73" s="18" t="s">
        <v>349</v>
      </c>
      <c r="J73" s="20" t="s">
        <v>349</v>
      </c>
      <c r="K73" s="18" t="n">
        <v>0</v>
      </c>
      <c r="L73" s="20" t="n">
        <v>0</v>
      </c>
      <c r="M73" s="18" t="n">
        <v>0</v>
      </c>
      <c r="N73" s="20" t="n">
        <v>0</v>
      </c>
      <c r="O73" s="18" t="n">
        <v>0</v>
      </c>
      <c r="P73" s="20" t="n">
        <v>0</v>
      </c>
      <c r="Q73" s="18" t="n">
        <v>10.85329494</v>
      </c>
      <c r="R73" s="20" t="n">
        <v>1.40199709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(4743.0/B75*100)</f>
        <v/>
      </c>
      <c r="D75" s="19" t="n">
        <v>632</v>
      </c>
      <c r="E75" s="18" t="n">
        <v>66.76960815</v>
      </c>
      <c r="F75" s="20" t="n">
        <v>2.29825096</v>
      </c>
      <c r="G75" s="18" t="n">
        <v>24.99971572</v>
      </c>
      <c r="H75" s="20" t="n">
        <v>2.04325016</v>
      </c>
      <c r="I75" s="18" t="s">
        <v>349</v>
      </c>
      <c r="J75" s="20" t="s">
        <v>349</v>
      </c>
      <c r="K75" s="18" t="n">
        <v>0.8376280699999999</v>
      </c>
      <c r="L75" s="20" t="n">
        <v>0.42929027</v>
      </c>
      <c r="M75" s="18" t="n">
        <v>0</v>
      </c>
      <c r="N75" s="20" t="n">
        <v>0</v>
      </c>
      <c r="O75" s="18" t="n">
        <v>0</v>
      </c>
      <c r="P75" s="20" t="n">
        <v>0</v>
      </c>
      <c r="Q75" s="18" t="n">
        <v>7.39304805</v>
      </c>
      <c r="R75" s="20" t="n">
        <v>1.22107776</v>
      </c>
    </row>
    <row r="76" spans="1:18">
      <c r="A76" s="15" t="s">
        <v>418</v>
      </c>
      <c r="B76" s="17" t="n">
        <v>14167</v>
      </c>
      <c r="C76" s="18">
        <f>(12475.0/B76*100)</f>
        <v/>
      </c>
      <c r="D76" s="19" t="n">
        <v>1692</v>
      </c>
      <c r="E76" s="18" t="n">
        <v>57.82206771</v>
      </c>
      <c r="F76" s="20" t="n">
        <v>1.3568334</v>
      </c>
      <c r="G76" s="18" t="n">
        <v>38.58910606</v>
      </c>
      <c r="H76" s="20" t="n">
        <v>1.35239155</v>
      </c>
      <c r="I76" s="18" t="s">
        <v>349</v>
      </c>
      <c r="J76" s="20" t="s">
        <v>349</v>
      </c>
      <c r="K76" s="18" t="n">
        <v>0.42198444</v>
      </c>
      <c r="L76" s="20" t="n">
        <v>0.19592435</v>
      </c>
      <c r="M76" s="18" t="n">
        <v>0</v>
      </c>
      <c r="N76" s="20" t="n">
        <v>0</v>
      </c>
      <c r="O76" s="18" t="n">
        <v>0</v>
      </c>
      <c r="P76" s="20" t="n">
        <v>0</v>
      </c>
      <c r="Q76" s="18" t="n">
        <v>3.16684179</v>
      </c>
      <c r="R76" s="20" t="n">
        <v>0.61627933</v>
      </c>
    </row>
    <row r="77" spans="1:18">
      <c r="A77" s="15" t="s">
        <v>419</v>
      </c>
      <c r="B77" s="17" t="n">
        <v>6062</v>
      </c>
      <c r="C77" s="18">
        <f>(5325.0/B77*100)</f>
        <v/>
      </c>
      <c r="D77" s="19" t="n">
        <v>737</v>
      </c>
      <c r="E77" s="18" t="n">
        <v>51.97068179</v>
      </c>
      <c r="F77" s="20" t="n">
        <v>1.86951357</v>
      </c>
      <c r="G77" s="18" t="n">
        <v>45.46952481</v>
      </c>
      <c r="H77" s="20" t="n">
        <v>1.86522286</v>
      </c>
      <c r="I77" s="18" t="s">
        <v>349</v>
      </c>
      <c r="J77" s="20" t="s">
        <v>349</v>
      </c>
      <c r="K77" s="18" t="n">
        <v>0.32016196</v>
      </c>
      <c r="L77" s="20" t="n">
        <v>0.25512312</v>
      </c>
      <c r="M77" s="18" t="n">
        <v>0</v>
      </c>
      <c r="N77" s="20" t="n">
        <v>0</v>
      </c>
      <c r="O77" s="18" t="n">
        <v>0</v>
      </c>
      <c r="P77" s="20" t="n">
        <v>0</v>
      </c>
      <c r="Q77" s="18" t="n">
        <v>2.23963144</v>
      </c>
      <c r="R77" s="20" t="n">
        <v>0.5304959299999999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(7766.0/B81*100)</f>
        <v/>
      </c>
      <c r="D81" s="19" t="n">
        <v>1095</v>
      </c>
      <c r="E81" s="18" t="n">
        <v>50.77217019</v>
      </c>
      <c r="F81" s="20" t="n">
        <v>1.98165744</v>
      </c>
      <c r="G81" s="18" t="n">
        <v>46.75452345</v>
      </c>
      <c r="H81" s="20" t="n">
        <v>2.15008259</v>
      </c>
      <c r="I81" s="18" t="s">
        <v>349</v>
      </c>
      <c r="J81" s="20" t="s">
        <v>349</v>
      </c>
      <c r="K81" s="18" t="n">
        <v>0</v>
      </c>
      <c r="L81" s="20" t="n">
        <v>0</v>
      </c>
      <c r="M81" s="18" t="n">
        <v>0</v>
      </c>
      <c r="N81" s="20" t="n">
        <v>0</v>
      </c>
      <c r="O81" s="18" t="n">
        <v>0</v>
      </c>
      <c r="P81" s="20" t="n">
        <v>0</v>
      </c>
      <c r="Q81" s="18" t="n">
        <v>2.47330636</v>
      </c>
      <c r="R81" s="20" t="n">
        <v>0.56223829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(12738.0/B7*100)</f>
        <v/>
      </c>
      <c r="D7" s="19" t="n">
        <v>1792</v>
      </c>
      <c r="E7" s="18" t="n">
        <v>54.35816866</v>
      </c>
      <c r="F7" s="20" t="n">
        <v>1.44373813</v>
      </c>
      <c r="G7" s="18" t="n">
        <v>43.70426188</v>
      </c>
      <c r="H7" s="20" t="n">
        <v>1.47577897</v>
      </c>
      <c r="I7" s="18" t="s">
        <v>349</v>
      </c>
      <c r="J7" s="20" t="s">
        <v>349</v>
      </c>
      <c r="K7" s="18" t="n">
        <v>0.47575899</v>
      </c>
      <c r="L7" s="20" t="n">
        <v>0.195392</v>
      </c>
      <c r="M7" s="18" t="n">
        <v>0</v>
      </c>
      <c r="N7" s="20" t="n">
        <v>0</v>
      </c>
      <c r="O7" s="18" t="n">
        <v>0</v>
      </c>
      <c r="P7" s="20" t="n">
        <v>0</v>
      </c>
      <c r="Q7" s="18" t="n">
        <v>1.46181047</v>
      </c>
      <c r="R7" s="20" t="n">
        <v>0.27480099</v>
      </c>
    </row>
    <row r="8" spans="1:18">
      <c r="A8" s="15" t="s">
        <v>350</v>
      </c>
      <c r="B8" s="17" t="n">
        <v>7007</v>
      </c>
      <c r="C8" s="18">
        <f>(6156.0/B8*100)</f>
        <v/>
      </c>
      <c r="D8" s="19" t="n">
        <v>851</v>
      </c>
      <c r="E8" s="18" t="n">
        <v>52.46889408</v>
      </c>
      <c r="F8" s="20" t="n">
        <v>1.90459483</v>
      </c>
      <c r="G8" s="18" t="n">
        <v>46.26867754</v>
      </c>
      <c r="H8" s="20" t="n">
        <v>1.9217593</v>
      </c>
      <c r="I8" s="18" t="s">
        <v>349</v>
      </c>
      <c r="J8" s="20" t="s">
        <v>349</v>
      </c>
      <c r="K8" s="18" t="n">
        <v>0</v>
      </c>
      <c r="L8" s="20" t="n">
        <v>0</v>
      </c>
      <c r="M8" s="18" t="n">
        <v>0</v>
      </c>
      <c r="N8" s="20" t="n">
        <v>0</v>
      </c>
      <c r="O8" s="18" t="n">
        <v>0</v>
      </c>
      <c r="P8" s="20" t="n">
        <v>0</v>
      </c>
      <c r="Q8" s="18" t="n">
        <v>1.26242838</v>
      </c>
      <c r="R8" s="20" t="n">
        <v>0.35733946</v>
      </c>
    </row>
    <row r="9" spans="1:18">
      <c r="A9" s="15" t="s">
        <v>351</v>
      </c>
      <c r="B9" s="17" t="n">
        <v>9651</v>
      </c>
      <c r="C9" s="18">
        <f>(8505.0/B9*100)</f>
        <v/>
      </c>
      <c r="D9" s="19" t="n">
        <v>1146</v>
      </c>
      <c r="E9" s="18" t="n">
        <v>53.45759371</v>
      </c>
      <c r="F9" s="20" t="n">
        <v>1.55992597</v>
      </c>
      <c r="G9" s="18" t="n">
        <v>45.43215592</v>
      </c>
      <c r="H9" s="20" t="n">
        <v>1.58101097</v>
      </c>
      <c r="I9" s="18" t="s">
        <v>349</v>
      </c>
      <c r="J9" s="20" t="s">
        <v>349</v>
      </c>
      <c r="K9" s="18" t="n">
        <v>0.12130257</v>
      </c>
      <c r="L9" s="20" t="n">
        <v>0.1208413</v>
      </c>
      <c r="M9" s="18" t="n">
        <v>0</v>
      </c>
      <c r="N9" s="20" t="n">
        <v>0</v>
      </c>
      <c r="O9" s="18" t="n">
        <v>0</v>
      </c>
      <c r="P9" s="20" t="n">
        <v>0</v>
      </c>
      <c r="Q9" s="18" t="n">
        <v>0.9889478</v>
      </c>
      <c r="R9" s="20" t="n">
        <v>0.296111</v>
      </c>
    </row>
    <row r="10" spans="1:18">
      <c r="A10" s="15" t="s">
        <v>352</v>
      </c>
      <c r="B10" s="17" t="n">
        <v>20058</v>
      </c>
      <c r="C10" s="18">
        <f>(17594.0/B10*100)</f>
        <v/>
      </c>
      <c r="D10" s="19" t="n">
        <v>2464</v>
      </c>
      <c r="E10" s="18" t="n">
        <v>49.89264089</v>
      </c>
      <c r="F10" s="20" t="n">
        <v>1.51274969</v>
      </c>
      <c r="G10" s="18" t="n">
        <v>48.79192921</v>
      </c>
      <c r="H10" s="20" t="n">
        <v>1.47727038</v>
      </c>
      <c r="I10" s="18" t="s">
        <v>349</v>
      </c>
      <c r="J10" s="20" t="s">
        <v>349</v>
      </c>
      <c r="K10" s="18" t="n">
        <v>0.09064456</v>
      </c>
      <c r="L10" s="20" t="n">
        <v>0.03956612</v>
      </c>
      <c r="M10" s="18" t="n">
        <v>0</v>
      </c>
      <c r="N10" s="20" t="n">
        <v>0</v>
      </c>
      <c r="O10" s="18" t="n">
        <v>0</v>
      </c>
      <c r="P10" s="20" t="n">
        <v>0</v>
      </c>
      <c r="Q10" s="18" t="n">
        <v>1.22478534</v>
      </c>
      <c r="R10" s="20" t="n">
        <v>0.39495725</v>
      </c>
    </row>
    <row r="11" spans="1:18">
      <c r="A11" s="15" t="s">
        <v>353</v>
      </c>
      <c r="B11" s="17" t="n">
        <v>7053</v>
      </c>
      <c r="C11" s="18">
        <f>(6205.0/B11*100)</f>
        <v/>
      </c>
      <c r="D11" s="19" t="n">
        <v>848</v>
      </c>
      <c r="E11" s="18" t="n">
        <v>68.38418513000001</v>
      </c>
      <c r="F11" s="20" t="n">
        <v>2.0504999</v>
      </c>
      <c r="G11" s="18" t="n">
        <v>29.387845</v>
      </c>
      <c r="H11" s="20" t="n">
        <v>1.93396424</v>
      </c>
      <c r="I11" s="18" t="s">
        <v>349</v>
      </c>
      <c r="J11" s="20" t="s">
        <v>349</v>
      </c>
      <c r="K11" s="18" t="n">
        <v>0.34756632</v>
      </c>
      <c r="L11" s="20" t="n">
        <v>0.21817579</v>
      </c>
      <c r="M11" s="18" t="n">
        <v>0</v>
      </c>
      <c r="N11" s="20" t="n">
        <v>0</v>
      </c>
      <c r="O11" s="18" t="n">
        <v>0</v>
      </c>
      <c r="P11" s="20" t="n">
        <v>0</v>
      </c>
      <c r="Q11" s="18" t="n">
        <v>1.88040355</v>
      </c>
      <c r="R11" s="20" t="n">
        <v>0.56205446</v>
      </c>
    </row>
    <row r="12" spans="1:18">
      <c r="A12" s="15" t="s">
        <v>354</v>
      </c>
      <c r="B12" s="17" t="n">
        <v>6894</v>
      </c>
      <c r="C12" s="18">
        <f>(6041.0/B12*100)</f>
        <v/>
      </c>
      <c r="D12" s="19" t="n">
        <v>853</v>
      </c>
      <c r="E12" s="18" t="n">
        <v>51.09935047</v>
      </c>
      <c r="F12" s="20" t="n">
        <v>1.72011528</v>
      </c>
      <c r="G12" s="18" t="n">
        <v>47.82706091</v>
      </c>
      <c r="H12" s="20" t="n">
        <v>1.75123717</v>
      </c>
      <c r="I12" s="18" t="s">
        <v>349</v>
      </c>
      <c r="J12" s="20" t="s">
        <v>349</v>
      </c>
      <c r="K12" s="18" t="n">
        <v>0</v>
      </c>
      <c r="L12" s="20" t="n">
        <v>0</v>
      </c>
      <c r="M12" s="18" t="n">
        <v>0</v>
      </c>
      <c r="N12" s="20" t="n">
        <v>0</v>
      </c>
      <c r="O12" s="18" t="n">
        <v>0</v>
      </c>
      <c r="P12" s="20" t="n">
        <v>0</v>
      </c>
      <c r="Q12" s="18" t="n">
        <v>1.07358862</v>
      </c>
      <c r="R12" s="20" t="n">
        <v>0.42822152</v>
      </c>
    </row>
    <row r="13" spans="1:18">
      <c r="A13" s="15" t="s">
        <v>355</v>
      </c>
      <c r="B13" s="17" t="n">
        <v>7161</v>
      </c>
      <c r="C13" s="18">
        <f>(6291.0/B13*100)</f>
        <v/>
      </c>
      <c r="D13" s="19" t="n">
        <v>870</v>
      </c>
      <c r="E13" s="18" t="n">
        <v>48.50742908</v>
      </c>
      <c r="F13" s="20" t="n">
        <v>2.06325358</v>
      </c>
      <c r="G13" s="18" t="n">
        <v>49.75304275</v>
      </c>
      <c r="H13" s="20" t="n">
        <v>2.05082</v>
      </c>
      <c r="I13" s="18" t="s">
        <v>349</v>
      </c>
      <c r="J13" s="20" t="s">
        <v>349</v>
      </c>
      <c r="K13" s="18" t="n">
        <v>0.71935774</v>
      </c>
      <c r="L13" s="20" t="n">
        <v>0.4026449</v>
      </c>
      <c r="M13" s="18" t="n">
        <v>0</v>
      </c>
      <c r="N13" s="20" t="n">
        <v>0</v>
      </c>
      <c r="O13" s="18" t="n">
        <v>0</v>
      </c>
      <c r="P13" s="20" t="n">
        <v>0</v>
      </c>
      <c r="Q13" s="18" t="n">
        <v>1.02017043</v>
      </c>
      <c r="R13" s="20" t="n">
        <v>0.35402685</v>
      </c>
    </row>
    <row r="14" spans="1:18">
      <c r="A14" s="15" t="s">
        <v>356</v>
      </c>
      <c r="B14" s="17" t="n">
        <v>5587</v>
      </c>
      <c r="C14" s="18">
        <f>(4899.0/B14*100)</f>
        <v/>
      </c>
      <c r="D14" s="19" t="n">
        <v>688</v>
      </c>
      <c r="E14" s="18" t="n">
        <v>50.95874833</v>
      </c>
      <c r="F14" s="20" t="n">
        <v>2.26817038</v>
      </c>
      <c r="G14" s="18" t="n">
        <v>48.66571899</v>
      </c>
      <c r="H14" s="20" t="n">
        <v>2.27281895</v>
      </c>
      <c r="I14" s="18" t="s">
        <v>349</v>
      </c>
      <c r="J14" s="20" t="s">
        <v>349</v>
      </c>
      <c r="K14" s="18" t="n">
        <v>0</v>
      </c>
      <c r="L14" s="20" t="n">
        <v>0</v>
      </c>
      <c r="M14" s="18" t="n">
        <v>0</v>
      </c>
      <c r="N14" s="20" t="n">
        <v>0</v>
      </c>
      <c r="O14" s="18" t="n">
        <v>0</v>
      </c>
      <c r="P14" s="20" t="n">
        <v>0</v>
      </c>
      <c r="Q14" s="18" t="n">
        <v>0.37553269</v>
      </c>
      <c r="R14" s="20" t="n">
        <v>0.21055814</v>
      </c>
    </row>
    <row r="15" spans="1:18">
      <c r="A15" s="15" t="s">
        <v>357</v>
      </c>
      <c r="B15" s="17" t="n">
        <v>5882</v>
      </c>
      <c r="C15" s="18">
        <f>(5161.0/B15*100)</f>
        <v/>
      </c>
      <c r="D15" s="19" t="n">
        <v>721</v>
      </c>
      <c r="E15" s="18" t="n">
        <v>47.31144243</v>
      </c>
      <c r="F15" s="20" t="n">
        <v>1.79282974</v>
      </c>
      <c r="G15" s="18" t="n">
        <v>51.65442733</v>
      </c>
      <c r="H15" s="20" t="n">
        <v>1.79121914</v>
      </c>
      <c r="I15" s="18" t="s">
        <v>349</v>
      </c>
      <c r="J15" s="20" t="s">
        <v>349</v>
      </c>
      <c r="K15" s="18" t="n">
        <v>0</v>
      </c>
      <c r="L15" s="20" t="n">
        <v>0</v>
      </c>
      <c r="M15" s="18" t="n">
        <v>0</v>
      </c>
      <c r="N15" s="20" t="n">
        <v>0</v>
      </c>
      <c r="O15" s="18" t="n">
        <v>0</v>
      </c>
      <c r="P15" s="20" t="n">
        <v>0</v>
      </c>
      <c r="Q15" s="18" t="n">
        <v>1.03413024</v>
      </c>
      <c r="R15" s="20" t="n">
        <v>0.37184435</v>
      </c>
    </row>
    <row r="16" spans="1:18">
      <c r="A16" s="15" t="s">
        <v>358</v>
      </c>
      <c r="B16" s="17" t="n">
        <v>6108</v>
      </c>
      <c r="C16" s="18">
        <f>(5379.0/B16*100)</f>
        <v/>
      </c>
      <c r="D16" s="19" t="n">
        <v>729</v>
      </c>
      <c r="E16" s="18" t="n">
        <v>53.83021581</v>
      </c>
      <c r="F16" s="20" t="n">
        <v>1.89562358</v>
      </c>
      <c r="G16" s="18" t="n">
        <v>44.50534042</v>
      </c>
      <c r="H16" s="20" t="n">
        <v>1.85162546</v>
      </c>
      <c r="I16" s="18" t="s">
        <v>349</v>
      </c>
      <c r="J16" s="20" t="s">
        <v>349</v>
      </c>
      <c r="K16" s="18" t="n">
        <v>0.28492274</v>
      </c>
      <c r="L16" s="20" t="n">
        <v>0.20340215</v>
      </c>
      <c r="M16" s="18" t="n">
        <v>0</v>
      </c>
      <c r="N16" s="20" t="n">
        <v>0</v>
      </c>
      <c r="O16" s="18" t="n">
        <v>0</v>
      </c>
      <c r="P16" s="20" t="n">
        <v>0</v>
      </c>
      <c r="Q16" s="18" t="n">
        <v>1.37952103</v>
      </c>
      <c r="R16" s="20" t="n">
        <v>0.4525495</v>
      </c>
    </row>
    <row r="17" spans="1:18">
      <c r="A17" s="15" t="s">
        <v>359</v>
      </c>
      <c r="B17" s="17" t="n">
        <v>6504</v>
      </c>
      <c r="C17" s="18">
        <f>(5708.0/B17*100)</f>
        <v/>
      </c>
      <c r="D17" s="19" t="n">
        <v>796</v>
      </c>
      <c r="E17" s="18" t="n">
        <v>54.90454976</v>
      </c>
      <c r="F17" s="20" t="n">
        <v>1.53269685</v>
      </c>
      <c r="G17" s="18" t="n">
        <v>43.96906319</v>
      </c>
      <c r="H17" s="20" t="n">
        <v>1.52428942</v>
      </c>
      <c r="I17" s="18" t="s">
        <v>349</v>
      </c>
      <c r="J17" s="20" t="s">
        <v>349</v>
      </c>
      <c r="K17" s="18" t="n">
        <v>0.09162975</v>
      </c>
      <c r="L17" s="20" t="n">
        <v>0.09533055999999999</v>
      </c>
      <c r="M17" s="18" t="n">
        <v>0</v>
      </c>
      <c r="N17" s="20" t="n">
        <v>0</v>
      </c>
      <c r="O17" s="18" t="n">
        <v>0</v>
      </c>
      <c r="P17" s="20" t="n">
        <v>0</v>
      </c>
      <c r="Q17" s="18" t="n">
        <v>1.0347573</v>
      </c>
      <c r="R17" s="20" t="n">
        <v>0.36031602</v>
      </c>
    </row>
    <row r="18" spans="1:18">
      <c r="A18" s="15" t="s">
        <v>360</v>
      </c>
      <c r="B18" s="17" t="n">
        <v>5532</v>
      </c>
      <c r="C18" s="18">
        <f>(4847.0/B18*100)</f>
        <v/>
      </c>
      <c r="D18" s="19" t="n">
        <v>685</v>
      </c>
      <c r="E18" s="18" t="n">
        <v>56.9950619</v>
      </c>
      <c r="F18" s="20" t="n">
        <v>2.27032779</v>
      </c>
      <c r="G18" s="18" t="n">
        <v>41.52210188</v>
      </c>
      <c r="H18" s="20" t="n">
        <v>2.21107754</v>
      </c>
      <c r="I18" s="18" t="s">
        <v>349</v>
      </c>
      <c r="J18" s="20" t="s">
        <v>349</v>
      </c>
      <c r="K18" s="18" t="n">
        <v>0</v>
      </c>
      <c r="L18" s="20" t="n">
        <v>0</v>
      </c>
      <c r="M18" s="18" t="n">
        <v>0</v>
      </c>
      <c r="N18" s="20" t="n">
        <v>0</v>
      </c>
      <c r="O18" s="18" t="n">
        <v>0</v>
      </c>
      <c r="P18" s="20" t="n">
        <v>0</v>
      </c>
      <c r="Q18" s="18" t="n">
        <v>1.48283622</v>
      </c>
      <c r="R18" s="20" t="n">
        <v>0.4387961</v>
      </c>
    </row>
    <row r="19" spans="1:18">
      <c r="A19" s="15" t="s">
        <v>361</v>
      </c>
      <c r="B19" s="17" t="n">
        <v>5658</v>
      </c>
      <c r="C19" s="18">
        <f>(4949.0/B19*100)</f>
        <v/>
      </c>
      <c r="D19" s="19" t="n">
        <v>709</v>
      </c>
      <c r="E19" s="18" t="n">
        <v>66.3551975</v>
      </c>
      <c r="F19" s="20" t="n">
        <v>1.91052043</v>
      </c>
      <c r="G19" s="18" t="n">
        <v>32.25449401</v>
      </c>
      <c r="H19" s="20" t="n">
        <v>1.81920709</v>
      </c>
      <c r="I19" s="18" t="s">
        <v>349</v>
      </c>
      <c r="J19" s="20" t="s">
        <v>349</v>
      </c>
      <c r="K19" s="18" t="n">
        <v>0.14591726</v>
      </c>
      <c r="L19" s="20" t="n">
        <v>0.14561805</v>
      </c>
      <c r="M19" s="18" t="n">
        <v>0</v>
      </c>
      <c r="N19" s="20" t="n">
        <v>0</v>
      </c>
      <c r="O19" s="18" t="n">
        <v>0</v>
      </c>
      <c r="P19" s="20" t="n">
        <v>0</v>
      </c>
      <c r="Q19" s="18" t="n">
        <v>1.24439123</v>
      </c>
      <c r="R19" s="20" t="n">
        <v>0.65513999</v>
      </c>
    </row>
    <row r="20" spans="1:18">
      <c r="A20" s="15" t="s">
        <v>362</v>
      </c>
      <c r="B20" s="17" t="n">
        <v>3371</v>
      </c>
      <c r="C20" s="18">
        <f>(2964.0/B20*100)</f>
        <v/>
      </c>
      <c r="D20" s="19" t="n">
        <v>407</v>
      </c>
      <c r="E20" s="18" t="n">
        <v>60.87201634</v>
      </c>
      <c r="F20" s="20" t="n">
        <v>2.3353563</v>
      </c>
      <c r="G20" s="18" t="n">
        <v>36.90486689</v>
      </c>
      <c r="H20" s="20" t="n">
        <v>2.31032894</v>
      </c>
      <c r="I20" s="18" t="s">
        <v>349</v>
      </c>
      <c r="J20" s="20" t="s">
        <v>349</v>
      </c>
      <c r="K20" s="18" t="n">
        <v>0.47603891</v>
      </c>
      <c r="L20" s="20" t="n">
        <v>0.34325303</v>
      </c>
      <c r="M20" s="18" t="n">
        <v>0</v>
      </c>
      <c r="N20" s="20" t="n">
        <v>0</v>
      </c>
      <c r="O20" s="18" t="n">
        <v>0</v>
      </c>
      <c r="P20" s="20" t="n">
        <v>0</v>
      </c>
      <c r="Q20" s="18" t="n">
        <v>1.74707787</v>
      </c>
      <c r="R20" s="20" t="n">
        <v>0.71438267</v>
      </c>
    </row>
    <row r="21" spans="1:18">
      <c r="A21" s="15" t="s">
        <v>363</v>
      </c>
      <c r="B21" s="17" t="n">
        <v>5741</v>
      </c>
      <c r="C21" s="18">
        <f>(4771.0/B21*100)</f>
        <v/>
      </c>
      <c r="D21" s="19" t="n">
        <v>970</v>
      </c>
      <c r="E21" s="18" t="n">
        <v>57.24773338</v>
      </c>
      <c r="F21" s="20" t="n">
        <v>1.55256536</v>
      </c>
      <c r="G21" s="18" t="n">
        <v>41.93897431</v>
      </c>
      <c r="H21" s="20" t="n">
        <v>1.58986582</v>
      </c>
      <c r="I21" s="18" t="s">
        <v>349</v>
      </c>
      <c r="J21" s="20" t="s">
        <v>349</v>
      </c>
      <c r="K21" s="18" t="n">
        <v>0.09823398999999999</v>
      </c>
      <c r="L21" s="20" t="n">
        <v>0.098131</v>
      </c>
      <c r="M21" s="18" t="n">
        <v>0</v>
      </c>
      <c r="N21" s="20" t="n">
        <v>0</v>
      </c>
      <c r="O21" s="18" t="n">
        <v>0</v>
      </c>
      <c r="P21" s="20" t="n">
        <v>0</v>
      </c>
      <c r="Q21" s="18" t="n">
        <v>0.71505832</v>
      </c>
      <c r="R21" s="20" t="n">
        <v>0.32241473</v>
      </c>
    </row>
    <row r="22" spans="1:18">
      <c r="A22" s="15" t="s">
        <v>364</v>
      </c>
      <c r="B22" s="17" t="n">
        <v>6598</v>
      </c>
      <c r="C22" s="18">
        <f>(5770.0/B22*100)</f>
        <v/>
      </c>
      <c r="D22" s="19" t="n">
        <v>828</v>
      </c>
      <c r="E22" s="18" t="n">
        <v>57.05225932</v>
      </c>
      <c r="F22" s="20" t="n">
        <v>1.88117521</v>
      </c>
      <c r="G22" s="18" t="n">
        <v>40.23896942</v>
      </c>
      <c r="H22" s="20" t="n">
        <v>1.91361956</v>
      </c>
      <c r="I22" s="18" t="s">
        <v>349</v>
      </c>
      <c r="J22" s="20" t="s">
        <v>349</v>
      </c>
      <c r="K22" s="18" t="n">
        <v>0.43785883</v>
      </c>
      <c r="L22" s="20" t="n">
        <v>0.28919475</v>
      </c>
      <c r="M22" s="18" t="n">
        <v>0</v>
      </c>
      <c r="N22" s="20" t="n">
        <v>0</v>
      </c>
      <c r="O22" s="18" t="n">
        <v>0</v>
      </c>
      <c r="P22" s="20" t="n">
        <v>0</v>
      </c>
      <c r="Q22" s="18" t="n">
        <v>2.27091242</v>
      </c>
      <c r="R22" s="20" t="n">
        <v>0.70014736</v>
      </c>
    </row>
    <row r="23" spans="1:18">
      <c r="A23" s="15" t="s">
        <v>365</v>
      </c>
      <c r="B23" s="17" t="n">
        <v>11583</v>
      </c>
      <c r="C23" s="18">
        <f>(10154.0/B23*100)</f>
        <v/>
      </c>
      <c r="D23" s="19" t="n">
        <v>1429</v>
      </c>
      <c r="E23" s="18" t="n">
        <v>61.3589112</v>
      </c>
      <c r="F23" s="20" t="n">
        <v>1.83211455</v>
      </c>
      <c r="G23" s="18" t="n">
        <v>36.89402266</v>
      </c>
      <c r="H23" s="20" t="n">
        <v>1.84609302</v>
      </c>
      <c r="I23" s="18" t="s">
        <v>349</v>
      </c>
      <c r="J23" s="20" t="s">
        <v>349</v>
      </c>
      <c r="K23" s="18" t="n">
        <v>0.08320698999999999</v>
      </c>
      <c r="L23" s="20" t="n">
        <v>0.08002761</v>
      </c>
      <c r="M23" s="18" t="n">
        <v>0</v>
      </c>
      <c r="N23" s="20" t="n">
        <v>0</v>
      </c>
      <c r="O23" s="18" t="n">
        <v>0</v>
      </c>
      <c r="P23" s="20" t="n">
        <v>0</v>
      </c>
      <c r="Q23" s="18" t="n">
        <v>1.66385915</v>
      </c>
      <c r="R23" s="20" t="n">
        <v>0.47416375</v>
      </c>
    </row>
    <row r="24" spans="1:18">
      <c r="A24" s="15" t="s">
        <v>366</v>
      </c>
      <c r="B24" s="17" t="n">
        <v>6647</v>
      </c>
      <c r="C24" s="18">
        <f>(5824.0/B24*100)</f>
        <v/>
      </c>
      <c r="D24" s="19" t="n">
        <v>823</v>
      </c>
      <c r="E24" s="18" t="n">
        <v>42.58117669</v>
      </c>
      <c r="F24" s="20" t="n">
        <v>1.58423759</v>
      </c>
      <c r="G24" s="18" t="n">
        <v>56.48613763</v>
      </c>
      <c r="H24" s="20" t="n">
        <v>1.59625608</v>
      </c>
      <c r="I24" s="18" t="s">
        <v>349</v>
      </c>
      <c r="J24" s="20" t="s">
        <v>349</v>
      </c>
      <c r="K24" s="18" t="n">
        <v>0.08640636</v>
      </c>
      <c r="L24" s="20" t="n">
        <v>0.08656612</v>
      </c>
      <c r="M24" s="18" t="n">
        <v>0</v>
      </c>
      <c r="N24" s="20" t="n">
        <v>0</v>
      </c>
      <c r="O24" s="18" t="n">
        <v>0</v>
      </c>
      <c r="P24" s="20" t="n">
        <v>0</v>
      </c>
      <c r="Q24" s="18" t="n">
        <v>0.8462793199999999</v>
      </c>
      <c r="R24" s="20" t="n">
        <v>0.31549263</v>
      </c>
    </row>
    <row r="25" spans="1:18">
      <c r="A25" s="15" t="s">
        <v>367</v>
      </c>
      <c r="B25" s="17" t="n">
        <v>5581</v>
      </c>
      <c r="C25" s="18">
        <f>(4904.0/B25*100)</f>
        <v/>
      </c>
      <c r="D25" s="19" t="n">
        <v>677</v>
      </c>
      <c r="E25" s="18" t="n">
        <v>48.61912568</v>
      </c>
      <c r="F25" s="20" t="n">
        <v>2.31276626</v>
      </c>
      <c r="G25" s="18" t="n">
        <v>50.3663578</v>
      </c>
      <c r="H25" s="20" t="n">
        <v>2.36107066</v>
      </c>
      <c r="I25" s="18" t="s">
        <v>349</v>
      </c>
      <c r="J25" s="20" t="s">
        <v>349</v>
      </c>
      <c r="K25" s="18" t="n">
        <v>0.15393513</v>
      </c>
      <c r="L25" s="20" t="n">
        <v>0.1533296</v>
      </c>
      <c r="M25" s="18" t="n">
        <v>0</v>
      </c>
      <c r="N25" s="20" t="n">
        <v>0</v>
      </c>
      <c r="O25" s="18" t="n">
        <v>0</v>
      </c>
      <c r="P25" s="20" t="n">
        <v>0</v>
      </c>
      <c r="Q25" s="18" t="n">
        <v>0.86058139</v>
      </c>
      <c r="R25" s="20" t="n">
        <v>0.40873342</v>
      </c>
    </row>
    <row r="26" spans="1:18">
      <c r="A26" s="15" t="s">
        <v>368</v>
      </c>
      <c r="B26" s="17" t="n">
        <v>4869</v>
      </c>
      <c r="C26" s="18">
        <f>(4260.0/B26*100)</f>
        <v/>
      </c>
      <c r="D26" s="19" t="n">
        <v>609</v>
      </c>
      <c r="E26" s="18" t="n">
        <v>50.53458782</v>
      </c>
      <c r="F26" s="20" t="n">
        <v>2.26172558</v>
      </c>
      <c r="G26" s="18" t="n">
        <v>49.0478349</v>
      </c>
      <c r="H26" s="20" t="n">
        <v>2.29166137</v>
      </c>
      <c r="I26" s="18" t="s">
        <v>349</v>
      </c>
      <c r="J26" s="20" t="s">
        <v>349</v>
      </c>
      <c r="K26" s="18" t="n">
        <v>0</v>
      </c>
      <c r="L26" s="20" t="n">
        <v>0</v>
      </c>
      <c r="M26" s="18" t="n">
        <v>0</v>
      </c>
      <c r="N26" s="20" t="n">
        <v>0</v>
      </c>
      <c r="O26" s="18" t="n">
        <v>0</v>
      </c>
      <c r="P26" s="20" t="n">
        <v>0</v>
      </c>
      <c r="Q26" s="18" t="n">
        <v>0.41757728</v>
      </c>
      <c r="R26" s="20" t="n">
        <v>0.24091667</v>
      </c>
    </row>
    <row r="27" spans="1:18">
      <c r="A27" s="15" t="s">
        <v>369</v>
      </c>
      <c r="B27" s="17" t="n">
        <v>5299</v>
      </c>
      <c r="C27" s="18">
        <f>(4658.0/B27*100)</f>
        <v/>
      </c>
      <c r="D27" s="19" t="n">
        <v>641</v>
      </c>
      <c r="E27" s="18" t="n">
        <v>58.96778816</v>
      </c>
      <c r="F27" s="20" t="n">
        <v>1.91904675</v>
      </c>
      <c r="G27" s="18" t="n">
        <v>39.94373894</v>
      </c>
      <c r="H27" s="20" t="n">
        <v>1.94303697</v>
      </c>
      <c r="I27" s="18" t="s">
        <v>349</v>
      </c>
      <c r="J27" s="20" t="s">
        <v>349</v>
      </c>
      <c r="K27" s="18" t="n">
        <v>0.15488866</v>
      </c>
      <c r="L27" s="20" t="n">
        <v>0.15427087</v>
      </c>
      <c r="M27" s="18" t="n">
        <v>0</v>
      </c>
      <c r="N27" s="20" t="n">
        <v>0</v>
      </c>
      <c r="O27" s="18" t="n">
        <v>0</v>
      </c>
      <c r="P27" s="20" t="n">
        <v>0</v>
      </c>
      <c r="Q27" s="18" t="n">
        <v>0.93358424</v>
      </c>
      <c r="R27" s="20" t="n">
        <v>0.37664982</v>
      </c>
    </row>
    <row r="28" spans="1:18">
      <c r="A28" s="15" t="s">
        <v>370</v>
      </c>
      <c r="B28" s="17" t="n">
        <v>7568</v>
      </c>
      <c r="C28" s="18">
        <f>(6630.0/B28*100)</f>
        <v/>
      </c>
      <c r="D28" s="19" t="n">
        <v>938</v>
      </c>
      <c r="E28" s="18" t="n">
        <v>70.0414128</v>
      </c>
      <c r="F28" s="20" t="n">
        <v>1.63828459</v>
      </c>
      <c r="G28" s="18" t="n">
        <v>27.91571011</v>
      </c>
      <c r="H28" s="20" t="n">
        <v>1.5977809</v>
      </c>
      <c r="I28" s="18" t="s">
        <v>349</v>
      </c>
      <c r="J28" s="20" t="s">
        <v>349</v>
      </c>
      <c r="K28" s="18" t="n">
        <v>0.30356884</v>
      </c>
      <c r="L28" s="20" t="n">
        <v>0.21788018</v>
      </c>
      <c r="M28" s="18" t="n">
        <v>0</v>
      </c>
      <c r="N28" s="20" t="n">
        <v>0</v>
      </c>
      <c r="O28" s="18" t="n">
        <v>0</v>
      </c>
      <c r="P28" s="20" t="n">
        <v>0</v>
      </c>
      <c r="Q28" s="18" t="n">
        <v>1.73930825</v>
      </c>
      <c r="R28" s="20" t="n">
        <v>0.51405226</v>
      </c>
    </row>
    <row r="29" spans="1:18">
      <c r="A29" s="15" t="s">
        <v>371</v>
      </c>
      <c r="B29" s="17" t="n">
        <v>5385</v>
      </c>
      <c r="C29" s="18">
        <f>(4735.0/B29*100)</f>
        <v/>
      </c>
      <c r="D29" s="19" t="n">
        <v>650</v>
      </c>
      <c r="E29" s="18" t="n">
        <v>50.43613182</v>
      </c>
      <c r="F29" s="20" t="n">
        <v>1.8992763</v>
      </c>
      <c r="G29" s="18" t="n">
        <v>48.44018201</v>
      </c>
      <c r="H29" s="20" t="n">
        <v>1.86755769</v>
      </c>
      <c r="I29" s="18" t="s">
        <v>349</v>
      </c>
      <c r="J29" s="20" t="s">
        <v>349</v>
      </c>
      <c r="K29" s="18" t="n">
        <v>0.19972311</v>
      </c>
      <c r="L29" s="20" t="n">
        <v>0.15347317</v>
      </c>
      <c r="M29" s="18" t="n">
        <v>0</v>
      </c>
      <c r="N29" s="20" t="n">
        <v>0</v>
      </c>
      <c r="O29" s="18" t="n">
        <v>0</v>
      </c>
      <c r="P29" s="20" t="n">
        <v>0</v>
      </c>
      <c r="Q29" s="18" t="n">
        <v>0.9239630599999999</v>
      </c>
      <c r="R29" s="20" t="n">
        <v>0.38204359</v>
      </c>
    </row>
    <row r="30" spans="1:18">
      <c r="A30" s="15" t="s">
        <v>372</v>
      </c>
      <c r="B30" s="17" t="n">
        <v>4520</v>
      </c>
      <c r="C30" s="18">
        <f>(3942.0/B30*100)</f>
        <v/>
      </c>
      <c r="D30" s="19" t="n">
        <v>578</v>
      </c>
      <c r="E30" s="18" t="n">
        <v>52.7040925</v>
      </c>
      <c r="F30" s="20" t="n">
        <v>2.31855487</v>
      </c>
      <c r="G30" s="18" t="n">
        <v>46.29143597</v>
      </c>
      <c r="H30" s="20" t="n">
        <v>2.31072871</v>
      </c>
      <c r="I30" s="18" t="s">
        <v>349</v>
      </c>
      <c r="J30" s="20" t="s">
        <v>349</v>
      </c>
      <c r="K30" s="18" t="n">
        <v>0</v>
      </c>
      <c r="L30" s="20" t="n">
        <v>0</v>
      </c>
      <c r="M30" s="18" t="n">
        <v>0</v>
      </c>
      <c r="N30" s="20" t="n">
        <v>0</v>
      </c>
      <c r="O30" s="18" t="n">
        <v>0</v>
      </c>
      <c r="P30" s="20" t="n">
        <v>0</v>
      </c>
      <c r="Q30" s="18" t="n">
        <v>1.00447153</v>
      </c>
      <c r="R30" s="20" t="n">
        <v>0.47136972</v>
      </c>
    </row>
    <row r="31" spans="1:18">
      <c r="A31" s="15" t="s">
        <v>373</v>
      </c>
      <c r="B31" s="17" t="n">
        <v>5456</v>
      </c>
      <c r="C31" s="18">
        <f>(4805.0/B31*100)</f>
        <v/>
      </c>
      <c r="D31" s="19" t="n">
        <v>651</v>
      </c>
      <c r="E31" s="18" t="n">
        <v>50.35907861</v>
      </c>
      <c r="F31" s="20" t="n">
        <v>2.03999841</v>
      </c>
      <c r="G31" s="18" t="n">
        <v>46.67258645</v>
      </c>
      <c r="H31" s="20" t="n">
        <v>1.86111626</v>
      </c>
      <c r="I31" s="18" t="s">
        <v>349</v>
      </c>
      <c r="J31" s="20" t="s">
        <v>349</v>
      </c>
      <c r="K31" s="18" t="n">
        <v>0.1384388</v>
      </c>
      <c r="L31" s="20" t="n">
        <v>0.13786309</v>
      </c>
      <c r="M31" s="18" t="n">
        <v>0</v>
      </c>
      <c r="N31" s="20" t="n">
        <v>0</v>
      </c>
      <c r="O31" s="18" t="n">
        <v>0</v>
      </c>
      <c r="P31" s="20" t="n">
        <v>0</v>
      </c>
      <c r="Q31" s="18" t="n">
        <v>2.82989613</v>
      </c>
      <c r="R31" s="20" t="n">
        <v>0.61226718</v>
      </c>
    </row>
    <row r="32" spans="1:18">
      <c r="A32" s="15" t="s">
        <v>374</v>
      </c>
      <c r="B32" s="17" t="n">
        <v>4478</v>
      </c>
      <c r="C32" s="18">
        <f>(3741.0/B32*100)</f>
        <v/>
      </c>
      <c r="D32" s="19" t="n">
        <v>737</v>
      </c>
      <c r="E32" s="18" t="n">
        <v>52.24582981</v>
      </c>
      <c r="F32" s="20" t="n">
        <v>1.94056637</v>
      </c>
      <c r="G32" s="18" t="n">
        <v>47.49981926</v>
      </c>
      <c r="H32" s="20" t="n">
        <v>1.94624816</v>
      </c>
      <c r="I32" s="18" t="s">
        <v>349</v>
      </c>
      <c r="J32" s="20" t="s">
        <v>349</v>
      </c>
      <c r="K32" s="18" t="n">
        <v>0.12904646</v>
      </c>
      <c r="L32" s="20" t="n">
        <v>0.13462201</v>
      </c>
      <c r="M32" s="18" t="n">
        <v>0</v>
      </c>
      <c r="N32" s="20" t="n">
        <v>0</v>
      </c>
      <c r="O32" s="18" t="n">
        <v>0</v>
      </c>
      <c r="P32" s="20" t="n">
        <v>0</v>
      </c>
      <c r="Q32" s="18" t="n">
        <v>0.12530448</v>
      </c>
      <c r="R32" s="20" t="n">
        <v>0.12492623</v>
      </c>
    </row>
    <row r="33" spans="1:18">
      <c r="A33" s="15" t="s">
        <v>375</v>
      </c>
      <c r="B33" s="17" t="n">
        <v>7325</v>
      </c>
      <c r="C33" s="18">
        <f>(6425.0/B33*100)</f>
        <v/>
      </c>
      <c r="D33" s="19" t="n">
        <v>900</v>
      </c>
      <c r="E33" s="18" t="n">
        <v>52.84185778</v>
      </c>
      <c r="F33" s="20" t="n">
        <v>2.2517577</v>
      </c>
      <c r="G33" s="18" t="n">
        <v>46.01826148</v>
      </c>
      <c r="H33" s="20" t="n">
        <v>2.24047525</v>
      </c>
      <c r="I33" s="18" t="s">
        <v>349</v>
      </c>
      <c r="J33" s="20" t="s">
        <v>349</v>
      </c>
      <c r="K33" s="18" t="n">
        <v>0.56014317</v>
      </c>
      <c r="L33" s="20" t="n">
        <v>0.53476526</v>
      </c>
      <c r="M33" s="18" t="n">
        <v>0</v>
      </c>
      <c r="N33" s="20" t="n">
        <v>0</v>
      </c>
      <c r="O33" s="18" t="n">
        <v>0</v>
      </c>
      <c r="P33" s="20" t="n">
        <v>0</v>
      </c>
      <c r="Q33" s="18" t="n">
        <v>0.57973757</v>
      </c>
      <c r="R33" s="20" t="n">
        <v>0.33982624</v>
      </c>
    </row>
    <row r="34" spans="1:18">
      <c r="A34" s="15" t="s">
        <v>376</v>
      </c>
      <c r="B34" s="17" t="n">
        <v>6350</v>
      </c>
      <c r="C34" s="18">
        <f>(5572.0/B34*100)</f>
        <v/>
      </c>
      <c r="D34" s="19" t="n">
        <v>778</v>
      </c>
      <c r="E34" s="18" t="n">
        <v>59.11841658</v>
      </c>
      <c r="F34" s="20" t="n">
        <v>1.66977226</v>
      </c>
      <c r="G34" s="18" t="n">
        <v>40.31069784</v>
      </c>
      <c r="H34" s="20" t="n">
        <v>1.65829257</v>
      </c>
      <c r="I34" s="18" t="s">
        <v>349</v>
      </c>
      <c r="J34" s="20" t="s">
        <v>349</v>
      </c>
      <c r="K34" s="18" t="n">
        <v>0</v>
      </c>
      <c r="L34" s="20" t="n">
        <v>0</v>
      </c>
      <c r="M34" s="18" t="n">
        <v>0</v>
      </c>
      <c r="N34" s="20" t="n">
        <v>0</v>
      </c>
      <c r="O34" s="18" t="n">
        <v>0</v>
      </c>
      <c r="P34" s="20" t="n">
        <v>0</v>
      </c>
      <c r="Q34" s="18" t="n">
        <v>0.57088558</v>
      </c>
      <c r="R34" s="20" t="n">
        <v>0.30677347</v>
      </c>
    </row>
    <row r="35" spans="1:18">
      <c r="A35" s="15" t="s">
        <v>377</v>
      </c>
      <c r="B35" s="17" t="n">
        <v>6406</v>
      </c>
      <c r="C35" s="18">
        <f>(5616.0/B35*100)</f>
        <v/>
      </c>
      <c r="D35" s="19" t="n">
        <v>790</v>
      </c>
      <c r="E35" s="18" t="n">
        <v>54.45681406</v>
      </c>
      <c r="F35" s="20" t="n">
        <v>2.18149278</v>
      </c>
      <c r="G35" s="18" t="n">
        <v>45.25049341</v>
      </c>
      <c r="H35" s="20" t="n">
        <v>2.18868115</v>
      </c>
      <c r="I35" s="18" t="s">
        <v>349</v>
      </c>
      <c r="J35" s="20" t="s">
        <v>349</v>
      </c>
      <c r="K35" s="18" t="n">
        <v>0.05074872</v>
      </c>
      <c r="L35" s="20" t="n">
        <v>0.05110515</v>
      </c>
      <c r="M35" s="18" t="n">
        <v>0</v>
      </c>
      <c r="N35" s="20" t="n">
        <v>0</v>
      </c>
      <c r="O35" s="18" t="n">
        <v>0</v>
      </c>
      <c r="P35" s="20" t="n">
        <v>0</v>
      </c>
      <c r="Q35" s="18" t="n">
        <v>0.24194382</v>
      </c>
      <c r="R35" s="20" t="n">
        <v>0.14223926</v>
      </c>
    </row>
    <row r="36" spans="1:18">
      <c r="A36" s="15" t="s">
        <v>378</v>
      </c>
      <c r="B36" s="17" t="n">
        <v>6736</v>
      </c>
      <c r="C36" s="18">
        <f>(5904.0/B36*100)</f>
        <v/>
      </c>
      <c r="D36" s="19" t="n">
        <v>832</v>
      </c>
      <c r="E36" s="18" t="n">
        <v>53.26989155</v>
      </c>
      <c r="F36" s="20" t="n">
        <v>1.86997045</v>
      </c>
      <c r="G36" s="18" t="n">
        <v>45.61463967</v>
      </c>
      <c r="H36" s="20" t="n">
        <v>1.80273384</v>
      </c>
      <c r="I36" s="18" t="s">
        <v>349</v>
      </c>
      <c r="J36" s="20" t="s">
        <v>349</v>
      </c>
      <c r="K36" s="18" t="n">
        <v>0.32194561</v>
      </c>
      <c r="L36" s="20" t="n">
        <v>0.21695291</v>
      </c>
      <c r="M36" s="18" t="n">
        <v>0</v>
      </c>
      <c r="N36" s="20" t="n">
        <v>0</v>
      </c>
      <c r="O36" s="18" t="n">
        <v>0</v>
      </c>
      <c r="P36" s="20" t="n">
        <v>0</v>
      </c>
      <c r="Q36" s="18" t="n">
        <v>0.79352318</v>
      </c>
      <c r="R36" s="20" t="n">
        <v>0.30490764</v>
      </c>
    </row>
    <row r="37" spans="1:18">
      <c r="A37" s="15" t="s">
        <v>379</v>
      </c>
      <c r="B37" s="17" t="n">
        <v>5458</v>
      </c>
      <c r="C37" s="18">
        <f>(4772.0/B37*100)</f>
        <v/>
      </c>
      <c r="D37" s="19" t="n">
        <v>686</v>
      </c>
      <c r="E37" s="18" t="n">
        <v>54.9757412</v>
      </c>
      <c r="F37" s="20" t="n">
        <v>2.30115259</v>
      </c>
      <c r="G37" s="18" t="n">
        <v>43.24131009</v>
      </c>
      <c r="H37" s="20" t="n">
        <v>2.34464565</v>
      </c>
      <c r="I37" s="18" t="s">
        <v>349</v>
      </c>
      <c r="J37" s="20" t="s">
        <v>349</v>
      </c>
      <c r="K37" s="18" t="n">
        <v>0.14710886</v>
      </c>
      <c r="L37" s="20" t="n">
        <v>0.14655585</v>
      </c>
      <c r="M37" s="18" t="n">
        <v>0</v>
      </c>
      <c r="N37" s="20" t="n">
        <v>0</v>
      </c>
      <c r="O37" s="18" t="n">
        <v>0</v>
      </c>
      <c r="P37" s="20" t="n">
        <v>0</v>
      </c>
      <c r="Q37" s="18" t="n">
        <v>1.63583985</v>
      </c>
      <c r="R37" s="20" t="n">
        <v>0.48446745</v>
      </c>
    </row>
    <row r="38" spans="1:18">
      <c r="A38" s="15" t="s">
        <v>380</v>
      </c>
      <c r="B38" s="17" t="n">
        <v>5860</v>
      </c>
      <c r="C38" s="18">
        <f>(4873.0/B38*100)</f>
        <v/>
      </c>
      <c r="D38" s="19" t="n">
        <v>987</v>
      </c>
      <c r="E38" s="18" t="n">
        <v>48.20357783</v>
      </c>
      <c r="F38" s="20" t="n">
        <v>1.85169689</v>
      </c>
      <c r="G38" s="18" t="n">
        <v>50.94072624</v>
      </c>
      <c r="H38" s="20" t="n">
        <v>1.86316861</v>
      </c>
      <c r="I38" s="18" t="s">
        <v>349</v>
      </c>
      <c r="J38" s="20" t="s">
        <v>349</v>
      </c>
      <c r="K38" s="18" t="n">
        <v>0.10027414</v>
      </c>
      <c r="L38" s="20" t="n">
        <v>0.10340555</v>
      </c>
      <c r="M38" s="18" t="n">
        <v>0</v>
      </c>
      <c r="N38" s="20" t="n">
        <v>0</v>
      </c>
      <c r="O38" s="18" t="n">
        <v>0</v>
      </c>
      <c r="P38" s="20" t="n">
        <v>0</v>
      </c>
      <c r="Q38" s="18" t="n">
        <v>0.7554218</v>
      </c>
      <c r="R38" s="20" t="n">
        <v>0.32831591</v>
      </c>
    </row>
    <row r="39" spans="1:18">
      <c r="A39" s="15" t="s">
        <v>381</v>
      </c>
      <c r="B39" s="17" t="n">
        <v>5895</v>
      </c>
      <c r="C39" s="18">
        <f>(5199.0/B39*100)</f>
        <v/>
      </c>
      <c r="D39" s="19" t="n">
        <v>696</v>
      </c>
      <c r="E39" s="18" t="n">
        <v>64.62129812000001</v>
      </c>
      <c r="F39" s="20" t="n">
        <v>2.22155665</v>
      </c>
      <c r="G39" s="18" t="n">
        <v>34.12667273</v>
      </c>
      <c r="H39" s="20" t="n">
        <v>2.30947709</v>
      </c>
      <c r="I39" s="18" t="s">
        <v>349</v>
      </c>
      <c r="J39" s="20" t="s">
        <v>349</v>
      </c>
      <c r="K39" s="18" t="n">
        <v>0.62963902</v>
      </c>
      <c r="L39" s="20" t="n">
        <v>0.34130067</v>
      </c>
      <c r="M39" s="18" t="n">
        <v>0</v>
      </c>
      <c r="N39" s="20" t="n">
        <v>0</v>
      </c>
      <c r="O39" s="18" t="n">
        <v>0</v>
      </c>
      <c r="P39" s="20" t="n">
        <v>0</v>
      </c>
      <c r="Q39" s="18" t="n">
        <v>0.62239013</v>
      </c>
      <c r="R39" s="20" t="n">
        <v>0.31495783</v>
      </c>
    </row>
    <row r="40" spans="1:18">
      <c r="A40" s="15" t="s">
        <v>382</v>
      </c>
      <c r="B40" s="17" t="n">
        <v>14157</v>
      </c>
      <c r="C40" s="18">
        <f>(12420.0/B40*100)</f>
        <v/>
      </c>
      <c r="D40" s="19" t="n">
        <v>1737</v>
      </c>
      <c r="E40" s="18" t="n">
        <v>56.68345148</v>
      </c>
      <c r="F40" s="20" t="n">
        <v>1.8329579</v>
      </c>
      <c r="G40" s="18" t="n">
        <v>41.29191299</v>
      </c>
      <c r="H40" s="20" t="n">
        <v>1.63601921</v>
      </c>
      <c r="I40" s="18" t="s">
        <v>349</v>
      </c>
      <c r="J40" s="20" t="s">
        <v>349</v>
      </c>
      <c r="K40" s="18" t="n">
        <v>0.13892887</v>
      </c>
      <c r="L40" s="20" t="n">
        <v>0.09871231</v>
      </c>
      <c r="M40" s="18" t="n">
        <v>0</v>
      </c>
      <c r="N40" s="20" t="n">
        <v>0</v>
      </c>
      <c r="O40" s="18" t="n">
        <v>0</v>
      </c>
      <c r="P40" s="20" t="n">
        <v>0</v>
      </c>
      <c r="Q40" s="18" t="n">
        <v>1.88570666</v>
      </c>
      <c r="R40" s="20" t="n">
        <v>0.53845476</v>
      </c>
    </row>
    <row r="41" spans="1:18">
      <c r="A41" s="15" t="s">
        <v>383</v>
      </c>
      <c r="B41" s="17" t="n">
        <v>5712</v>
      </c>
      <c r="C41" s="18">
        <f>(4981.0/B41*100)</f>
        <v/>
      </c>
      <c r="D41" s="19" t="n">
        <v>731</v>
      </c>
      <c r="E41" s="18" t="n">
        <v>65.11717566</v>
      </c>
      <c r="F41" s="20" t="n">
        <v>1.78871392</v>
      </c>
      <c r="G41" s="18" t="n">
        <v>34.28527387</v>
      </c>
      <c r="H41" s="20" t="n">
        <v>1.78850848</v>
      </c>
      <c r="I41" s="18" t="s">
        <v>349</v>
      </c>
      <c r="J41" s="20" t="s">
        <v>349</v>
      </c>
      <c r="K41" s="18" t="n">
        <v>0.10493584</v>
      </c>
      <c r="L41" s="20" t="n">
        <v>0.10871142</v>
      </c>
      <c r="M41" s="18" t="n">
        <v>0</v>
      </c>
      <c r="N41" s="20" t="n">
        <v>0</v>
      </c>
      <c r="O41" s="18" t="n">
        <v>0</v>
      </c>
      <c r="P41" s="20" t="n">
        <v>0</v>
      </c>
      <c r="Q41" s="18" t="n">
        <v>0.49261463</v>
      </c>
      <c r="R41" s="20" t="n">
        <v>0.23916317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(20417.0/B46*100)</f>
        <v/>
      </c>
      <c r="D46" s="19" t="n">
        <v>2724</v>
      </c>
      <c r="E46" s="18" t="n">
        <v>75.03075164000001</v>
      </c>
      <c r="F46" s="20" t="n">
        <v>1.06652582</v>
      </c>
      <c r="G46" s="18" t="n">
        <v>19.8199297</v>
      </c>
      <c r="H46" s="20" t="n">
        <v>1.03827025</v>
      </c>
      <c r="I46" s="18" t="s">
        <v>349</v>
      </c>
      <c r="J46" s="20" t="s">
        <v>349</v>
      </c>
      <c r="K46" s="18" t="n">
        <v>0.34745759</v>
      </c>
      <c r="L46" s="20" t="n">
        <v>0.18642022</v>
      </c>
      <c r="M46" s="18" t="n">
        <v>0</v>
      </c>
      <c r="N46" s="20" t="n">
        <v>0</v>
      </c>
      <c r="O46" s="18" t="n">
        <v>0</v>
      </c>
      <c r="P46" s="20" t="n">
        <v>0</v>
      </c>
      <c r="Q46" s="18" t="n">
        <v>4.80186107</v>
      </c>
      <c r="R46" s="20" t="n">
        <v>0.60438906</v>
      </c>
    </row>
    <row r="47" spans="1:18">
      <c r="A47" s="15" t="s">
        <v>389</v>
      </c>
      <c r="B47" s="17" t="n">
        <v>5928</v>
      </c>
      <c r="C47" s="18">
        <f>(5177.0/B47*100)</f>
        <v/>
      </c>
      <c r="D47" s="19" t="n">
        <v>751</v>
      </c>
      <c r="E47" s="18" t="n">
        <v>67.45299774999999</v>
      </c>
      <c r="F47" s="20" t="n">
        <v>1.76376446</v>
      </c>
      <c r="G47" s="18" t="n">
        <v>31.13175577</v>
      </c>
      <c r="H47" s="20" t="n">
        <v>1.81722871</v>
      </c>
      <c r="I47" s="18" t="s">
        <v>349</v>
      </c>
      <c r="J47" s="20" t="s">
        <v>349</v>
      </c>
      <c r="K47" s="18" t="n">
        <v>0</v>
      </c>
      <c r="L47" s="20" t="n">
        <v>0</v>
      </c>
      <c r="M47" s="18" t="n">
        <v>0</v>
      </c>
      <c r="N47" s="20" t="n">
        <v>0</v>
      </c>
      <c r="O47" s="18" t="n">
        <v>0</v>
      </c>
      <c r="P47" s="20" t="n">
        <v>0</v>
      </c>
      <c r="Q47" s="18" t="n">
        <v>1.41524647</v>
      </c>
      <c r="R47" s="20" t="n">
        <v>0.38675539</v>
      </c>
    </row>
    <row r="48" spans="1:18">
      <c r="A48" s="15" t="s">
        <v>390</v>
      </c>
      <c r="B48" s="17" t="n">
        <v>9841</v>
      </c>
      <c r="C48" s="18">
        <f>(8645.0/B48*100)</f>
        <v/>
      </c>
      <c r="D48" s="19" t="n">
        <v>1196</v>
      </c>
      <c r="E48" s="18" t="n">
        <v>44.10572575</v>
      </c>
      <c r="F48" s="20" t="n">
        <v>2.22712941</v>
      </c>
      <c r="G48" s="18" t="n">
        <v>54.52754802</v>
      </c>
      <c r="H48" s="20" t="n">
        <v>2.18855539</v>
      </c>
      <c r="I48" s="18" t="s">
        <v>349</v>
      </c>
      <c r="J48" s="20" t="s">
        <v>349</v>
      </c>
      <c r="K48" s="18" t="n">
        <v>0.42326304</v>
      </c>
      <c r="L48" s="20" t="n">
        <v>0.25714533</v>
      </c>
      <c r="M48" s="18" t="n">
        <v>0</v>
      </c>
      <c r="N48" s="20" t="n">
        <v>0</v>
      </c>
      <c r="O48" s="18" t="n">
        <v>0</v>
      </c>
      <c r="P48" s="20" t="n">
        <v>0</v>
      </c>
      <c r="Q48" s="18" t="n">
        <v>0.9434631999999999</v>
      </c>
      <c r="R48" s="20" t="n">
        <v>0.36720809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(10379.0/B50*100)</f>
        <v/>
      </c>
      <c r="D50" s="19" t="n">
        <v>1416</v>
      </c>
      <c r="E50" s="18" t="n">
        <v>69.33124058</v>
      </c>
      <c r="F50" s="20" t="n">
        <v>1.82699313</v>
      </c>
      <c r="G50" s="18" t="n">
        <v>29.17909705</v>
      </c>
      <c r="H50" s="20" t="n">
        <v>1.86773182</v>
      </c>
      <c r="I50" s="18" t="s">
        <v>349</v>
      </c>
      <c r="J50" s="20" t="s">
        <v>349</v>
      </c>
      <c r="K50" s="18" t="n">
        <v>0.55689061</v>
      </c>
      <c r="L50" s="20" t="n">
        <v>0.27760281</v>
      </c>
      <c r="M50" s="18" t="n">
        <v>0</v>
      </c>
      <c r="N50" s="20" t="n">
        <v>0</v>
      </c>
      <c r="O50" s="18" t="n">
        <v>0</v>
      </c>
      <c r="P50" s="20" t="n">
        <v>0</v>
      </c>
      <c r="Q50" s="18" t="n">
        <v>0.93277177</v>
      </c>
      <c r="R50" s="20" t="n">
        <v>0.37779028</v>
      </c>
    </row>
    <row r="51" spans="1:18">
      <c r="A51" s="15" t="s">
        <v>393</v>
      </c>
      <c r="B51" s="17" t="n">
        <v>6866</v>
      </c>
      <c r="C51" s="18">
        <f>(6116.0/B51*100)</f>
        <v/>
      </c>
      <c r="D51" s="19" t="n">
        <v>750</v>
      </c>
      <c r="E51" s="18" t="n">
        <v>65.85133371000001</v>
      </c>
      <c r="F51" s="20" t="n">
        <v>2.11432058</v>
      </c>
      <c r="G51" s="18" t="n">
        <v>32.84160133</v>
      </c>
      <c r="H51" s="20" t="n">
        <v>2.03969507</v>
      </c>
      <c r="I51" s="18" t="s">
        <v>349</v>
      </c>
      <c r="J51" s="20" t="s">
        <v>349</v>
      </c>
      <c r="K51" s="18" t="n">
        <v>0.30643605</v>
      </c>
      <c r="L51" s="20" t="n">
        <v>0.22010364</v>
      </c>
      <c r="M51" s="18" t="n">
        <v>0</v>
      </c>
      <c r="N51" s="20" t="n">
        <v>0</v>
      </c>
      <c r="O51" s="18" t="n">
        <v>0</v>
      </c>
      <c r="P51" s="20" t="n">
        <v>0</v>
      </c>
      <c r="Q51" s="18" t="n">
        <v>1.00062891</v>
      </c>
      <c r="R51" s="20" t="n">
        <v>0.41225086</v>
      </c>
    </row>
    <row r="52" spans="1:18">
      <c r="A52" s="15" t="s">
        <v>394</v>
      </c>
      <c r="B52" s="17" t="n">
        <v>5809</v>
      </c>
      <c r="C52" s="18">
        <f>(5081.0/B52*100)</f>
        <v/>
      </c>
      <c r="D52" s="19" t="n">
        <v>728</v>
      </c>
      <c r="E52" s="18" t="n">
        <v>64.15108013</v>
      </c>
      <c r="F52" s="20" t="n">
        <v>1.86089407</v>
      </c>
      <c r="G52" s="18" t="n">
        <v>35.03248381</v>
      </c>
      <c r="H52" s="20" t="n">
        <v>1.86496992</v>
      </c>
      <c r="I52" s="18" t="s">
        <v>349</v>
      </c>
      <c r="J52" s="20" t="s">
        <v>349</v>
      </c>
      <c r="K52" s="18" t="n">
        <v>0.10312799</v>
      </c>
      <c r="L52" s="20" t="n">
        <v>0.10328518</v>
      </c>
      <c r="M52" s="18" t="n">
        <v>0</v>
      </c>
      <c r="N52" s="20" t="n">
        <v>0</v>
      </c>
      <c r="O52" s="18" t="n">
        <v>0</v>
      </c>
      <c r="P52" s="20" t="n">
        <v>0</v>
      </c>
      <c r="Q52" s="18" t="n">
        <v>0.71330808</v>
      </c>
      <c r="R52" s="20" t="n">
        <v>0.32870024</v>
      </c>
    </row>
    <row r="53" spans="1:18">
      <c r="A53" s="15" t="s">
        <v>395</v>
      </c>
      <c r="B53" s="17" t="n">
        <v>5571</v>
      </c>
      <c r="C53" s="18">
        <f>(4882.0/B53*100)</f>
        <v/>
      </c>
      <c r="D53" s="19" t="n">
        <v>689</v>
      </c>
      <c r="E53" s="18" t="n">
        <v>59.9671989</v>
      </c>
      <c r="F53" s="20" t="n">
        <v>1.77797837</v>
      </c>
      <c r="G53" s="18" t="n">
        <v>38.99392776</v>
      </c>
      <c r="H53" s="20" t="n">
        <v>1.76670175</v>
      </c>
      <c r="I53" s="18" t="s">
        <v>349</v>
      </c>
      <c r="J53" s="20" t="s">
        <v>349</v>
      </c>
      <c r="K53" s="18" t="n">
        <v>0</v>
      </c>
      <c r="L53" s="20" t="n">
        <v>0</v>
      </c>
      <c r="M53" s="18" t="n">
        <v>0</v>
      </c>
      <c r="N53" s="20" t="n">
        <v>0</v>
      </c>
      <c r="O53" s="18" t="n">
        <v>0</v>
      </c>
      <c r="P53" s="20" t="n">
        <v>0</v>
      </c>
      <c r="Q53" s="18" t="n">
        <v>1.03887333</v>
      </c>
      <c r="R53" s="20" t="n">
        <v>0.35353823</v>
      </c>
    </row>
    <row r="54" spans="1:18">
      <c r="A54" s="15" t="s">
        <v>396</v>
      </c>
      <c r="B54" s="17" t="n">
        <v>4740</v>
      </c>
      <c r="C54" s="18">
        <f>(3948.0/B54*100)</f>
        <v/>
      </c>
      <c r="D54" s="19" t="n">
        <v>792</v>
      </c>
      <c r="E54" s="18" t="n">
        <v>75.65643827</v>
      </c>
      <c r="F54" s="20" t="n">
        <v>1.68367635</v>
      </c>
      <c r="G54" s="18" t="n">
        <v>13.91672418</v>
      </c>
      <c r="H54" s="20" t="n">
        <v>1.09343177</v>
      </c>
      <c r="I54" s="18" t="s">
        <v>349</v>
      </c>
      <c r="J54" s="20" t="s">
        <v>349</v>
      </c>
      <c r="K54" s="18" t="n">
        <v>4.79957682</v>
      </c>
      <c r="L54" s="20" t="n">
        <v>0.8499566200000001</v>
      </c>
      <c r="M54" s="18" t="n">
        <v>0</v>
      </c>
      <c r="N54" s="20" t="n">
        <v>0</v>
      </c>
      <c r="O54" s="18" t="n">
        <v>0</v>
      </c>
      <c r="P54" s="20" t="n">
        <v>0</v>
      </c>
      <c r="Q54" s="18" t="n">
        <v>5.62726073</v>
      </c>
      <c r="R54" s="20" t="n">
        <v>0.98260689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(4703.0/B56*100)</f>
        <v/>
      </c>
      <c r="D56" s="19" t="n">
        <v>656</v>
      </c>
      <c r="E56" s="18" t="n">
        <v>43.73291916</v>
      </c>
      <c r="F56" s="20" t="n">
        <v>2.220354</v>
      </c>
      <c r="G56" s="18" t="n">
        <v>55.57901153</v>
      </c>
      <c r="H56" s="20" t="n">
        <v>2.26144461</v>
      </c>
      <c r="I56" s="18" t="s">
        <v>349</v>
      </c>
      <c r="J56" s="20" t="s">
        <v>349</v>
      </c>
      <c r="K56" s="18" t="n">
        <v>0.12681806</v>
      </c>
      <c r="L56" s="20" t="n">
        <v>0.12907317</v>
      </c>
      <c r="M56" s="18" t="n">
        <v>0</v>
      </c>
      <c r="N56" s="20" t="n">
        <v>0</v>
      </c>
      <c r="O56" s="18" t="n">
        <v>0</v>
      </c>
      <c r="P56" s="20" t="n">
        <v>0</v>
      </c>
      <c r="Q56" s="18" t="n">
        <v>0.56125125</v>
      </c>
      <c r="R56" s="20" t="n">
        <v>0.63060809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(5712.0/B61*100)</f>
        <v/>
      </c>
      <c r="D61" s="19" t="n">
        <v>813</v>
      </c>
      <c r="E61" s="18" t="n">
        <v>53.41810595</v>
      </c>
      <c r="F61" s="20" t="n">
        <v>1.96166367</v>
      </c>
      <c r="G61" s="18" t="n">
        <v>45.53935263</v>
      </c>
      <c r="H61" s="20" t="n">
        <v>2.06136638</v>
      </c>
      <c r="I61" s="18" t="s">
        <v>349</v>
      </c>
      <c r="J61" s="20" t="s">
        <v>349</v>
      </c>
      <c r="K61" s="18" t="n">
        <v>0.35981358</v>
      </c>
      <c r="L61" s="20" t="n">
        <v>0.35243108</v>
      </c>
      <c r="M61" s="18" t="n">
        <v>0</v>
      </c>
      <c r="N61" s="20" t="n">
        <v>0</v>
      </c>
      <c r="O61" s="18" t="n">
        <v>0</v>
      </c>
      <c r="P61" s="20" t="n">
        <v>0</v>
      </c>
      <c r="Q61" s="18" t="n">
        <v>0.68272783</v>
      </c>
      <c r="R61" s="20" t="n">
        <v>0.36508492</v>
      </c>
    </row>
    <row r="62" spans="1:18">
      <c r="A62" s="15" t="s">
        <v>404</v>
      </c>
      <c r="B62" s="17" t="n">
        <v>4476</v>
      </c>
      <c r="C62" s="18">
        <f>(3922.0/B62*100)</f>
        <v/>
      </c>
      <c r="D62" s="19" t="n">
        <v>554</v>
      </c>
      <c r="E62" s="18" t="n">
        <v>43.66119819</v>
      </c>
      <c r="F62" s="20" t="n">
        <v>1.9758272</v>
      </c>
      <c r="G62" s="18" t="n">
        <v>56.33880181</v>
      </c>
      <c r="H62" s="20" t="n">
        <v>1.9758272</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68.67411337999999</v>
      </c>
      <c r="F66" s="20" t="n">
        <v>1.83915191</v>
      </c>
      <c r="G66" s="18" t="n">
        <v>26.79279518</v>
      </c>
      <c r="H66" s="20" t="n">
        <v>1.66937126</v>
      </c>
      <c r="I66" s="18" t="s">
        <v>349</v>
      </c>
      <c r="J66" s="20" t="s">
        <v>349</v>
      </c>
      <c r="K66" s="18" t="n">
        <v>0.12572652</v>
      </c>
      <c r="L66" s="20" t="n">
        <v>0.12571312</v>
      </c>
      <c r="M66" s="18" t="n">
        <v>0</v>
      </c>
      <c r="N66" s="20" t="n">
        <v>0</v>
      </c>
      <c r="O66" s="18" t="n">
        <v>0</v>
      </c>
      <c r="P66" s="20" t="n">
        <v>0</v>
      </c>
      <c r="Q66" s="18" t="n">
        <v>4.40736493</v>
      </c>
      <c r="R66" s="20" t="n">
        <v>0.90165119</v>
      </c>
    </row>
    <row r="67" spans="1:18">
      <c r="A67" s="15" t="s">
        <v>409</v>
      </c>
      <c r="B67" s="17" t="n">
        <v>6971</v>
      </c>
      <c r="C67" s="18">
        <f>(6123.0/B67*100)</f>
        <v/>
      </c>
      <c r="D67" s="19" t="n">
        <v>848</v>
      </c>
      <c r="E67" s="18" t="n">
        <v>68.44197278</v>
      </c>
      <c r="F67" s="20" t="n">
        <v>1.54120342</v>
      </c>
      <c r="G67" s="18" t="n">
        <v>27.74767246</v>
      </c>
      <c r="H67" s="20" t="n">
        <v>1.51578416</v>
      </c>
      <c r="I67" s="18" t="s">
        <v>349</v>
      </c>
      <c r="J67" s="20" t="s">
        <v>349</v>
      </c>
      <c r="K67" s="18" t="n">
        <v>0.1549564</v>
      </c>
      <c r="L67" s="20" t="n">
        <v>0.15496621</v>
      </c>
      <c r="M67" s="18" t="n">
        <v>0</v>
      </c>
      <c r="N67" s="20" t="n">
        <v>0</v>
      </c>
      <c r="O67" s="18" t="n">
        <v>0</v>
      </c>
      <c r="P67" s="20" t="n">
        <v>0</v>
      </c>
      <c r="Q67" s="18" t="n">
        <v>3.65539837</v>
      </c>
      <c r="R67" s="20" t="n">
        <v>0.76438693</v>
      </c>
    </row>
    <row r="68" spans="1:18">
      <c r="A68" s="15" t="s">
        <v>410</v>
      </c>
      <c r="B68" s="17" t="n">
        <v>12083</v>
      </c>
      <c r="C68" s="18">
        <f>(10093.0/B68*100)</f>
        <v/>
      </c>
      <c r="D68" s="19" t="n">
        <v>1990</v>
      </c>
      <c r="E68" s="18" t="n">
        <v>69.50828395000001</v>
      </c>
      <c r="F68" s="20" t="n">
        <v>1.08503779</v>
      </c>
      <c r="G68" s="18" t="n">
        <v>27.1945169</v>
      </c>
      <c r="H68" s="20" t="n">
        <v>1.01152159</v>
      </c>
      <c r="I68" s="18" t="s">
        <v>349</v>
      </c>
      <c r="J68" s="20" t="s">
        <v>349</v>
      </c>
      <c r="K68" s="18" t="n">
        <v>1.19519757</v>
      </c>
      <c r="L68" s="20" t="n">
        <v>0.24607983</v>
      </c>
      <c r="M68" s="18" t="n">
        <v>0</v>
      </c>
      <c r="N68" s="20" t="n">
        <v>0</v>
      </c>
      <c r="O68" s="18" t="n">
        <v>0</v>
      </c>
      <c r="P68" s="20" t="n">
        <v>0</v>
      </c>
      <c r="Q68" s="18" t="n">
        <v>2.10200158</v>
      </c>
      <c r="R68" s="20" t="n">
        <v>0.31874073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(5310.0/B70*100)</f>
        <v/>
      </c>
      <c r="D70" s="19" t="n">
        <v>726</v>
      </c>
      <c r="E70" s="18" t="n">
        <v>56.86337646</v>
      </c>
      <c r="F70" s="20" t="n">
        <v>1.84301407</v>
      </c>
      <c r="G70" s="18" t="n">
        <v>42.10307647</v>
      </c>
      <c r="H70" s="20" t="n">
        <v>1.8361177</v>
      </c>
      <c r="I70" s="18" t="s">
        <v>349</v>
      </c>
      <c r="J70" s="20" t="s">
        <v>349</v>
      </c>
      <c r="K70" s="18" t="n">
        <v>0.16669773</v>
      </c>
      <c r="L70" s="20" t="n">
        <v>0.11713832</v>
      </c>
      <c r="M70" s="18" t="n">
        <v>0</v>
      </c>
      <c r="N70" s="20" t="n">
        <v>0</v>
      </c>
      <c r="O70" s="18" t="n">
        <v>0</v>
      </c>
      <c r="P70" s="20" t="n">
        <v>0</v>
      </c>
      <c r="Q70" s="18" t="n">
        <v>0.86684934</v>
      </c>
      <c r="R70" s="20" t="n">
        <v>0.24565</v>
      </c>
    </row>
    <row r="71" spans="1:18">
      <c r="A71" s="15" t="s">
        <v>413</v>
      </c>
      <c r="B71" s="17" t="n">
        <v>6115</v>
      </c>
      <c r="C71" s="18">
        <f>(5378.0/B71*100)</f>
        <v/>
      </c>
      <c r="D71" s="19" t="n">
        <v>737</v>
      </c>
      <c r="E71" s="18" t="n">
        <v>48.34201249</v>
      </c>
      <c r="F71" s="20" t="n">
        <v>1.77421268</v>
      </c>
      <c r="G71" s="18" t="n">
        <v>51.23738917</v>
      </c>
      <c r="H71" s="20" t="n">
        <v>1.80199638</v>
      </c>
      <c r="I71" s="18" t="s">
        <v>349</v>
      </c>
      <c r="J71" s="20" t="s">
        <v>349</v>
      </c>
      <c r="K71" s="18" t="n">
        <v>0.16091157</v>
      </c>
      <c r="L71" s="20" t="n">
        <v>0.16076994</v>
      </c>
      <c r="M71" s="18" t="n">
        <v>0</v>
      </c>
      <c r="N71" s="20" t="n">
        <v>0</v>
      </c>
      <c r="O71" s="18" t="n">
        <v>0</v>
      </c>
      <c r="P71" s="20" t="n">
        <v>0</v>
      </c>
      <c r="Q71" s="18" t="n">
        <v>0.25968678</v>
      </c>
      <c r="R71" s="20" t="n">
        <v>0.18365396</v>
      </c>
    </row>
    <row r="72" spans="1:18">
      <c r="A72" s="15" t="s">
        <v>414</v>
      </c>
      <c r="B72" s="17" t="n">
        <v>7708</v>
      </c>
      <c r="C72" s="18">
        <f>(6752.0/B72*100)</f>
        <v/>
      </c>
      <c r="D72" s="19" t="n">
        <v>956</v>
      </c>
      <c r="E72" s="18" t="n">
        <v>41.63625539</v>
      </c>
      <c r="F72" s="20" t="n">
        <v>1.7291539</v>
      </c>
      <c r="G72" s="18" t="n">
        <v>58.1113473</v>
      </c>
      <c r="H72" s="20" t="n">
        <v>1.73092642</v>
      </c>
      <c r="I72" s="18" t="s">
        <v>349</v>
      </c>
      <c r="J72" s="20" t="s">
        <v>349</v>
      </c>
      <c r="K72" s="18" t="n">
        <v>0</v>
      </c>
      <c r="L72" s="20" t="n">
        <v>0</v>
      </c>
      <c r="M72" s="18" t="n">
        <v>0</v>
      </c>
      <c r="N72" s="20" t="n">
        <v>0</v>
      </c>
      <c r="O72" s="18" t="n">
        <v>0</v>
      </c>
      <c r="P72" s="20" t="n">
        <v>0</v>
      </c>
      <c r="Q72" s="18" t="n">
        <v>0.25239731</v>
      </c>
      <c r="R72" s="20" t="n">
        <v>0.18089286</v>
      </c>
    </row>
    <row r="73" spans="1:18">
      <c r="A73" s="15" t="s">
        <v>415</v>
      </c>
      <c r="B73" s="17" t="n">
        <v>8249</v>
      </c>
      <c r="C73" s="18">
        <f>(7229.0/B73*100)</f>
        <v/>
      </c>
      <c r="D73" s="19" t="n">
        <v>1020</v>
      </c>
      <c r="E73" s="18" t="n">
        <v>58.57178035</v>
      </c>
      <c r="F73" s="20" t="n">
        <v>1.71019709</v>
      </c>
      <c r="G73" s="18" t="n">
        <v>40.22834117</v>
      </c>
      <c r="H73" s="20" t="n">
        <v>1.67630477</v>
      </c>
      <c r="I73" s="18" t="s">
        <v>349</v>
      </c>
      <c r="J73" s="20" t="s">
        <v>349</v>
      </c>
      <c r="K73" s="18" t="n">
        <v>0</v>
      </c>
      <c r="L73" s="20" t="n">
        <v>0</v>
      </c>
      <c r="M73" s="18" t="n">
        <v>0</v>
      </c>
      <c r="N73" s="20" t="n">
        <v>0</v>
      </c>
      <c r="O73" s="18" t="n">
        <v>0</v>
      </c>
      <c r="P73" s="20" t="n">
        <v>0</v>
      </c>
      <c r="Q73" s="18" t="n">
        <v>1.19987848</v>
      </c>
      <c r="R73" s="20" t="n">
        <v>0.41558093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(4743.0/B75*100)</f>
        <v/>
      </c>
      <c r="D75" s="19" t="n">
        <v>632</v>
      </c>
      <c r="E75" s="18" t="n">
        <v>61.78258866</v>
      </c>
      <c r="F75" s="20" t="n">
        <v>2.01564826</v>
      </c>
      <c r="G75" s="18" t="n">
        <v>34.37989678</v>
      </c>
      <c r="H75" s="20" t="n">
        <v>2.04849924</v>
      </c>
      <c r="I75" s="18" t="s">
        <v>349</v>
      </c>
      <c r="J75" s="20" t="s">
        <v>349</v>
      </c>
      <c r="K75" s="18" t="n">
        <v>0.8376280699999999</v>
      </c>
      <c r="L75" s="20" t="n">
        <v>0.42929027</v>
      </c>
      <c r="M75" s="18" t="n">
        <v>0</v>
      </c>
      <c r="N75" s="20" t="n">
        <v>0</v>
      </c>
      <c r="O75" s="18" t="n">
        <v>0</v>
      </c>
      <c r="P75" s="20" t="n">
        <v>0</v>
      </c>
      <c r="Q75" s="18" t="n">
        <v>2.99988648</v>
      </c>
      <c r="R75" s="20" t="n">
        <v>0.7530533</v>
      </c>
    </row>
    <row r="76" spans="1:18">
      <c r="A76" s="15" t="s">
        <v>418</v>
      </c>
      <c r="B76" s="17" t="n">
        <v>14167</v>
      </c>
      <c r="C76" s="18">
        <f>(12474.0/B76*100)</f>
        <v/>
      </c>
      <c r="D76" s="19" t="n">
        <v>1693</v>
      </c>
      <c r="E76" s="18" t="n">
        <v>64.21307906</v>
      </c>
      <c r="F76" s="20" t="n">
        <v>1.55040276</v>
      </c>
      <c r="G76" s="18" t="n">
        <v>34.04008485</v>
      </c>
      <c r="H76" s="20" t="n">
        <v>1.59112365</v>
      </c>
      <c r="I76" s="18" t="s">
        <v>349</v>
      </c>
      <c r="J76" s="20" t="s">
        <v>349</v>
      </c>
      <c r="K76" s="18" t="n">
        <v>0.42213682</v>
      </c>
      <c r="L76" s="20" t="n">
        <v>0.19597414</v>
      </c>
      <c r="M76" s="18" t="n">
        <v>0</v>
      </c>
      <c r="N76" s="20" t="n">
        <v>0</v>
      </c>
      <c r="O76" s="18" t="n">
        <v>0</v>
      </c>
      <c r="P76" s="20" t="n">
        <v>0</v>
      </c>
      <c r="Q76" s="18" t="n">
        <v>1.32469927</v>
      </c>
      <c r="R76" s="20" t="n">
        <v>0.30609821</v>
      </c>
    </row>
    <row r="77" spans="1:18">
      <c r="A77" s="15" t="s">
        <v>419</v>
      </c>
      <c r="B77" s="17" t="n">
        <v>6062</v>
      </c>
      <c r="C77" s="18">
        <f>(5325.0/B77*100)</f>
        <v/>
      </c>
      <c r="D77" s="19" t="n">
        <v>737</v>
      </c>
      <c r="E77" s="18" t="n">
        <v>66.84875175000001</v>
      </c>
      <c r="F77" s="20" t="n">
        <v>1.70800403</v>
      </c>
      <c r="G77" s="18" t="n">
        <v>30.24114649</v>
      </c>
      <c r="H77" s="20" t="n">
        <v>1.69233358</v>
      </c>
      <c r="I77" s="18" t="s">
        <v>349</v>
      </c>
      <c r="J77" s="20" t="s">
        <v>349</v>
      </c>
      <c r="K77" s="18" t="n">
        <v>0.44450769</v>
      </c>
      <c r="L77" s="20" t="n">
        <v>0.28357363</v>
      </c>
      <c r="M77" s="18" t="n">
        <v>0</v>
      </c>
      <c r="N77" s="20" t="n">
        <v>0</v>
      </c>
      <c r="O77" s="18" t="n">
        <v>0</v>
      </c>
      <c r="P77" s="20" t="n">
        <v>0</v>
      </c>
      <c r="Q77" s="18" t="n">
        <v>2.46559408</v>
      </c>
      <c r="R77" s="20" t="n">
        <v>0.6499985700000001</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(7766.0/B81*100)</f>
        <v/>
      </c>
      <c r="D81" s="19" t="n">
        <v>1095</v>
      </c>
      <c r="E81" s="18" t="n">
        <v>54.2928894</v>
      </c>
      <c r="F81" s="20" t="n">
        <v>1.83830828</v>
      </c>
      <c r="G81" s="18" t="n">
        <v>45.43204742</v>
      </c>
      <c r="H81" s="20" t="n">
        <v>1.83772518</v>
      </c>
      <c r="I81" s="18" t="s">
        <v>349</v>
      </c>
      <c r="J81" s="20" t="s">
        <v>349</v>
      </c>
      <c r="K81" s="18" t="n">
        <v>0</v>
      </c>
      <c r="L81" s="20" t="n">
        <v>0</v>
      </c>
      <c r="M81" s="18" t="n">
        <v>0</v>
      </c>
      <c r="N81" s="20" t="n">
        <v>0</v>
      </c>
      <c r="O81" s="18" t="n">
        <v>0</v>
      </c>
      <c r="P81" s="20" t="n">
        <v>0</v>
      </c>
      <c r="Q81" s="18" t="n">
        <v>0.27506317</v>
      </c>
      <c r="R81" s="20" t="n">
        <v>0.19350353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(12738.0/B7*100)</f>
        <v/>
      </c>
      <c r="D7" s="19" t="n">
        <v>1792</v>
      </c>
      <c r="E7" s="18" t="n">
        <v>50.15995479</v>
      </c>
      <c r="F7" s="20" t="n">
        <v>1.43470226</v>
      </c>
      <c r="G7" s="18" t="n">
        <v>48.76040702</v>
      </c>
      <c r="H7" s="20" t="n">
        <v>1.4666693</v>
      </c>
      <c r="I7" s="18" t="s">
        <v>349</v>
      </c>
      <c r="J7" s="20" t="s">
        <v>349</v>
      </c>
      <c r="K7" s="18" t="n">
        <v>0.4760098</v>
      </c>
      <c r="L7" s="20" t="n">
        <v>0.19549489</v>
      </c>
      <c r="M7" s="18" t="n">
        <v>0</v>
      </c>
      <c r="N7" s="20" t="n">
        <v>0</v>
      </c>
      <c r="O7" s="18" t="n">
        <v>0</v>
      </c>
      <c r="P7" s="20" t="n">
        <v>0</v>
      </c>
      <c r="Q7" s="18" t="n">
        <v>0.60362839</v>
      </c>
      <c r="R7" s="20" t="n">
        <v>0.2153968</v>
      </c>
    </row>
    <row r="8" spans="1:18">
      <c r="A8" s="15" t="s">
        <v>350</v>
      </c>
      <c r="B8" s="17" t="n">
        <v>7007</v>
      </c>
      <c r="C8" s="18">
        <f>(6156.0/B8*100)</f>
        <v/>
      </c>
      <c r="D8" s="19" t="n">
        <v>851</v>
      </c>
      <c r="E8" s="18" t="n">
        <v>62.84176679</v>
      </c>
      <c r="F8" s="20" t="n">
        <v>1.94889414</v>
      </c>
      <c r="G8" s="18" t="n">
        <v>35.99927444</v>
      </c>
      <c r="H8" s="20" t="n">
        <v>1.89280679</v>
      </c>
      <c r="I8" s="18" t="s">
        <v>349</v>
      </c>
      <c r="J8" s="20" t="s">
        <v>349</v>
      </c>
      <c r="K8" s="18" t="n">
        <v>0</v>
      </c>
      <c r="L8" s="20" t="n">
        <v>0</v>
      </c>
      <c r="M8" s="18" t="n">
        <v>0</v>
      </c>
      <c r="N8" s="20" t="n">
        <v>0</v>
      </c>
      <c r="O8" s="18" t="n">
        <v>0</v>
      </c>
      <c r="P8" s="20" t="n">
        <v>0</v>
      </c>
      <c r="Q8" s="18" t="n">
        <v>1.15895877</v>
      </c>
      <c r="R8" s="20" t="n">
        <v>0.6659264</v>
      </c>
    </row>
    <row r="9" spans="1:18">
      <c r="A9" s="15" t="s">
        <v>351</v>
      </c>
      <c r="B9" s="17" t="n">
        <v>9651</v>
      </c>
      <c r="C9" s="18">
        <f>(8505.0/B9*100)</f>
        <v/>
      </c>
      <c r="D9" s="19" t="n">
        <v>1146</v>
      </c>
      <c r="E9" s="18" t="n">
        <v>59.85155887</v>
      </c>
      <c r="F9" s="20" t="n">
        <v>1.19868619</v>
      </c>
      <c r="G9" s="18" t="n">
        <v>39.5103357</v>
      </c>
      <c r="H9" s="20" t="n">
        <v>1.26229896</v>
      </c>
      <c r="I9" s="18" t="s">
        <v>349</v>
      </c>
      <c r="J9" s="20" t="s">
        <v>349</v>
      </c>
      <c r="K9" s="18" t="n">
        <v>0.12130257</v>
      </c>
      <c r="L9" s="20" t="n">
        <v>0.1208413</v>
      </c>
      <c r="M9" s="18" t="n">
        <v>0</v>
      </c>
      <c r="N9" s="20" t="n">
        <v>0</v>
      </c>
      <c r="O9" s="18" t="n">
        <v>0</v>
      </c>
      <c r="P9" s="20" t="n">
        <v>0</v>
      </c>
      <c r="Q9" s="18" t="n">
        <v>0.51680285</v>
      </c>
      <c r="R9" s="20" t="n">
        <v>0.22171721</v>
      </c>
    </row>
    <row r="10" spans="1:18">
      <c r="A10" s="15" t="s">
        <v>352</v>
      </c>
      <c r="B10" s="17" t="n">
        <v>20058</v>
      </c>
      <c r="C10" s="18">
        <f>(17598.0/B10*100)</f>
        <v/>
      </c>
      <c r="D10" s="19" t="n">
        <v>2460</v>
      </c>
      <c r="E10" s="18" t="n">
        <v>56.09481415</v>
      </c>
      <c r="F10" s="20" t="n">
        <v>1.37361857</v>
      </c>
      <c r="G10" s="18" t="n">
        <v>43.24760018</v>
      </c>
      <c r="H10" s="20" t="n">
        <v>1.39357639</v>
      </c>
      <c r="I10" s="18" t="s">
        <v>349</v>
      </c>
      <c r="J10" s="20" t="s">
        <v>349</v>
      </c>
      <c r="K10" s="18" t="n">
        <v>0.11083332</v>
      </c>
      <c r="L10" s="20" t="n">
        <v>0.03859763</v>
      </c>
      <c r="M10" s="18" t="n">
        <v>0</v>
      </c>
      <c r="N10" s="20" t="n">
        <v>0</v>
      </c>
      <c r="O10" s="18" t="n">
        <v>0</v>
      </c>
      <c r="P10" s="20" t="n">
        <v>0</v>
      </c>
      <c r="Q10" s="18" t="n">
        <v>0.54675235</v>
      </c>
      <c r="R10" s="20" t="n">
        <v>0.26944911</v>
      </c>
    </row>
    <row r="11" spans="1:18">
      <c r="A11" s="15" t="s">
        <v>353</v>
      </c>
      <c r="B11" s="17" t="n">
        <v>7053</v>
      </c>
      <c r="C11" s="18">
        <f>(6207.0/B11*100)</f>
        <v/>
      </c>
      <c r="D11" s="19" t="n">
        <v>846</v>
      </c>
      <c r="E11" s="18" t="n">
        <v>73.60215192</v>
      </c>
      <c r="F11" s="20" t="n">
        <v>1.36329693</v>
      </c>
      <c r="G11" s="18" t="n">
        <v>25.40744081</v>
      </c>
      <c r="H11" s="20" t="n">
        <v>1.36407203</v>
      </c>
      <c r="I11" s="18" t="s">
        <v>349</v>
      </c>
      <c r="J11" s="20" t="s">
        <v>349</v>
      </c>
      <c r="K11" s="18" t="n">
        <v>0.34852412</v>
      </c>
      <c r="L11" s="20" t="n">
        <v>0.21905609</v>
      </c>
      <c r="M11" s="18" t="n">
        <v>0</v>
      </c>
      <c r="N11" s="20" t="n">
        <v>0</v>
      </c>
      <c r="O11" s="18" t="n">
        <v>0</v>
      </c>
      <c r="P11" s="20" t="n">
        <v>0</v>
      </c>
      <c r="Q11" s="18" t="n">
        <v>0.64188315</v>
      </c>
      <c r="R11" s="20" t="n">
        <v>0.29699628</v>
      </c>
    </row>
    <row r="12" spans="1:18">
      <c r="A12" s="15" t="s">
        <v>354</v>
      </c>
      <c r="B12" s="17" t="n">
        <v>6894</v>
      </c>
      <c r="C12" s="18">
        <f>(6027.0/B12*100)</f>
        <v/>
      </c>
      <c r="D12" s="19" t="n">
        <v>867</v>
      </c>
      <c r="E12" s="18" t="n">
        <v>68.17392409999999</v>
      </c>
      <c r="F12" s="20" t="n">
        <v>1.7790655</v>
      </c>
      <c r="G12" s="18" t="n">
        <v>31.55038791</v>
      </c>
      <c r="H12" s="20" t="n">
        <v>1.79008468</v>
      </c>
      <c r="I12" s="18" t="s">
        <v>349</v>
      </c>
      <c r="J12" s="20" t="s">
        <v>349</v>
      </c>
      <c r="K12" s="18" t="n">
        <v>0</v>
      </c>
      <c r="L12" s="20" t="n">
        <v>0</v>
      </c>
      <c r="M12" s="18" t="n">
        <v>0</v>
      </c>
      <c r="N12" s="20" t="n">
        <v>0</v>
      </c>
      <c r="O12" s="18" t="n">
        <v>0</v>
      </c>
      <c r="P12" s="20" t="n">
        <v>0</v>
      </c>
      <c r="Q12" s="18" t="n">
        <v>0.27568799</v>
      </c>
      <c r="R12" s="20" t="n">
        <v>0.22609838</v>
      </c>
    </row>
    <row r="13" spans="1:18">
      <c r="A13" s="15" t="s">
        <v>355</v>
      </c>
      <c r="B13" s="17" t="n">
        <v>7161</v>
      </c>
      <c r="C13" s="18">
        <f>(6291.0/B13*100)</f>
        <v/>
      </c>
      <c r="D13" s="19" t="n">
        <v>870</v>
      </c>
      <c r="E13" s="18" t="n">
        <v>54.57738457</v>
      </c>
      <c r="F13" s="20" t="n">
        <v>2.17929796</v>
      </c>
      <c r="G13" s="18" t="n">
        <v>43.92656802</v>
      </c>
      <c r="H13" s="20" t="n">
        <v>2.12359982</v>
      </c>
      <c r="I13" s="18" t="s">
        <v>349</v>
      </c>
      <c r="J13" s="20" t="s">
        <v>349</v>
      </c>
      <c r="K13" s="18" t="n">
        <v>0.71935774</v>
      </c>
      <c r="L13" s="20" t="n">
        <v>0.4026449</v>
      </c>
      <c r="M13" s="18" t="n">
        <v>0</v>
      </c>
      <c r="N13" s="20" t="n">
        <v>0</v>
      </c>
      <c r="O13" s="18" t="n">
        <v>0</v>
      </c>
      <c r="P13" s="20" t="n">
        <v>0</v>
      </c>
      <c r="Q13" s="18" t="n">
        <v>0.77668967</v>
      </c>
      <c r="R13" s="20" t="n">
        <v>0.33328194</v>
      </c>
    </row>
    <row r="14" spans="1:18">
      <c r="A14" s="15" t="s">
        <v>356</v>
      </c>
      <c r="B14" s="17" t="n">
        <v>5587</v>
      </c>
      <c r="C14" s="18">
        <f>(4898.0/B14*100)</f>
        <v/>
      </c>
      <c r="D14" s="19" t="n">
        <v>689</v>
      </c>
      <c r="E14" s="18" t="n">
        <v>74.33976672999999</v>
      </c>
      <c r="F14" s="20" t="n">
        <v>1.88470279</v>
      </c>
      <c r="G14" s="18" t="n">
        <v>25.53461884</v>
      </c>
      <c r="H14" s="20" t="n">
        <v>1.89047329</v>
      </c>
      <c r="I14" s="18" t="s">
        <v>349</v>
      </c>
      <c r="J14" s="20" t="s">
        <v>349</v>
      </c>
      <c r="K14" s="18" t="n">
        <v>0</v>
      </c>
      <c r="L14" s="20" t="n">
        <v>0</v>
      </c>
      <c r="M14" s="18" t="n">
        <v>0</v>
      </c>
      <c r="N14" s="20" t="n">
        <v>0</v>
      </c>
      <c r="O14" s="18" t="n">
        <v>0</v>
      </c>
      <c r="P14" s="20" t="n">
        <v>0</v>
      </c>
      <c r="Q14" s="18" t="n">
        <v>0.12561443</v>
      </c>
      <c r="R14" s="20" t="n">
        <v>0.12539264</v>
      </c>
    </row>
    <row r="15" spans="1:18">
      <c r="A15" s="15" t="s">
        <v>357</v>
      </c>
      <c r="B15" s="17" t="n">
        <v>5882</v>
      </c>
      <c r="C15" s="18">
        <f>(5162.0/B15*100)</f>
        <v/>
      </c>
      <c r="D15" s="19" t="n">
        <v>720</v>
      </c>
      <c r="E15" s="18" t="n">
        <v>53.48006562</v>
      </c>
      <c r="F15" s="20" t="n">
        <v>2.00058262</v>
      </c>
      <c r="G15" s="18" t="n">
        <v>46.36825621</v>
      </c>
      <c r="H15" s="20" t="n">
        <v>2.01924856</v>
      </c>
      <c r="I15" s="18" t="s">
        <v>349</v>
      </c>
      <c r="J15" s="20" t="s">
        <v>349</v>
      </c>
      <c r="K15" s="18" t="n">
        <v>0</v>
      </c>
      <c r="L15" s="20" t="n">
        <v>0</v>
      </c>
      <c r="M15" s="18" t="n">
        <v>0</v>
      </c>
      <c r="N15" s="20" t="n">
        <v>0</v>
      </c>
      <c r="O15" s="18" t="n">
        <v>0</v>
      </c>
      <c r="P15" s="20" t="n">
        <v>0</v>
      </c>
      <c r="Q15" s="18" t="n">
        <v>0.15167818</v>
      </c>
      <c r="R15" s="20" t="n">
        <v>0.15296499</v>
      </c>
    </row>
    <row r="16" spans="1:18">
      <c r="A16" s="15" t="s">
        <v>358</v>
      </c>
      <c r="B16" s="17" t="n">
        <v>6108</v>
      </c>
      <c r="C16" s="18">
        <f>(5380.0/B16*100)</f>
        <v/>
      </c>
      <c r="D16" s="19" t="n">
        <v>728</v>
      </c>
      <c r="E16" s="18" t="n">
        <v>51.22425117</v>
      </c>
      <c r="F16" s="20" t="n">
        <v>1.89500464</v>
      </c>
      <c r="G16" s="18" t="n">
        <v>48.03634332</v>
      </c>
      <c r="H16" s="20" t="n">
        <v>1.83269993</v>
      </c>
      <c r="I16" s="18" t="s">
        <v>349</v>
      </c>
      <c r="J16" s="20" t="s">
        <v>349</v>
      </c>
      <c r="K16" s="18" t="n">
        <v>0.28529753</v>
      </c>
      <c r="L16" s="20" t="n">
        <v>0.20363005</v>
      </c>
      <c r="M16" s="18" t="n">
        <v>0</v>
      </c>
      <c r="N16" s="20" t="n">
        <v>0</v>
      </c>
      <c r="O16" s="18" t="n">
        <v>0</v>
      </c>
      <c r="P16" s="20" t="n">
        <v>0</v>
      </c>
      <c r="Q16" s="18" t="n">
        <v>0.45410798</v>
      </c>
      <c r="R16" s="20" t="n">
        <v>0.38011926</v>
      </c>
    </row>
    <row r="17" spans="1:18">
      <c r="A17" s="15" t="s">
        <v>359</v>
      </c>
      <c r="B17" s="17" t="n">
        <v>6504</v>
      </c>
      <c r="C17" s="18">
        <f>(5709.0/B17*100)</f>
        <v/>
      </c>
      <c r="D17" s="19" t="n">
        <v>795</v>
      </c>
      <c r="E17" s="18" t="n">
        <v>49.13719604</v>
      </c>
      <c r="F17" s="20" t="n">
        <v>1.66223337</v>
      </c>
      <c r="G17" s="18" t="n">
        <v>49.93318858</v>
      </c>
      <c r="H17" s="20" t="n">
        <v>1.64551099</v>
      </c>
      <c r="I17" s="18" t="s">
        <v>349</v>
      </c>
      <c r="J17" s="20" t="s">
        <v>349</v>
      </c>
      <c r="K17" s="18" t="n">
        <v>0.09173398000000001</v>
      </c>
      <c r="L17" s="20" t="n">
        <v>0.09544285</v>
      </c>
      <c r="M17" s="18" t="n">
        <v>0</v>
      </c>
      <c r="N17" s="20" t="n">
        <v>0</v>
      </c>
      <c r="O17" s="18" t="n">
        <v>0</v>
      </c>
      <c r="P17" s="20" t="n">
        <v>0</v>
      </c>
      <c r="Q17" s="18" t="n">
        <v>0.8378814</v>
      </c>
      <c r="R17" s="20" t="n">
        <v>0.36981831</v>
      </c>
    </row>
    <row r="18" spans="1:18">
      <c r="A18" s="15" t="s">
        <v>360</v>
      </c>
      <c r="B18" s="17" t="n">
        <v>5532</v>
      </c>
      <c r="C18" s="18">
        <f>(4850.0/B18*100)</f>
        <v/>
      </c>
      <c r="D18" s="19" t="n">
        <v>682</v>
      </c>
      <c r="E18" s="18" t="n">
        <v>63.16774248</v>
      </c>
      <c r="F18" s="20" t="n">
        <v>1.95807362</v>
      </c>
      <c r="G18" s="18" t="n">
        <v>35.69741024</v>
      </c>
      <c r="H18" s="20" t="n">
        <v>1.80015526</v>
      </c>
      <c r="I18" s="18" t="s">
        <v>349</v>
      </c>
      <c r="J18" s="20" t="s">
        <v>349</v>
      </c>
      <c r="K18" s="18" t="n">
        <v>0</v>
      </c>
      <c r="L18" s="20" t="n">
        <v>0</v>
      </c>
      <c r="M18" s="18" t="n">
        <v>0</v>
      </c>
      <c r="N18" s="20" t="n">
        <v>0</v>
      </c>
      <c r="O18" s="18" t="n">
        <v>0</v>
      </c>
      <c r="P18" s="20" t="n">
        <v>0</v>
      </c>
      <c r="Q18" s="18" t="n">
        <v>1.13484728</v>
      </c>
      <c r="R18" s="20" t="n">
        <v>0.4515325</v>
      </c>
    </row>
    <row r="19" spans="1:18">
      <c r="A19" s="15" t="s">
        <v>361</v>
      </c>
      <c r="B19" s="17" t="n">
        <v>5658</v>
      </c>
      <c r="C19" s="18">
        <f>(4950.0/B19*100)</f>
        <v/>
      </c>
      <c r="D19" s="19" t="n">
        <v>708</v>
      </c>
      <c r="E19" s="18" t="n">
        <v>72.44230328</v>
      </c>
      <c r="F19" s="20" t="n">
        <v>1.78707592</v>
      </c>
      <c r="G19" s="18" t="n">
        <v>27.14044815</v>
      </c>
      <c r="H19" s="20" t="n">
        <v>1.81664225</v>
      </c>
      <c r="I19" s="18" t="s">
        <v>349</v>
      </c>
      <c r="J19" s="20" t="s">
        <v>349</v>
      </c>
      <c r="K19" s="18" t="n">
        <v>0.14613253</v>
      </c>
      <c r="L19" s="20" t="n">
        <v>0.14583435</v>
      </c>
      <c r="M19" s="18" t="n">
        <v>0</v>
      </c>
      <c r="N19" s="20" t="n">
        <v>0</v>
      </c>
      <c r="O19" s="18" t="n">
        <v>0</v>
      </c>
      <c r="P19" s="20" t="n">
        <v>0</v>
      </c>
      <c r="Q19" s="18" t="n">
        <v>0.27111605</v>
      </c>
      <c r="R19" s="20" t="n">
        <v>0.18680166</v>
      </c>
    </row>
    <row r="20" spans="1:18">
      <c r="A20" s="15" t="s">
        <v>362</v>
      </c>
      <c r="B20" s="17" t="n">
        <v>3371</v>
      </c>
      <c r="C20" s="18">
        <f>(2966.0/B20*100)</f>
        <v/>
      </c>
      <c r="D20" s="19" t="n">
        <v>405</v>
      </c>
      <c r="E20" s="18" t="n">
        <v>56.03982955</v>
      </c>
      <c r="F20" s="20" t="n">
        <v>2.47240698</v>
      </c>
      <c r="G20" s="18" t="n">
        <v>42.77312768</v>
      </c>
      <c r="H20" s="20" t="n">
        <v>2.4325874</v>
      </c>
      <c r="I20" s="18" t="s">
        <v>349</v>
      </c>
      <c r="J20" s="20" t="s">
        <v>349</v>
      </c>
      <c r="K20" s="18" t="n">
        <v>0.47838877</v>
      </c>
      <c r="L20" s="20" t="n">
        <v>0.34501073</v>
      </c>
      <c r="M20" s="18" t="n">
        <v>0</v>
      </c>
      <c r="N20" s="20" t="n">
        <v>0</v>
      </c>
      <c r="O20" s="18" t="n">
        <v>0</v>
      </c>
      <c r="P20" s="20" t="n">
        <v>0</v>
      </c>
      <c r="Q20" s="18" t="n">
        <v>0.708654</v>
      </c>
      <c r="R20" s="20" t="n">
        <v>0.40548355</v>
      </c>
    </row>
    <row r="21" spans="1:18">
      <c r="A21" s="15" t="s">
        <v>363</v>
      </c>
      <c r="B21" s="17" t="n">
        <v>5741</v>
      </c>
      <c r="C21" s="18">
        <f>(4772.0/B21*100)</f>
        <v/>
      </c>
      <c r="D21" s="19" t="n">
        <v>969</v>
      </c>
      <c r="E21" s="18" t="n">
        <v>49.74604897</v>
      </c>
      <c r="F21" s="20" t="n">
        <v>1.8064216</v>
      </c>
      <c r="G21" s="18" t="n">
        <v>49.80132241</v>
      </c>
      <c r="H21" s="20" t="n">
        <v>1.82791647</v>
      </c>
      <c r="I21" s="18" t="s">
        <v>349</v>
      </c>
      <c r="J21" s="20" t="s">
        <v>349</v>
      </c>
      <c r="K21" s="18" t="n">
        <v>0.09834036</v>
      </c>
      <c r="L21" s="20" t="n">
        <v>0.09823787</v>
      </c>
      <c r="M21" s="18" t="n">
        <v>0</v>
      </c>
      <c r="N21" s="20" t="n">
        <v>0</v>
      </c>
      <c r="O21" s="18" t="n">
        <v>0</v>
      </c>
      <c r="P21" s="20" t="n">
        <v>0</v>
      </c>
      <c r="Q21" s="18" t="n">
        <v>0.35428826</v>
      </c>
      <c r="R21" s="20" t="n">
        <v>0.18903081</v>
      </c>
    </row>
    <row r="22" spans="1:18">
      <c r="A22" s="15" t="s">
        <v>364</v>
      </c>
      <c r="B22" s="17" t="n">
        <v>6598</v>
      </c>
      <c r="C22" s="18">
        <f>(5772.0/B22*100)</f>
        <v/>
      </c>
      <c r="D22" s="19" t="n">
        <v>826</v>
      </c>
      <c r="E22" s="18" t="n">
        <v>63.94070682</v>
      </c>
      <c r="F22" s="20" t="n">
        <v>1.86675898</v>
      </c>
      <c r="G22" s="18" t="n">
        <v>34.56622314</v>
      </c>
      <c r="H22" s="20" t="n">
        <v>1.89629344</v>
      </c>
      <c r="I22" s="18" t="s">
        <v>349</v>
      </c>
      <c r="J22" s="20" t="s">
        <v>349</v>
      </c>
      <c r="K22" s="18" t="n">
        <v>0.5447847</v>
      </c>
      <c r="L22" s="20" t="n">
        <v>0.30925906</v>
      </c>
      <c r="M22" s="18" t="n">
        <v>0</v>
      </c>
      <c r="N22" s="20" t="n">
        <v>0</v>
      </c>
      <c r="O22" s="18" t="n">
        <v>0</v>
      </c>
      <c r="P22" s="20" t="n">
        <v>0</v>
      </c>
      <c r="Q22" s="18" t="n">
        <v>0.94828533</v>
      </c>
      <c r="R22" s="20" t="n">
        <v>0.45528758</v>
      </c>
    </row>
    <row r="23" spans="1:18">
      <c r="A23" s="15" t="s">
        <v>365</v>
      </c>
      <c r="B23" s="17" t="n">
        <v>11583</v>
      </c>
      <c r="C23" s="18">
        <f>(10156.0/B23*100)</f>
        <v/>
      </c>
      <c r="D23" s="19" t="n">
        <v>1427</v>
      </c>
      <c r="E23" s="18" t="n">
        <v>58.52817817</v>
      </c>
      <c r="F23" s="20" t="n">
        <v>1.70762525</v>
      </c>
      <c r="G23" s="18" t="n">
        <v>41.25600831</v>
      </c>
      <c r="H23" s="20" t="n">
        <v>1.72542661</v>
      </c>
      <c r="I23" s="18" t="s">
        <v>349</v>
      </c>
      <c r="J23" s="20" t="s">
        <v>349</v>
      </c>
      <c r="K23" s="18" t="n">
        <v>0.08345118</v>
      </c>
      <c r="L23" s="20" t="n">
        <v>0.08026142999999999</v>
      </c>
      <c r="M23" s="18" t="n">
        <v>0</v>
      </c>
      <c r="N23" s="20" t="n">
        <v>0</v>
      </c>
      <c r="O23" s="18" t="n">
        <v>0</v>
      </c>
      <c r="P23" s="20" t="n">
        <v>0</v>
      </c>
      <c r="Q23" s="18" t="n">
        <v>0.13236234</v>
      </c>
      <c r="R23" s="20" t="n">
        <v>0.08102009</v>
      </c>
    </row>
    <row r="24" spans="1:18">
      <c r="A24" s="15" t="s">
        <v>366</v>
      </c>
      <c r="B24" s="17" t="n">
        <v>6647</v>
      </c>
      <c r="C24" s="18">
        <f>(5824.0/B24*100)</f>
        <v/>
      </c>
      <c r="D24" s="19" t="n">
        <v>823</v>
      </c>
      <c r="E24" s="18" t="n">
        <v>58.60717736</v>
      </c>
      <c r="F24" s="20" t="n">
        <v>1.78999273</v>
      </c>
      <c r="G24" s="18" t="n">
        <v>40.83558635</v>
      </c>
      <c r="H24" s="20" t="n">
        <v>1.78554602</v>
      </c>
      <c r="I24" s="18" t="s">
        <v>349</v>
      </c>
      <c r="J24" s="20" t="s">
        <v>349</v>
      </c>
      <c r="K24" s="18" t="n">
        <v>0.08640636</v>
      </c>
      <c r="L24" s="20" t="n">
        <v>0.08656612</v>
      </c>
      <c r="M24" s="18" t="n">
        <v>0</v>
      </c>
      <c r="N24" s="20" t="n">
        <v>0</v>
      </c>
      <c r="O24" s="18" t="n">
        <v>0</v>
      </c>
      <c r="P24" s="20" t="n">
        <v>0</v>
      </c>
      <c r="Q24" s="18" t="n">
        <v>0.47082993</v>
      </c>
      <c r="R24" s="20" t="n">
        <v>0.23804691</v>
      </c>
    </row>
    <row r="25" spans="1:18">
      <c r="A25" s="15" t="s">
        <v>367</v>
      </c>
      <c r="B25" s="17" t="n">
        <v>5581</v>
      </c>
      <c r="C25" s="18">
        <f>(4905.0/B25*100)</f>
        <v/>
      </c>
      <c r="D25" s="19" t="n">
        <v>676</v>
      </c>
      <c r="E25" s="18" t="n">
        <v>60.86778011</v>
      </c>
      <c r="F25" s="20" t="n">
        <v>2.08477677</v>
      </c>
      <c r="G25" s="18" t="n">
        <v>37.9458286</v>
      </c>
      <c r="H25" s="20" t="n">
        <v>2.11686223</v>
      </c>
      <c r="I25" s="18" t="s">
        <v>349</v>
      </c>
      <c r="J25" s="20" t="s">
        <v>349</v>
      </c>
      <c r="K25" s="18" t="n">
        <v>0.15416776</v>
      </c>
      <c r="L25" s="20" t="n">
        <v>0.15356063</v>
      </c>
      <c r="M25" s="18" t="n">
        <v>0</v>
      </c>
      <c r="N25" s="20" t="n">
        <v>0</v>
      </c>
      <c r="O25" s="18" t="n">
        <v>0</v>
      </c>
      <c r="P25" s="20" t="n">
        <v>0</v>
      </c>
      <c r="Q25" s="18" t="n">
        <v>1.03222353</v>
      </c>
      <c r="R25" s="20" t="n">
        <v>0.43186943</v>
      </c>
    </row>
    <row r="26" spans="1:18">
      <c r="A26" s="15" t="s">
        <v>368</v>
      </c>
      <c r="B26" s="17" t="n">
        <v>4869</v>
      </c>
      <c r="C26" s="18">
        <f>(4262.0/B26*100)</f>
        <v/>
      </c>
      <c r="D26" s="19" t="n">
        <v>607</v>
      </c>
      <c r="E26" s="18" t="n">
        <v>82.14088606</v>
      </c>
      <c r="F26" s="20" t="n">
        <v>1.53040391</v>
      </c>
      <c r="G26" s="18" t="n">
        <v>17.85911394</v>
      </c>
      <c r="H26" s="20" t="n">
        <v>1.53040391</v>
      </c>
      <c r="I26" s="18" t="s">
        <v>349</v>
      </c>
      <c r="J26" s="20" t="s">
        <v>349</v>
      </c>
      <c r="K26" s="18" t="n">
        <v>0</v>
      </c>
      <c r="L26" s="20" t="n">
        <v>0</v>
      </c>
      <c r="M26" s="18" t="n">
        <v>0</v>
      </c>
      <c r="N26" s="20" t="n">
        <v>0</v>
      </c>
      <c r="O26" s="18" t="n">
        <v>0</v>
      </c>
      <c r="P26" s="20" t="n">
        <v>0</v>
      </c>
      <c r="Q26" s="18" t="n">
        <v>0</v>
      </c>
      <c r="R26" s="20" t="n">
        <v>0</v>
      </c>
    </row>
    <row r="27" spans="1:18">
      <c r="A27" s="15" t="s">
        <v>369</v>
      </c>
      <c r="B27" s="17" t="n">
        <v>5299</v>
      </c>
      <c r="C27" s="18">
        <f>(4659.0/B27*100)</f>
        <v/>
      </c>
      <c r="D27" s="19" t="n">
        <v>640</v>
      </c>
      <c r="E27" s="18" t="n">
        <v>67.78428516</v>
      </c>
      <c r="F27" s="20" t="n">
        <v>2.08520712</v>
      </c>
      <c r="G27" s="18" t="n">
        <v>31.27747944</v>
      </c>
      <c r="H27" s="20" t="n">
        <v>2.09129055</v>
      </c>
      <c r="I27" s="18" t="s">
        <v>349</v>
      </c>
      <c r="J27" s="20" t="s">
        <v>349</v>
      </c>
      <c r="K27" s="18" t="n">
        <v>0.15512018</v>
      </c>
      <c r="L27" s="20" t="n">
        <v>0.15450414</v>
      </c>
      <c r="M27" s="18" t="n">
        <v>0</v>
      </c>
      <c r="N27" s="20" t="n">
        <v>0</v>
      </c>
      <c r="O27" s="18" t="n">
        <v>0</v>
      </c>
      <c r="P27" s="20" t="n">
        <v>0</v>
      </c>
      <c r="Q27" s="18" t="n">
        <v>0.78311522</v>
      </c>
      <c r="R27" s="20" t="n">
        <v>0.27154221</v>
      </c>
    </row>
    <row r="28" spans="1:18">
      <c r="A28" s="15" t="s">
        <v>370</v>
      </c>
      <c r="B28" s="17" t="n">
        <v>7568</v>
      </c>
      <c r="C28" s="18">
        <f>(6638.0/B28*100)</f>
        <v/>
      </c>
      <c r="D28" s="19" t="n">
        <v>930</v>
      </c>
      <c r="E28" s="18" t="n">
        <v>83.87064954</v>
      </c>
      <c r="F28" s="20" t="n">
        <v>1.33407757</v>
      </c>
      <c r="G28" s="18" t="n">
        <v>15.08061871</v>
      </c>
      <c r="H28" s="20" t="n">
        <v>1.25145303</v>
      </c>
      <c r="I28" s="18" t="s">
        <v>349</v>
      </c>
      <c r="J28" s="20" t="s">
        <v>349</v>
      </c>
      <c r="K28" s="18" t="n">
        <v>0.49561357</v>
      </c>
      <c r="L28" s="20" t="n">
        <v>0.28576569</v>
      </c>
      <c r="M28" s="18" t="n">
        <v>0</v>
      </c>
      <c r="N28" s="20" t="n">
        <v>0</v>
      </c>
      <c r="O28" s="18" t="n">
        <v>0</v>
      </c>
      <c r="P28" s="20" t="n">
        <v>0</v>
      </c>
      <c r="Q28" s="18" t="n">
        <v>0.55311818</v>
      </c>
      <c r="R28" s="20" t="n">
        <v>0.29422663</v>
      </c>
    </row>
    <row r="29" spans="1:18">
      <c r="A29" s="15" t="s">
        <v>371</v>
      </c>
      <c r="B29" s="17" t="n">
        <v>5385</v>
      </c>
      <c r="C29" s="18">
        <f>(4735.0/B29*100)</f>
        <v/>
      </c>
      <c r="D29" s="19" t="n">
        <v>650</v>
      </c>
      <c r="E29" s="18" t="n">
        <v>68.14176379</v>
      </c>
      <c r="F29" s="20" t="n">
        <v>1.55358442</v>
      </c>
      <c r="G29" s="18" t="n">
        <v>31.65851311</v>
      </c>
      <c r="H29" s="20" t="n">
        <v>1.55536371</v>
      </c>
      <c r="I29" s="18" t="s">
        <v>349</v>
      </c>
      <c r="J29" s="20" t="s">
        <v>349</v>
      </c>
      <c r="K29" s="18" t="n">
        <v>0.19972311</v>
      </c>
      <c r="L29" s="20" t="n">
        <v>0.15347317</v>
      </c>
      <c r="M29" s="18" t="n">
        <v>0</v>
      </c>
      <c r="N29" s="20" t="n">
        <v>0</v>
      </c>
      <c r="O29" s="18" t="n">
        <v>0</v>
      </c>
      <c r="P29" s="20" t="n">
        <v>0</v>
      </c>
      <c r="Q29" s="18" t="n">
        <v>0</v>
      </c>
      <c r="R29" s="20" t="n">
        <v>0</v>
      </c>
    </row>
    <row r="30" spans="1:18">
      <c r="A30" s="15" t="s">
        <v>372</v>
      </c>
      <c r="B30" s="17" t="n">
        <v>4520</v>
      </c>
      <c r="C30" s="18">
        <f>(3944.0/B30*100)</f>
        <v/>
      </c>
      <c r="D30" s="19" t="n">
        <v>576</v>
      </c>
      <c r="E30" s="18" t="n">
        <v>50.18615689</v>
      </c>
      <c r="F30" s="20" t="n">
        <v>2.25549214</v>
      </c>
      <c r="G30" s="18" t="n">
        <v>49.4134376</v>
      </c>
      <c r="H30" s="20" t="n">
        <v>2.2410304</v>
      </c>
      <c r="I30" s="18" t="s">
        <v>349</v>
      </c>
      <c r="J30" s="20" t="s">
        <v>349</v>
      </c>
      <c r="K30" s="18" t="n">
        <v>0</v>
      </c>
      <c r="L30" s="20" t="n">
        <v>0</v>
      </c>
      <c r="M30" s="18" t="n">
        <v>0</v>
      </c>
      <c r="N30" s="20" t="n">
        <v>0</v>
      </c>
      <c r="O30" s="18" t="n">
        <v>0</v>
      </c>
      <c r="P30" s="20" t="n">
        <v>0</v>
      </c>
      <c r="Q30" s="18" t="n">
        <v>0.40040551</v>
      </c>
      <c r="R30" s="20" t="n">
        <v>0.27132708</v>
      </c>
    </row>
    <row r="31" spans="1:18">
      <c r="A31" s="15" t="s">
        <v>373</v>
      </c>
      <c r="B31" s="17" t="n">
        <v>5456</v>
      </c>
      <c r="C31" s="18">
        <f>(4806.0/B31*100)</f>
        <v/>
      </c>
      <c r="D31" s="19" t="n">
        <v>650</v>
      </c>
      <c r="E31" s="18" t="n">
        <v>66.26348365</v>
      </c>
      <c r="F31" s="20" t="n">
        <v>2.09245893</v>
      </c>
      <c r="G31" s="18" t="n">
        <v>32.83368633</v>
      </c>
      <c r="H31" s="20" t="n">
        <v>2.05582054</v>
      </c>
      <c r="I31" s="18" t="s">
        <v>349</v>
      </c>
      <c r="J31" s="20" t="s">
        <v>349</v>
      </c>
      <c r="K31" s="18" t="n">
        <v>0.13862808</v>
      </c>
      <c r="L31" s="20" t="n">
        <v>0.13804972</v>
      </c>
      <c r="M31" s="18" t="n">
        <v>0</v>
      </c>
      <c r="N31" s="20" t="n">
        <v>0</v>
      </c>
      <c r="O31" s="18" t="n">
        <v>0</v>
      </c>
      <c r="P31" s="20" t="n">
        <v>0</v>
      </c>
      <c r="Q31" s="18" t="n">
        <v>0.76420194</v>
      </c>
      <c r="R31" s="20" t="n">
        <v>0.32389514</v>
      </c>
    </row>
    <row r="32" spans="1:18">
      <c r="A32" s="15" t="s">
        <v>374</v>
      </c>
      <c r="B32" s="17" t="n">
        <v>4478</v>
      </c>
      <c r="C32" s="18">
        <f>(3742.0/B32*100)</f>
        <v/>
      </c>
      <c r="D32" s="19" t="n">
        <v>736</v>
      </c>
      <c r="E32" s="18" t="n">
        <v>78.98030288</v>
      </c>
      <c r="F32" s="20" t="n">
        <v>1.41422085</v>
      </c>
      <c r="G32" s="18" t="n">
        <v>20.44833176</v>
      </c>
      <c r="H32" s="20" t="n">
        <v>1.3756276</v>
      </c>
      <c r="I32" s="18" t="s">
        <v>349</v>
      </c>
      <c r="J32" s="20" t="s">
        <v>349</v>
      </c>
      <c r="K32" s="18" t="n">
        <v>0.12937669</v>
      </c>
      <c r="L32" s="20" t="n">
        <v>0.13496034</v>
      </c>
      <c r="M32" s="18" t="n">
        <v>0</v>
      </c>
      <c r="N32" s="20" t="n">
        <v>0</v>
      </c>
      <c r="O32" s="18" t="n">
        <v>0</v>
      </c>
      <c r="P32" s="20" t="n">
        <v>0</v>
      </c>
      <c r="Q32" s="18" t="n">
        <v>0.44198868</v>
      </c>
      <c r="R32" s="20" t="n">
        <v>0.25712733</v>
      </c>
    </row>
    <row r="33" spans="1:18">
      <c r="A33" s="15" t="s">
        <v>375</v>
      </c>
      <c r="B33" s="17" t="n">
        <v>7325</v>
      </c>
      <c r="C33" s="18">
        <f>(6426.0/B33*100)</f>
        <v/>
      </c>
      <c r="D33" s="19" t="n">
        <v>899</v>
      </c>
      <c r="E33" s="18" t="n">
        <v>57.93339606</v>
      </c>
      <c r="F33" s="20" t="n">
        <v>1.63408943</v>
      </c>
      <c r="G33" s="18" t="n">
        <v>41.32675924</v>
      </c>
      <c r="H33" s="20" t="n">
        <v>1.67234313</v>
      </c>
      <c r="I33" s="18" t="s">
        <v>349</v>
      </c>
      <c r="J33" s="20" t="s">
        <v>349</v>
      </c>
      <c r="K33" s="18" t="n">
        <v>0.56118246</v>
      </c>
      <c r="L33" s="20" t="n">
        <v>0.53568108</v>
      </c>
      <c r="M33" s="18" t="n">
        <v>0</v>
      </c>
      <c r="N33" s="20" t="n">
        <v>0</v>
      </c>
      <c r="O33" s="18" t="n">
        <v>0</v>
      </c>
      <c r="P33" s="20" t="n">
        <v>0</v>
      </c>
      <c r="Q33" s="18" t="n">
        <v>0.17866225</v>
      </c>
      <c r="R33" s="20" t="n">
        <v>0.09188543</v>
      </c>
    </row>
    <row r="34" spans="1:18">
      <c r="A34" s="15" t="s">
        <v>376</v>
      </c>
      <c r="B34" s="17" t="n">
        <v>6350</v>
      </c>
      <c r="C34" s="18">
        <f>(5572.0/B34*100)</f>
        <v/>
      </c>
      <c r="D34" s="19" t="n">
        <v>778</v>
      </c>
      <c r="E34" s="18" t="n">
        <v>79.37229897</v>
      </c>
      <c r="F34" s="20" t="n">
        <v>1.37337138</v>
      </c>
      <c r="G34" s="18" t="n">
        <v>20.32279624</v>
      </c>
      <c r="H34" s="20" t="n">
        <v>1.38610798</v>
      </c>
      <c r="I34" s="18" t="s">
        <v>349</v>
      </c>
      <c r="J34" s="20" t="s">
        <v>349</v>
      </c>
      <c r="K34" s="18" t="n">
        <v>0</v>
      </c>
      <c r="L34" s="20" t="n">
        <v>0</v>
      </c>
      <c r="M34" s="18" t="n">
        <v>0</v>
      </c>
      <c r="N34" s="20" t="n">
        <v>0</v>
      </c>
      <c r="O34" s="18" t="n">
        <v>0</v>
      </c>
      <c r="P34" s="20" t="n">
        <v>0</v>
      </c>
      <c r="Q34" s="18" t="n">
        <v>0.30490479</v>
      </c>
      <c r="R34" s="20" t="n">
        <v>0.22267527</v>
      </c>
    </row>
    <row r="35" spans="1:18">
      <c r="A35" s="15" t="s">
        <v>377</v>
      </c>
      <c r="B35" s="17" t="n">
        <v>6406</v>
      </c>
      <c r="C35" s="18">
        <f>(5616.0/B35*100)</f>
        <v/>
      </c>
      <c r="D35" s="19" t="n">
        <v>790</v>
      </c>
      <c r="E35" s="18" t="n">
        <v>69.34651637</v>
      </c>
      <c r="F35" s="20" t="n">
        <v>1.77814526</v>
      </c>
      <c r="G35" s="18" t="n">
        <v>30.50055998</v>
      </c>
      <c r="H35" s="20" t="n">
        <v>1.7668505</v>
      </c>
      <c r="I35" s="18" t="s">
        <v>349</v>
      </c>
      <c r="J35" s="20" t="s">
        <v>349</v>
      </c>
      <c r="K35" s="18" t="n">
        <v>0.05074872</v>
      </c>
      <c r="L35" s="20" t="n">
        <v>0.05110515</v>
      </c>
      <c r="M35" s="18" t="n">
        <v>0</v>
      </c>
      <c r="N35" s="20" t="n">
        <v>0</v>
      </c>
      <c r="O35" s="18" t="n">
        <v>0</v>
      </c>
      <c r="P35" s="20" t="n">
        <v>0</v>
      </c>
      <c r="Q35" s="18" t="n">
        <v>0.10217493</v>
      </c>
      <c r="R35" s="20" t="n">
        <v>0.07348188</v>
      </c>
    </row>
    <row r="36" spans="1:18">
      <c r="A36" s="15" t="s">
        <v>378</v>
      </c>
      <c r="B36" s="17" t="n">
        <v>6736</v>
      </c>
      <c r="C36" s="18">
        <f>(5906.0/B36*100)</f>
        <v/>
      </c>
      <c r="D36" s="19" t="n">
        <v>830</v>
      </c>
      <c r="E36" s="18" t="n">
        <v>54.19537175</v>
      </c>
      <c r="F36" s="20" t="n">
        <v>1.83798345</v>
      </c>
      <c r="G36" s="18" t="n">
        <v>44.96122507</v>
      </c>
      <c r="H36" s="20" t="n">
        <v>1.85094854</v>
      </c>
      <c r="I36" s="18" t="s">
        <v>349</v>
      </c>
      <c r="J36" s="20" t="s">
        <v>349</v>
      </c>
      <c r="K36" s="18" t="n">
        <v>0.32269555</v>
      </c>
      <c r="L36" s="20" t="n">
        <v>0.21744915</v>
      </c>
      <c r="M36" s="18" t="n">
        <v>0</v>
      </c>
      <c r="N36" s="20" t="n">
        <v>0</v>
      </c>
      <c r="O36" s="18" t="n">
        <v>0</v>
      </c>
      <c r="P36" s="20" t="n">
        <v>0</v>
      </c>
      <c r="Q36" s="18" t="n">
        <v>0.52070762</v>
      </c>
      <c r="R36" s="20" t="n">
        <v>0.25384317</v>
      </c>
    </row>
    <row r="37" spans="1:18">
      <c r="A37" s="15" t="s">
        <v>379</v>
      </c>
      <c r="B37" s="17" t="n">
        <v>5458</v>
      </c>
      <c r="C37" s="18">
        <f>(4772.0/B37*100)</f>
        <v/>
      </c>
      <c r="D37" s="19" t="n">
        <v>686</v>
      </c>
      <c r="E37" s="18" t="n">
        <v>54.84623578</v>
      </c>
      <c r="F37" s="20" t="n">
        <v>2.43842749</v>
      </c>
      <c r="G37" s="18" t="n">
        <v>44.03205459</v>
      </c>
      <c r="H37" s="20" t="n">
        <v>2.43504365</v>
      </c>
      <c r="I37" s="18" t="s">
        <v>349</v>
      </c>
      <c r="J37" s="20" t="s">
        <v>349</v>
      </c>
      <c r="K37" s="18" t="n">
        <v>0.14710886</v>
      </c>
      <c r="L37" s="20" t="n">
        <v>0.14655585</v>
      </c>
      <c r="M37" s="18" t="n">
        <v>0</v>
      </c>
      <c r="N37" s="20" t="n">
        <v>0</v>
      </c>
      <c r="O37" s="18" t="n">
        <v>0</v>
      </c>
      <c r="P37" s="20" t="n">
        <v>0</v>
      </c>
      <c r="Q37" s="18" t="n">
        <v>0.9746007800000001</v>
      </c>
      <c r="R37" s="20" t="n">
        <v>0.40585318</v>
      </c>
    </row>
    <row r="38" spans="1:18">
      <c r="A38" s="15" t="s">
        <v>380</v>
      </c>
      <c r="B38" s="17" t="n">
        <v>5860</v>
      </c>
      <c r="C38" s="18">
        <f>(4874.0/B38*100)</f>
        <v/>
      </c>
      <c r="D38" s="19" t="n">
        <v>986</v>
      </c>
      <c r="E38" s="18" t="n">
        <v>56.78071435</v>
      </c>
      <c r="F38" s="20" t="n">
        <v>1.57794446</v>
      </c>
      <c r="G38" s="18" t="n">
        <v>42.51636757</v>
      </c>
      <c r="H38" s="20" t="n">
        <v>1.58762509</v>
      </c>
      <c r="I38" s="18" t="s">
        <v>349</v>
      </c>
      <c r="J38" s="20" t="s">
        <v>349</v>
      </c>
      <c r="K38" s="18" t="n">
        <v>0.12933923</v>
      </c>
      <c r="L38" s="20" t="n">
        <v>0.10535557</v>
      </c>
      <c r="M38" s="18" t="n">
        <v>0</v>
      </c>
      <c r="N38" s="20" t="n">
        <v>0</v>
      </c>
      <c r="O38" s="18" t="n">
        <v>0</v>
      </c>
      <c r="P38" s="20" t="n">
        <v>0</v>
      </c>
      <c r="Q38" s="18" t="n">
        <v>0.57357885</v>
      </c>
      <c r="R38" s="20" t="n">
        <v>0.23485413</v>
      </c>
    </row>
    <row r="39" spans="1:18">
      <c r="A39" s="15" t="s">
        <v>381</v>
      </c>
      <c r="B39" s="17" t="n">
        <v>5895</v>
      </c>
      <c r="C39" s="18">
        <f>(5199.0/B39*100)</f>
        <v/>
      </c>
      <c r="D39" s="19" t="n">
        <v>696</v>
      </c>
      <c r="E39" s="18" t="n">
        <v>63.96063733</v>
      </c>
      <c r="F39" s="20" t="n">
        <v>2.32686078</v>
      </c>
      <c r="G39" s="18" t="n">
        <v>35.21824543</v>
      </c>
      <c r="H39" s="20" t="n">
        <v>2.39430022</v>
      </c>
      <c r="I39" s="18" t="s">
        <v>349</v>
      </c>
      <c r="J39" s="20" t="s">
        <v>349</v>
      </c>
      <c r="K39" s="18" t="n">
        <v>0.62963902</v>
      </c>
      <c r="L39" s="20" t="n">
        <v>0.34130067</v>
      </c>
      <c r="M39" s="18" t="n">
        <v>0</v>
      </c>
      <c r="N39" s="20" t="n">
        <v>0</v>
      </c>
      <c r="O39" s="18" t="n">
        <v>0</v>
      </c>
      <c r="P39" s="20" t="n">
        <v>0</v>
      </c>
      <c r="Q39" s="18" t="n">
        <v>0.19147822</v>
      </c>
      <c r="R39" s="20" t="n">
        <v>0.16204189</v>
      </c>
    </row>
    <row r="40" spans="1:18">
      <c r="A40" s="15" t="s">
        <v>382</v>
      </c>
      <c r="B40" s="17" t="n">
        <v>14157</v>
      </c>
      <c r="C40" s="18">
        <f>(12421.0/B40*100)</f>
        <v/>
      </c>
      <c r="D40" s="19" t="n">
        <v>1736</v>
      </c>
      <c r="E40" s="18" t="n">
        <v>52.84379293</v>
      </c>
      <c r="F40" s="20" t="n">
        <v>1.8346388</v>
      </c>
      <c r="G40" s="18" t="n">
        <v>45.9759786</v>
      </c>
      <c r="H40" s="20" t="n">
        <v>1.84328112</v>
      </c>
      <c r="I40" s="18" t="s">
        <v>349</v>
      </c>
      <c r="J40" s="20" t="s">
        <v>349</v>
      </c>
      <c r="K40" s="18" t="n">
        <v>0.13919449</v>
      </c>
      <c r="L40" s="20" t="n">
        <v>0.0989051</v>
      </c>
      <c r="M40" s="18" t="n">
        <v>0</v>
      </c>
      <c r="N40" s="20" t="n">
        <v>0</v>
      </c>
      <c r="O40" s="18" t="n">
        <v>0</v>
      </c>
      <c r="P40" s="20" t="n">
        <v>0</v>
      </c>
      <c r="Q40" s="18" t="n">
        <v>1.04103398</v>
      </c>
      <c r="R40" s="20" t="n">
        <v>0.42536652</v>
      </c>
    </row>
    <row r="41" spans="1:18">
      <c r="A41" s="15" t="s">
        <v>383</v>
      </c>
      <c r="B41" s="17" t="n">
        <v>5712</v>
      </c>
      <c r="C41" s="18">
        <f>(4982.0/B41*100)</f>
        <v/>
      </c>
      <c r="D41" s="19" t="n">
        <v>730</v>
      </c>
      <c r="E41" s="18" t="n">
        <v>70.54468998999999</v>
      </c>
      <c r="F41" s="20" t="n">
        <v>1.84934456</v>
      </c>
      <c r="G41" s="18" t="n">
        <v>28.78903725</v>
      </c>
      <c r="H41" s="20" t="n">
        <v>1.93687089</v>
      </c>
      <c r="I41" s="18" t="s">
        <v>349</v>
      </c>
      <c r="J41" s="20" t="s">
        <v>349</v>
      </c>
      <c r="K41" s="18" t="n">
        <v>0.1050719</v>
      </c>
      <c r="L41" s="20" t="n">
        <v>0.10885022</v>
      </c>
      <c r="M41" s="18" t="n">
        <v>0</v>
      </c>
      <c r="N41" s="20" t="n">
        <v>0</v>
      </c>
      <c r="O41" s="18" t="n">
        <v>0</v>
      </c>
      <c r="P41" s="20" t="n">
        <v>0</v>
      </c>
      <c r="Q41" s="18" t="n">
        <v>0.56120087</v>
      </c>
      <c r="R41" s="20" t="n">
        <v>0.47138024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(20488.0/B46*100)</f>
        <v/>
      </c>
      <c r="D46" s="19" t="n">
        <v>2653</v>
      </c>
      <c r="E46" s="18" t="n">
        <v>85.7580869</v>
      </c>
      <c r="F46" s="20" t="n">
        <v>0.97289887</v>
      </c>
      <c r="G46" s="18" t="n">
        <v>12.53348586</v>
      </c>
      <c r="H46" s="20" t="n">
        <v>0.90362306</v>
      </c>
      <c r="I46" s="18" t="s">
        <v>349</v>
      </c>
      <c r="J46" s="20" t="s">
        <v>349</v>
      </c>
      <c r="K46" s="18" t="n">
        <v>0.35387148</v>
      </c>
      <c r="L46" s="20" t="n">
        <v>0.18984982</v>
      </c>
      <c r="M46" s="18" t="n">
        <v>0</v>
      </c>
      <c r="N46" s="20" t="n">
        <v>0</v>
      </c>
      <c r="O46" s="18" t="n">
        <v>0</v>
      </c>
      <c r="P46" s="20" t="n">
        <v>0</v>
      </c>
      <c r="Q46" s="18" t="n">
        <v>1.35455576</v>
      </c>
      <c r="R46" s="20" t="n">
        <v>0.27627452</v>
      </c>
    </row>
    <row r="47" spans="1:18">
      <c r="A47" s="15" t="s">
        <v>389</v>
      </c>
      <c r="B47" s="17" t="n">
        <v>5928</v>
      </c>
      <c r="C47" s="18">
        <f>(5179.0/B47*100)</f>
        <v/>
      </c>
      <c r="D47" s="19" t="n">
        <v>749</v>
      </c>
      <c r="E47" s="18" t="n">
        <v>82.53988445</v>
      </c>
      <c r="F47" s="20" t="n">
        <v>1.55167162</v>
      </c>
      <c r="G47" s="18" t="n">
        <v>16.66523167</v>
      </c>
      <c r="H47" s="20" t="n">
        <v>1.52426117</v>
      </c>
      <c r="I47" s="18" t="s">
        <v>349</v>
      </c>
      <c r="J47" s="20" t="s">
        <v>349</v>
      </c>
      <c r="K47" s="18" t="n">
        <v>0.1269015</v>
      </c>
      <c r="L47" s="20" t="n">
        <v>0.12741907</v>
      </c>
      <c r="M47" s="18" t="n">
        <v>0</v>
      </c>
      <c r="N47" s="20" t="n">
        <v>0</v>
      </c>
      <c r="O47" s="18" t="n">
        <v>0</v>
      </c>
      <c r="P47" s="20" t="n">
        <v>0</v>
      </c>
      <c r="Q47" s="18" t="n">
        <v>0.66798238</v>
      </c>
      <c r="R47" s="20" t="n">
        <v>0.29665634</v>
      </c>
    </row>
    <row r="48" spans="1:18">
      <c r="A48" s="15" t="s">
        <v>390</v>
      </c>
      <c r="B48" s="17" t="n">
        <v>9841</v>
      </c>
      <c r="C48" s="18">
        <f>(8646.0/B48*100)</f>
        <v/>
      </c>
      <c r="D48" s="19" t="n">
        <v>1195</v>
      </c>
      <c r="E48" s="18" t="n">
        <v>53.8203665</v>
      </c>
      <c r="F48" s="20" t="n">
        <v>2.10929655</v>
      </c>
      <c r="G48" s="18" t="n">
        <v>45.75280454</v>
      </c>
      <c r="H48" s="20" t="n">
        <v>2.10053005</v>
      </c>
      <c r="I48" s="18" t="s">
        <v>349</v>
      </c>
      <c r="J48" s="20" t="s">
        <v>349</v>
      </c>
      <c r="K48" s="18" t="n">
        <v>0.4234865</v>
      </c>
      <c r="L48" s="20" t="n">
        <v>0.25728094</v>
      </c>
      <c r="M48" s="18" t="n">
        <v>0</v>
      </c>
      <c r="N48" s="20" t="n">
        <v>0</v>
      </c>
      <c r="O48" s="18" t="n">
        <v>0</v>
      </c>
      <c r="P48" s="20" t="n">
        <v>0</v>
      </c>
      <c r="Q48" s="18" t="n">
        <v>0.00334246</v>
      </c>
      <c r="R48" s="20" t="n">
        <v>0.00226238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(10384.0/B50*100)</f>
        <v/>
      </c>
      <c r="D50" s="19" t="n">
        <v>1411</v>
      </c>
      <c r="E50" s="18" t="n">
        <v>88.83824081</v>
      </c>
      <c r="F50" s="20" t="n">
        <v>0.99179938</v>
      </c>
      <c r="G50" s="18" t="n">
        <v>10.2666356</v>
      </c>
      <c r="H50" s="20" t="n">
        <v>0.95821795</v>
      </c>
      <c r="I50" s="18" t="s">
        <v>349</v>
      </c>
      <c r="J50" s="20" t="s">
        <v>349</v>
      </c>
      <c r="K50" s="18" t="n">
        <v>0.82976651</v>
      </c>
      <c r="L50" s="20" t="n">
        <v>0.28324205</v>
      </c>
      <c r="M50" s="18" t="n">
        <v>0</v>
      </c>
      <c r="N50" s="20" t="n">
        <v>0</v>
      </c>
      <c r="O50" s="18" t="n">
        <v>0</v>
      </c>
      <c r="P50" s="20" t="n">
        <v>0</v>
      </c>
      <c r="Q50" s="18" t="n">
        <v>0.06535709000000001</v>
      </c>
      <c r="R50" s="20" t="n">
        <v>0.05845049</v>
      </c>
    </row>
    <row r="51" spans="1:18">
      <c r="A51" s="15" t="s">
        <v>393</v>
      </c>
      <c r="B51" s="17" t="n">
        <v>6866</v>
      </c>
      <c r="C51" s="18">
        <f>(6119.0/B51*100)</f>
        <v/>
      </c>
      <c r="D51" s="19" t="n">
        <v>747</v>
      </c>
      <c r="E51" s="18" t="n">
        <v>77.31085388</v>
      </c>
      <c r="F51" s="20" t="n">
        <v>1.37492202</v>
      </c>
      <c r="G51" s="18" t="n">
        <v>21.75905175</v>
      </c>
      <c r="H51" s="20" t="n">
        <v>1.36618362</v>
      </c>
      <c r="I51" s="18" t="s">
        <v>349</v>
      </c>
      <c r="J51" s="20" t="s">
        <v>349</v>
      </c>
      <c r="K51" s="18" t="n">
        <v>0.30751061</v>
      </c>
      <c r="L51" s="20" t="n">
        <v>0.22089974</v>
      </c>
      <c r="M51" s="18" t="n">
        <v>0</v>
      </c>
      <c r="N51" s="20" t="n">
        <v>0</v>
      </c>
      <c r="O51" s="18" t="n">
        <v>0</v>
      </c>
      <c r="P51" s="20" t="n">
        <v>0</v>
      </c>
      <c r="Q51" s="18" t="n">
        <v>0.62258376</v>
      </c>
      <c r="R51" s="20" t="n">
        <v>0.3301225</v>
      </c>
    </row>
    <row r="52" spans="1:18">
      <c r="A52" s="15" t="s">
        <v>394</v>
      </c>
      <c r="B52" s="17" t="n">
        <v>5809</v>
      </c>
      <c r="C52" s="18">
        <f>(5081.0/B52*100)</f>
        <v/>
      </c>
      <c r="D52" s="19" t="n">
        <v>728</v>
      </c>
      <c r="E52" s="18" t="n">
        <v>76.70600729</v>
      </c>
      <c r="F52" s="20" t="n">
        <v>1.64792714</v>
      </c>
      <c r="G52" s="18" t="n">
        <v>22.86729788</v>
      </c>
      <c r="H52" s="20" t="n">
        <v>1.62688605</v>
      </c>
      <c r="I52" s="18" t="s">
        <v>349</v>
      </c>
      <c r="J52" s="20" t="s">
        <v>349</v>
      </c>
      <c r="K52" s="18" t="n">
        <v>0.10312799</v>
      </c>
      <c r="L52" s="20" t="n">
        <v>0.10328518</v>
      </c>
      <c r="M52" s="18" t="n">
        <v>0</v>
      </c>
      <c r="N52" s="20" t="n">
        <v>0</v>
      </c>
      <c r="O52" s="18" t="n">
        <v>0</v>
      </c>
      <c r="P52" s="20" t="n">
        <v>0</v>
      </c>
      <c r="Q52" s="18" t="n">
        <v>0.32356685</v>
      </c>
      <c r="R52" s="20" t="n">
        <v>0.1870915</v>
      </c>
    </row>
    <row r="53" spans="1:18">
      <c r="A53" s="15" t="s">
        <v>395</v>
      </c>
      <c r="B53" s="17" t="n">
        <v>5571</v>
      </c>
      <c r="C53" s="18">
        <f>(4885.0/B53*100)</f>
        <v/>
      </c>
      <c r="D53" s="19" t="n">
        <v>686</v>
      </c>
      <c r="E53" s="18" t="n">
        <v>59.76334297</v>
      </c>
      <c r="F53" s="20" t="n">
        <v>2.20191879</v>
      </c>
      <c r="G53" s="18" t="n">
        <v>39.64023015</v>
      </c>
      <c r="H53" s="20" t="n">
        <v>2.20019414</v>
      </c>
      <c r="I53" s="18" t="s">
        <v>349</v>
      </c>
      <c r="J53" s="20" t="s">
        <v>349</v>
      </c>
      <c r="K53" s="18" t="n">
        <v>0.09684094</v>
      </c>
      <c r="L53" s="20" t="n">
        <v>0.09733192</v>
      </c>
      <c r="M53" s="18" t="n">
        <v>0</v>
      </c>
      <c r="N53" s="20" t="n">
        <v>0</v>
      </c>
      <c r="O53" s="18" t="n">
        <v>0</v>
      </c>
      <c r="P53" s="20" t="n">
        <v>0</v>
      </c>
      <c r="Q53" s="18" t="n">
        <v>0.49958594</v>
      </c>
      <c r="R53" s="20" t="n">
        <v>0.25989155</v>
      </c>
    </row>
    <row r="54" spans="1:18">
      <c r="A54" s="15" t="s">
        <v>396</v>
      </c>
      <c r="B54" s="17" t="n">
        <v>4740</v>
      </c>
      <c r="C54" s="18">
        <f>(3952.0/B54*100)</f>
        <v/>
      </c>
      <c r="D54" s="19" t="n">
        <v>788</v>
      </c>
      <c r="E54" s="18" t="n">
        <v>84.07301853</v>
      </c>
      <c r="F54" s="20" t="n">
        <v>1.40068844</v>
      </c>
      <c r="G54" s="18" t="n">
        <v>7.41202612</v>
      </c>
      <c r="H54" s="20" t="n">
        <v>0.85042735</v>
      </c>
      <c r="I54" s="18" t="s">
        <v>349</v>
      </c>
      <c r="J54" s="20" t="s">
        <v>349</v>
      </c>
      <c r="K54" s="18" t="n">
        <v>5.72594114</v>
      </c>
      <c r="L54" s="20" t="n">
        <v>0.95489964</v>
      </c>
      <c r="M54" s="18" t="n">
        <v>0</v>
      </c>
      <c r="N54" s="20" t="n">
        <v>0</v>
      </c>
      <c r="O54" s="18" t="n">
        <v>0</v>
      </c>
      <c r="P54" s="20" t="n">
        <v>0</v>
      </c>
      <c r="Q54" s="18" t="n">
        <v>2.78901421</v>
      </c>
      <c r="R54" s="20" t="n">
        <v>0.86878623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(4703.0/B56*100)</f>
        <v/>
      </c>
      <c r="D56" s="19" t="n">
        <v>656</v>
      </c>
      <c r="E56" s="18" t="n">
        <v>44.42760868</v>
      </c>
      <c r="F56" s="20" t="n">
        <v>2.14272719</v>
      </c>
      <c r="G56" s="18" t="n">
        <v>55.18374207</v>
      </c>
      <c r="H56" s="20" t="n">
        <v>2.13405988</v>
      </c>
      <c r="I56" s="18" t="s">
        <v>349</v>
      </c>
      <c r="J56" s="20" t="s">
        <v>349</v>
      </c>
      <c r="K56" s="18" t="n">
        <v>0.12681806</v>
      </c>
      <c r="L56" s="20" t="n">
        <v>0.12907317</v>
      </c>
      <c r="M56" s="18" t="n">
        <v>0</v>
      </c>
      <c r="N56" s="20" t="n">
        <v>0</v>
      </c>
      <c r="O56" s="18" t="n">
        <v>0</v>
      </c>
      <c r="P56" s="20" t="n">
        <v>0</v>
      </c>
      <c r="Q56" s="18" t="n">
        <v>0.26183119</v>
      </c>
      <c r="R56" s="20" t="n">
        <v>0.1879242</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(5713.0/B61*100)</f>
        <v/>
      </c>
      <c r="D61" s="19" t="n">
        <v>812</v>
      </c>
      <c r="E61" s="18" t="n">
        <v>77.65817013</v>
      </c>
      <c r="F61" s="20" t="n">
        <v>1.7163741</v>
      </c>
      <c r="G61" s="18" t="n">
        <v>21.41549202</v>
      </c>
      <c r="H61" s="20" t="n">
        <v>1.6669242</v>
      </c>
      <c r="I61" s="18" t="s">
        <v>349</v>
      </c>
      <c r="J61" s="20" t="s">
        <v>349</v>
      </c>
      <c r="K61" s="18" t="n">
        <v>0.36022317</v>
      </c>
      <c r="L61" s="20" t="n">
        <v>0.35282544</v>
      </c>
      <c r="M61" s="18" t="n">
        <v>0</v>
      </c>
      <c r="N61" s="20" t="n">
        <v>0</v>
      </c>
      <c r="O61" s="18" t="n">
        <v>0</v>
      </c>
      <c r="P61" s="20" t="n">
        <v>0</v>
      </c>
      <c r="Q61" s="18" t="n">
        <v>0.56611469</v>
      </c>
      <c r="R61" s="20" t="n">
        <v>0.32209963</v>
      </c>
    </row>
    <row r="62" spans="1:18">
      <c r="A62" s="15" t="s">
        <v>404</v>
      </c>
      <c r="B62" s="17" t="n">
        <v>4476</v>
      </c>
      <c r="C62" s="18">
        <f>(3923.0/B62*100)</f>
        <v/>
      </c>
      <c r="D62" s="19" t="n">
        <v>553</v>
      </c>
      <c r="E62" s="18" t="n">
        <v>40.87833555</v>
      </c>
      <c r="F62" s="20" t="n">
        <v>2.02143527</v>
      </c>
      <c r="G62" s="18" t="n">
        <v>59.12166445</v>
      </c>
      <c r="H62" s="20" t="n">
        <v>2.02143527</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76.71689352</v>
      </c>
      <c r="F66" s="20" t="n">
        <v>1.45660878</v>
      </c>
      <c r="G66" s="18" t="n">
        <v>21.67491059</v>
      </c>
      <c r="H66" s="20" t="n">
        <v>1.33893021</v>
      </c>
      <c r="I66" s="18" t="s">
        <v>349</v>
      </c>
      <c r="J66" s="20" t="s">
        <v>349</v>
      </c>
      <c r="K66" s="18" t="n">
        <v>0.25603593</v>
      </c>
      <c r="L66" s="20" t="n">
        <v>0.1823882</v>
      </c>
      <c r="M66" s="18" t="n">
        <v>0</v>
      </c>
      <c r="N66" s="20" t="n">
        <v>0</v>
      </c>
      <c r="O66" s="18" t="n">
        <v>0</v>
      </c>
      <c r="P66" s="20" t="n">
        <v>0</v>
      </c>
      <c r="Q66" s="18" t="n">
        <v>1.35215997</v>
      </c>
      <c r="R66" s="20" t="n">
        <v>0.41724258</v>
      </c>
    </row>
    <row r="67" spans="1:18">
      <c r="A67" s="15" t="s">
        <v>409</v>
      </c>
      <c r="B67" s="17" t="n">
        <v>6971</v>
      </c>
      <c r="C67" s="18">
        <f>(6133.0/B67*100)</f>
        <v/>
      </c>
      <c r="D67" s="19" t="n">
        <v>838</v>
      </c>
      <c r="E67" s="18" t="n">
        <v>92.7828856</v>
      </c>
      <c r="F67" s="20" t="n">
        <v>0.7280090299999999</v>
      </c>
      <c r="G67" s="18" t="n">
        <v>6.3615706</v>
      </c>
      <c r="H67" s="20" t="n">
        <v>0.62653682</v>
      </c>
      <c r="I67" s="18" t="s">
        <v>349</v>
      </c>
      <c r="J67" s="20" t="s">
        <v>349</v>
      </c>
      <c r="K67" s="18" t="n">
        <v>0.25032992</v>
      </c>
      <c r="L67" s="20" t="n">
        <v>0.18343601</v>
      </c>
      <c r="M67" s="18" t="n">
        <v>0</v>
      </c>
      <c r="N67" s="20" t="n">
        <v>0</v>
      </c>
      <c r="O67" s="18" t="n">
        <v>0</v>
      </c>
      <c r="P67" s="20" t="n">
        <v>0</v>
      </c>
      <c r="Q67" s="18" t="n">
        <v>0.60521388</v>
      </c>
      <c r="R67" s="20" t="n">
        <v>0.28482055</v>
      </c>
    </row>
    <row r="68" spans="1:18">
      <c r="A68" s="15" t="s">
        <v>410</v>
      </c>
      <c r="B68" s="17" t="n">
        <v>12083</v>
      </c>
      <c r="C68" s="18">
        <f>(10098.0/B68*100)</f>
        <v/>
      </c>
      <c r="D68" s="19" t="n">
        <v>1985</v>
      </c>
      <c r="E68" s="18" t="n">
        <v>87.16082245</v>
      </c>
      <c r="F68" s="20" t="n">
        <v>0.71402345</v>
      </c>
      <c r="G68" s="18" t="n">
        <v>10.18522048</v>
      </c>
      <c r="H68" s="20" t="n">
        <v>0.64851342</v>
      </c>
      <c r="I68" s="18" t="s">
        <v>349</v>
      </c>
      <c r="J68" s="20" t="s">
        <v>349</v>
      </c>
      <c r="K68" s="18" t="n">
        <v>1.30212782</v>
      </c>
      <c r="L68" s="20" t="n">
        <v>0.25607523</v>
      </c>
      <c r="M68" s="18" t="n">
        <v>0</v>
      </c>
      <c r="N68" s="20" t="n">
        <v>0</v>
      </c>
      <c r="O68" s="18" t="n">
        <v>0</v>
      </c>
      <c r="P68" s="20" t="n">
        <v>0</v>
      </c>
      <c r="Q68" s="18" t="n">
        <v>1.35182924</v>
      </c>
      <c r="R68" s="20" t="n">
        <v>0.2422547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(5311.0/B70*100)</f>
        <v/>
      </c>
      <c r="D70" s="19" t="n">
        <v>725</v>
      </c>
      <c r="E70" s="18" t="n">
        <v>83.85857119000001</v>
      </c>
      <c r="F70" s="20" t="n">
        <v>1.61449404</v>
      </c>
      <c r="G70" s="18" t="n">
        <v>15.6582847</v>
      </c>
      <c r="H70" s="20" t="n">
        <v>1.58313374</v>
      </c>
      <c r="I70" s="18" t="s">
        <v>349</v>
      </c>
      <c r="J70" s="20" t="s">
        <v>349</v>
      </c>
      <c r="K70" s="18" t="n">
        <v>0.1668535</v>
      </c>
      <c r="L70" s="20" t="n">
        <v>0.11724727</v>
      </c>
      <c r="M70" s="18" t="n">
        <v>0</v>
      </c>
      <c r="N70" s="20" t="n">
        <v>0</v>
      </c>
      <c r="O70" s="18" t="n">
        <v>0</v>
      </c>
      <c r="P70" s="20" t="n">
        <v>0</v>
      </c>
      <c r="Q70" s="18" t="n">
        <v>0.31629061</v>
      </c>
      <c r="R70" s="20" t="n">
        <v>0.16188052</v>
      </c>
    </row>
    <row r="71" spans="1:18">
      <c r="A71" s="15" t="s">
        <v>413</v>
      </c>
      <c r="B71" s="17" t="n">
        <v>6115</v>
      </c>
      <c r="C71" s="18">
        <f>(5379.0/B71*100)</f>
        <v/>
      </c>
      <c r="D71" s="19" t="n">
        <v>736</v>
      </c>
      <c r="E71" s="18" t="n">
        <v>53.78601439</v>
      </c>
      <c r="F71" s="20" t="n">
        <v>2.07246944</v>
      </c>
      <c r="G71" s="18" t="n">
        <v>45.76241065</v>
      </c>
      <c r="H71" s="20" t="n">
        <v>2.06256007</v>
      </c>
      <c r="I71" s="18" t="s">
        <v>349</v>
      </c>
      <c r="J71" s="20" t="s">
        <v>349</v>
      </c>
      <c r="K71" s="18" t="n">
        <v>0.16111958</v>
      </c>
      <c r="L71" s="20" t="n">
        <v>0.16096991</v>
      </c>
      <c r="M71" s="18" t="n">
        <v>0</v>
      </c>
      <c r="N71" s="20" t="n">
        <v>0</v>
      </c>
      <c r="O71" s="18" t="n">
        <v>0</v>
      </c>
      <c r="P71" s="20" t="n">
        <v>0</v>
      </c>
      <c r="Q71" s="18" t="n">
        <v>0.29045537</v>
      </c>
      <c r="R71" s="20" t="n">
        <v>0.20487455</v>
      </c>
    </row>
    <row r="72" spans="1:18">
      <c r="A72" s="15" t="s">
        <v>414</v>
      </c>
      <c r="B72" s="17" t="n">
        <v>7708</v>
      </c>
      <c r="C72" s="18">
        <f>(6752.0/B72*100)</f>
        <v/>
      </c>
      <c r="D72" s="19" t="n">
        <v>956</v>
      </c>
      <c r="E72" s="18" t="n">
        <v>57.52153874</v>
      </c>
      <c r="F72" s="20" t="n">
        <v>1.79005224</v>
      </c>
      <c r="G72" s="18" t="n">
        <v>42.37629402</v>
      </c>
      <c r="H72" s="20" t="n">
        <v>1.79623883</v>
      </c>
      <c r="I72" s="18" t="s">
        <v>349</v>
      </c>
      <c r="J72" s="20" t="s">
        <v>349</v>
      </c>
      <c r="K72" s="18" t="n">
        <v>0</v>
      </c>
      <c r="L72" s="20" t="n">
        <v>0</v>
      </c>
      <c r="M72" s="18" t="n">
        <v>0</v>
      </c>
      <c r="N72" s="20" t="n">
        <v>0</v>
      </c>
      <c r="O72" s="18" t="n">
        <v>0</v>
      </c>
      <c r="P72" s="20" t="n">
        <v>0</v>
      </c>
      <c r="Q72" s="18" t="n">
        <v>0.10216724</v>
      </c>
      <c r="R72" s="20" t="n">
        <v>0.10278383</v>
      </c>
    </row>
    <row r="73" spans="1:18">
      <c r="A73" s="15" t="s">
        <v>415</v>
      </c>
      <c r="B73" s="17" t="n">
        <v>8249</v>
      </c>
      <c r="C73" s="18">
        <f>(7235.0/B73*100)</f>
        <v/>
      </c>
      <c r="D73" s="19" t="n">
        <v>1014</v>
      </c>
      <c r="E73" s="18" t="n">
        <v>77.47980337</v>
      </c>
      <c r="F73" s="20" t="n">
        <v>1.57549446</v>
      </c>
      <c r="G73" s="18" t="n">
        <v>22.04907126</v>
      </c>
      <c r="H73" s="20" t="n">
        <v>1.5494033</v>
      </c>
      <c r="I73" s="18" t="s">
        <v>349</v>
      </c>
      <c r="J73" s="20" t="s">
        <v>349</v>
      </c>
      <c r="K73" s="18" t="n">
        <v>0</v>
      </c>
      <c r="L73" s="20" t="n">
        <v>0</v>
      </c>
      <c r="M73" s="18" t="n">
        <v>0</v>
      </c>
      <c r="N73" s="20" t="n">
        <v>0</v>
      </c>
      <c r="O73" s="18" t="n">
        <v>0</v>
      </c>
      <c r="P73" s="20" t="n">
        <v>0</v>
      </c>
      <c r="Q73" s="18" t="n">
        <v>0.47112537</v>
      </c>
      <c r="R73" s="20" t="n">
        <v>0.26537124</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(4753.0/B75*100)</f>
        <v/>
      </c>
      <c r="D75" s="19" t="n">
        <v>622</v>
      </c>
      <c r="E75" s="18" t="n">
        <v>90.62341243</v>
      </c>
      <c r="F75" s="20" t="n">
        <v>1.26039033</v>
      </c>
      <c r="G75" s="18" t="n">
        <v>6.39313556</v>
      </c>
      <c r="H75" s="20" t="n">
        <v>0.93936385</v>
      </c>
      <c r="I75" s="18" t="s">
        <v>349</v>
      </c>
      <c r="J75" s="20" t="s">
        <v>349</v>
      </c>
      <c r="K75" s="18" t="n">
        <v>1.30949495</v>
      </c>
      <c r="L75" s="20" t="n">
        <v>0.61585482</v>
      </c>
      <c r="M75" s="18" t="n">
        <v>0</v>
      </c>
      <c r="N75" s="20" t="n">
        <v>0</v>
      </c>
      <c r="O75" s="18" t="n">
        <v>0</v>
      </c>
      <c r="P75" s="20" t="n">
        <v>0</v>
      </c>
      <c r="Q75" s="18" t="n">
        <v>1.67395706</v>
      </c>
      <c r="R75" s="20" t="n">
        <v>0.54672189</v>
      </c>
    </row>
    <row r="76" spans="1:18">
      <c r="A76" s="15" t="s">
        <v>418</v>
      </c>
      <c r="B76" s="17" t="n">
        <v>14167</v>
      </c>
      <c r="C76" s="18">
        <f>(12477.0/B76*100)</f>
        <v/>
      </c>
      <c r="D76" s="19" t="n">
        <v>1690</v>
      </c>
      <c r="E76" s="18" t="n">
        <v>85.70122511</v>
      </c>
      <c r="F76" s="20" t="n">
        <v>1.22888456</v>
      </c>
      <c r="G76" s="18" t="n">
        <v>13.12668698</v>
      </c>
      <c r="H76" s="20" t="n">
        <v>1.22196348</v>
      </c>
      <c r="I76" s="18" t="s">
        <v>349</v>
      </c>
      <c r="J76" s="20" t="s">
        <v>349</v>
      </c>
      <c r="K76" s="18" t="n">
        <v>0.42248799</v>
      </c>
      <c r="L76" s="20" t="n">
        <v>0.1961364</v>
      </c>
      <c r="M76" s="18" t="n">
        <v>0</v>
      </c>
      <c r="N76" s="20" t="n">
        <v>0</v>
      </c>
      <c r="O76" s="18" t="n">
        <v>0</v>
      </c>
      <c r="P76" s="20" t="n">
        <v>0</v>
      </c>
      <c r="Q76" s="18" t="n">
        <v>0.74959993</v>
      </c>
      <c r="R76" s="20" t="n">
        <v>0.22435521</v>
      </c>
    </row>
    <row r="77" spans="1:18">
      <c r="A77" s="15" t="s">
        <v>419</v>
      </c>
      <c r="B77" s="17" t="n">
        <v>6062</v>
      </c>
      <c r="C77" s="18">
        <f>(5326.0/B77*100)</f>
        <v/>
      </c>
      <c r="D77" s="19" t="n">
        <v>736</v>
      </c>
      <c r="E77" s="18" t="n">
        <v>78.85170282</v>
      </c>
      <c r="F77" s="20" t="n">
        <v>1.4421632</v>
      </c>
      <c r="G77" s="18" t="n">
        <v>19.48972535</v>
      </c>
      <c r="H77" s="20" t="n">
        <v>1.36869244</v>
      </c>
      <c r="I77" s="18" t="s">
        <v>349</v>
      </c>
      <c r="J77" s="20" t="s">
        <v>349</v>
      </c>
      <c r="K77" s="18" t="n">
        <v>0.44499139</v>
      </c>
      <c r="L77" s="20" t="n">
        <v>0.28392085</v>
      </c>
      <c r="M77" s="18" t="n">
        <v>0</v>
      </c>
      <c r="N77" s="20" t="n">
        <v>0</v>
      </c>
      <c r="O77" s="18" t="n">
        <v>0</v>
      </c>
      <c r="P77" s="20" t="n">
        <v>0</v>
      </c>
      <c r="Q77" s="18" t="n">
        <v>1.21358043</v>
      </c>
      <c r="R77" s="20" t="n">
        <v>0.42431265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(7766.0/B81*100)</f>
        <v/>
      </c>
      <c r="D81" s="19" t="n">
        <v>1095</v>
      </c>
      <c r="E81" s="18" t="n">
        <v>95.84809807000001</v>
      </c>
      <c r="F81" s="20" t="n">
        <v>0.73932466</v>
      </c>
      <c r="G81" s="18" t="n">
        <v>4.00861935</v>
      </c>
      <c r="H81" s="20" t="n">
        <v>0.75059567</v>
      </c>
      <c r="I81" s="18" t="s">
        <v>349</v>
      </c>
      <c r="J81" s="20" t="s">
        <v>349</v>
      </c>
      <c r="K81" s="18" t="n">
        <v>0</v>
      </c>
      <c r="L81" s="20" t="n">
        <v>0</v>
      </c>
      <c r="M81" s="18" t="n">
        <v>0</v>
      </c>
      <c r="N81" s="20" t="n">
        <v>0</v>
      </c>
      <c r="O81" s="18" t="n">
        <v>0</v>
      </c>
      <c r="P81" s="20" t="n">
        <v>0</v>
      </c>
      <c r="Q81" s="18" t="n">
        <v>0.14328258</v>
      </c>
      <c r="R81" s="20" t="n">
        <v>0.14252544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(12742.0/B7*100)</f>
        <v/>
      </c>
      <c r="D7" s="19" t="n">
        <v>1788</v>
      </c>
      <c r="E7" s="18" t="n">
        <v>39.20663593</v>
      </c>
      <c r="F7" s="20" t="n">
        <v>1.45403675</v>
      </c>
      <c r="G7" s="18" t="n">
        <v>59.97962623</v>
      </c>
      <c r="H7" s="20" t="n">
        <v>1.42594132</v>
      </c>
      <c r="I7" s="18" t="s">
        <v>349</v>
      </c>
      <c r="J7" s="20" t="s">
        <v>349</v>
      </c>
      <c r="K7" s="18" t="n">
        <v>0.47739964</v>
      </c>
      <c r="L7" s="20" t="n">
        <v>0.19606066</v>
      </c>
      <c r="M7" s="18" t="n">
        <v>0</v>
      </c>
      <c r="N7" s="20" t="n">
        <v>0</v>
      </c>
      <c r="O7" s="18" t="n">
        <v>0</v>
      </c>
      <c r="P7" s="20" t="n">
        <v>0</v>
      </c>
      <c r="Q7" s="18" t="n">
        <v>0.3363382</v>
      </c>
      <c r="R7" s="20" t="n">
        <v>0.10892801</v>
      </c>
    </row>
    <row r="8" spans="1:18">
      <c r="A8" s="15" t="s">
        <v>350</v>
      </c>
      <c r="B8" s="17" t="n">
        <v>7007</v>
      </c>
      <c r="C8" s="18">
        <f>(6156.0/B8*100)</f>
        <v/>
      </c>
      <c r="D8" s="19" t="n">
        <v>851</v>
      </c>
      <c r="E8" s="18" t="n">
        <v>48.11094816</v>
      </c>
      <c r="F8" s="20" t="n">
        <v>1.83340235</v>
      </c>
      <c r="G8" s="18" t="n">
        <v>51.44354031</v>
      </c>
      <c r="H8" s="20" t="n">
        <v>1.83446127</v>
      </c>
      <c r="I8" s="18" t="s">
        <v>349</v>
      </c>
      <c r="J8" s="20" t="s">
        <v>349</v>
      </c>
      <c r="K8" s="18" t="n">
        <v>0</v>
      </c>
      <c r="L8" s="20" t="n">
        <v>0</v>
      </c>
      <c r="M8" s="18" t="n">
        <v>0</v>
      </c>
      <c r="N8" s="20" t="n">
        <v>0</v>
      </c>
      <c r="O8" s="18" t="n">
        <v>0</v>
      </c>
      <c r="P8" s="20" t="n">
        <v>0</v>
      </c>
      <c r="Q8" s="18" t="n">
        <v>0.44551153</v>
      </c>
      <c r="R8" s="20" t="n">
        <v>0.23628254</v>
      </c>
    </row>
    <row r="9" spans="1:18">
      <c r="A9" s="15" t="s">
        <v>351</v>
      </c>
      <c r="B9" s="17" t="n">
        <v>9651</v>
      </c>
      <c r="C9" s="18">
        <f>(8506.0/B9*100)</f>
        <v/>
      </c>
      <c r="D9" s="19" t="n">
        <v>1145</v>
      </c>
      <c r="E9" s="18" t="n">
        <v>52.23536746</v>
      </c>
      <c r="F9" s="20" t="n">
        <v>1.18023835</v>
      </c>
      <c r="G9" s="18" t="n">
        <v>47.46536759</v>
      </c>
      <c r="H9" s="20" t="n">
        <v>1.18106555</v>
      </c>
      <c r="I9" s="18" t="s">
        <v>349</v>
      </c>
      <c r="J9" s="20" t="s">
        <v>349</v>
      </c>
      <c r="K9" s="18" t="n">
        <v>0.12138798</v>
      </c>
      <c r="L9" s="20" t="n">
        <v>0.12092405</v>
      </c>
      <c r="M9" s="18" t="n">
        <v>0</v>
      </c>
      <c r="N9" s="20" t="n">
        <v>0</v>
      </c>
      <c r="O9" s="18" t="n">
        <v>0</v>
      </c>
      <c r="P9" s="20" t="n">
        <v>0</v>
      </c>
      <c r="Q9" s="18" t="n">
        <v>0.17787697</v>
      </c>
      <c r="R9" s="20" t="n">
        <v>0.12673988</v>
      </c>
    </row>
    <row r="10" spans="1:18">
      <c r="A10" s="15" t="s">
        <v>352</v>
      </c>
      <c r="B10" s="17" t="n">
        <v>20058</v>
      </c>
      <c r="C10" s="18">
        <f>(17601.0/B10*100)</f>
        <v/>
      </c>
      <c r="D10" s="19" t="n">
        <v>2457</v>
      </c>
      <c r="E10" s="18" t="n">
        <v>33.80877552</v>
      </c>
      <c r="F10" s="20" t="n">
        <v>1.38890936</v>
      </c>
      <c r="G10" s="18" t="n">
        <v>65.71886618000001</v>
      </c>
      <c r="H10" s="20" t="n">
        <v>1.3937655</v>
      </c>
      <c r="I10" s="18" t="s">
        <v>349</v>
      </c>
      <c r="J10" s="20" t="s">
        <v>349</v>
      </c>
      <c r="K10" s="18" t="n">
        <v>0.19874982</v>
      </c>
      <c r="L10" s="20" t="n">
        <v>0.08825113</v>
      </c>
      <c r="M10" s="18" t="n">
        <v>0</v>
      </c>
      <c r="N10" s="20" t="n">
        <v>0</v>
      </c>
      <c r="O10" s="18" t="n">
        <v>0</v>
      </c>
      <c r="P10" s="20" t="n">
        <v>0</v>
      </c>
      <c r="Q10" s="18" t="n">
        <v>0.27360849</v>
      </c>
      <c r="R10" s="20" t="n">
        <v>0.19765367</v>
      </c>
    </row>
    <row r="11" spans="1:18">
      <c r="A11" s="15" t="s">
        <v>353</v>
      </c>
      <c r="B11" s="17" t="n">
        <v>7053</v>
      </c>
      <c r="C11" s="18">
        <f>(6210.0/B11*100)</f>
        <v/>
      </c>
      <c r="D11" s="19" t="n">
        <v>843</v>
      </c>
      <c r="E11" s="18" t="n">
        <v>63.27753666</v>
      </c>
      <c r="F11" s="20" t="n">
        <v>1.70364405</v>
      </c>
      <c r="G11" s="18" t="n">
        <v>36.27000506</v>
      </c>
      <c r="H11" s="20" t="n">
        <v>1.70179211</v>
      </c>
      <c r="I11" s="18" t="s">
        <v>349</v>
      </c>
      <c r="J11" s="20" t="s">
        <v>349</v>
      </c>
      <c r="K11" s="18" t="n">
        <v>0.35033733</v>
      </c>
      <c r="L11" s="20" t="n">
        <v>0.22021958</v>
      </c>
      <c r="M11" s="18" t="n">
        <v>0</v>
      </c>
      <c r="N11" s="20" t="n">
        <v>0</v>
      </c>
      <c r="O11" s="18" t="n">
        <v>0</v>
      </c>
      <c r="P11" s="20" t="n">
        <v>0</v>
      </c>
      <c r="Q11" s="18" t="n">
        <v>0.10212095</v>
      </c>
      <c r="R11" s="20" t="n">
        <v>0.10182743</v>
      </c>
    </row>
    <row r="12" spans="1:18">
      <c r="A12" s="15" t="s">
        <v>354</v>
      </c>
      <c r="B12" s="17" t="n">
        <v>6894</v>
      </c>
      <c r="C12" s="18">
        <f>(6027.0/B12*100)</f>
        <v/>
      </c>
      <c r="D12" s="19" t="n">
        <v>867</v>
      </c>
      <c r="E12" s="18" t="n">
        <v>50.68621099</v>
      </c>
      <c r="F12" s="20" t="n">
        <v>1.95704083</v>
      </c>
      <c r="G12" s="18" t="n">
        <v>49.19270718</v>
      </c>
      <c r="H12" s="20" t="n">
        <v>1.95268424</v>
      </c>
      <c r="I12" s="18" t="s">
        <v>349</v>
      </c>
      <c r="J12" s="20" t="s">
        <v>349</v>
      </c>
      <c r="K12" s="18" t="n">
        <v>0</v>
      </c>
      <c r="L12" s="20" t="n">
        <v>0</v>
      </c>
      <c r="M12" s="18" t="n">
        <v>0</v>
      </c>
      <c r="N12" s="20" t="n">
        <v>0</v>
      </c>
      <c r="O12" s="18" t="n">
        <v>0</v>
      </c>
      <c r="P12" s="20" t="n">
        <v>0</v>
      </c>
      <c r="Q12" s="18" t="n">
        <v>0.12108183</v>
      </c>
      <c r="R12" s="20" t="n">
        <v>0.12058449</v>
      </c>
    </row>
    <row r="13" spans="1:18">
      <c r="A13" s="15" t="s">
        <v>355</v>
      </c>
      <c r="B13" s="17" t="n">
        <v>7161</v>
      </c>
      <c r="C13" s="18">
        <f>(6292.0/B13*100)</f>
        <v/>
      </c>
      <c r="D13" s="19" t="n">
        <v>869</v>
      </c>
      <c r="E13" s="18" t="n">
        <v>35.07232033</v>
      </c>
      <c r="F13" s="20" t="n">
        <v>1.94100893</v>
      </c>
      <c r="G13" s="18" t="n">
        <v>63.55610137</v>
      </c>
      <c r="H13" s="20" t="n">
        <v>1.92200344</v>
      </c>
      <c r="I13" s="18" t="s">
        <v>349</v>
      </c>
      <c r="J13" s="20" t="s">
        <v>349</v>
      </c>
      <c r="K13" s="18" t="n">
        <v>0.7198723</v>
      </c>
      <c r="L13" s="20" t="n">
        <v>0.40298041</v>
      </c>
      <c r="M13" s="18" t="n">
        <v>0</v>
      </c>
      <c r="N13" s="20" t="n">
        <v>0</v>
      </c>
      <c r="O13" s="18" t="n">
        <v>0</v>
      </c>
      <c r="P13" s="20" t="n">
        <v>0</v>
      </c>
      <c r="Q13" s="18" t="n">
        <v>0.651706</v>
      </c>
      <c r="R13" s="20" t="n">
        <v>0.30275214</v>
      </c>
    </row>
    <row r="14" spans="1:18">
      <c r="A14" s="15" t="s">
        <v>356</v>
      </c>
      <c r="B14" s="17" t="n">
        <v>5587</v>
      </c>
      <c r="C14" s="18">
        <f>(4899.0/B14*100)</f>
        <v/>
      </c>
      <c r="D14" s="19" t="n">
        <v>688</v>
      </c>
      <c r="E14" s="18" t="n">
        <v>48.78237465</v>
      </c>
      <c r="F14" s="20" t="n">
        <v>2.3506505</v>
      </c>
      <c r="G14" s="18" t="n">
        <v>51.09185774</v>
      </c>
      <c r="H14" s="20" t="n">
        <v>2.33667109</v>
      </c>
      <c r="I14" s="18" t="s">
        <v>349</v>
      </c>
      <c r="J14" s="20" t="s">
        <v>349</v>
      </c>
      <c r="K14" s="18" t="n">
        <v>0</v>
      </c>
      <c r="L14" s="20" t="n">
        <v>0</v>
      </c>
      <c r="M14" s="18" t="n">
        <v>0</v>
      </c>
      <c r="N14" s="20" t="n">
        <v>0</v>
      </c>
      <c r="O14" s="18" t="n">
        <v>0</v>
      </c>
      <c r="P14" s="20" t="n">
        <v>0</v>
      </c>
      <c r="Q14" s="18" t="n">
        <v>0.12576761</v>
      </c>
      <c r="R14" s="20" t="n">
        <v>0.12554281</v>
      </c>
    </row>
    <row r="15" spans="1:18">
      <c r="A15" s="15" t="s">
        <v>357</v>
      </c>
      <c r="B15" s="17" t="n">
        <v>5882</v>
      </c>
      <c r="C15" s="18">
        <f>(5162.0/B15*100)</f>
        <v/>
      </c>
      <c r="D15" s="19" t="n">
        <v>720</v>
      </c>
      <c r="E15" s="18" t="n">
        <v>47.7873772</v>
      </c>
      <c r="F15" s="20" t="n">
        <v>2.02371062</v>
      </c>
      <c r="G15" s="18" t="n">
        <v>52.2126228</v>
      </c>
      <c r="H15" s="20" t="n">
        <v>2.02371062</v>
      </c>
      <c r="I15" s="18" t="s">
        <v>349</v>
      </c>
      <c r="J15" s="20" t="s">
        <v>349</v>
      </c>
      <c r="K15" s="18" t="n">
        <v>0</v>
      </c>
      <c r="L15" s="20" t="n">
        <v>0</v>
      </c>
      <c r="M15" s="18" t="n">
        <v>0</v>
      </c>
      <c r="N15" s="20" t="n">
        <v>0</v>
      </c>
      <c r="O15" s="18" t="n">
        <v>0</v>
      </c>
      <c r="P15" s="20" t="n">
        <v>0</v>
      </c>
      <c r="Q15" s="18" t="n">
        <v>0</v>
      </c>
      <c r="R15" s="20" t="n">
        <v>0</v>
      </c>
    </row>
    <row r="16" spans="1:18">
      <c r="A16" s="15" t="s">
        <v>358</v>
      </c>
      <c r="B16" s="17" t="n">
        <v>6108</v>
      </c>
      <c r="C16" s="18">
        <f>(5380.0/B16*100)</f>
        <v/>
      </c>
      <c r="D16" s="19" t="n">
        <v>728</v>
      </c>
      <c r="E16" s="18" t="n">
        <v>48.20834827</v>
      </c>
      <c r="F16" s="20" t="n">
        <v>1.7821355</v>
      </c>
      <c r="G16" s="18" t="n">
        <v>50.44907075</v>
      </c>
      <c r="H16" s="20" t="n">
        <v>1.76733931</v>
      </c>
      <c r="I16" s="18" t="s">
        <v>349</v>
      </c>
      <c r="J16" s="20" t="s">
        <v>349</v>
      </c>
      <c r="K16" s="18" t="n">
        <v>0.39905045</v>
      </c>
      <c r="L16" s="20" t="n">
        <v>0.23307878</v>
      </c>
      <c r="M16" s="18" t="n">
        <v>0</v>
      </c>
      <c r="N16" s="20" t="n">
        <v>0</v>
      </c>
      <c r="O16" s="18" t="n">
        <v>0</v>
      </c>
      <c r="P16" s="20" t="n">
        <v>0</v>
      </c>
      <c r="Q16" s="18" t="n">
        <v>0.94353052</v>
      </c>
      <c r="R16" s="20" t="n">
        <v>0.32746304</v>
      </c>
    </row>
    <row r="17" spans="1:18">
      <c r="A17" s="15" t="s">
        <v>359</v>
      </c>
      <c r="B17" s="17" t="n">
        <v>6504</v>
      </c>
      <c r="C17" s="18">
        <f>(5709.0/B17*100)</f>
        <v/>
      </c>
      <c r="D17" s="19" t="n">
        <v>795</v>
      </c>
      <c r="E17" s="18" t="n">
        <v>50.21415083</v>
      </c>
      <c r="F17" s="20" t="n">
        <v>1.86995258</v>
      </c>
      <c r="G17" s="18" t="n">
        <v>49.13578269</v>
      </c>
      <c r="H17" s="20" t="n">
        <v>1.84086085</v>
      </c>
      <c r="I17" s="18" t="s">
        <v>349</v>
      </c>
      <c r="J17" s="20" t="s">
        <v>349</v>
      </c>
      <c r="K17" s="18" t="n">
        <v>0.22289002</v>
      </c>
      <c r="L17" s="20" t="n">
        <v>0.16348305</v>
      </c>
      <c r="M17" s="18" t="n">
        <v>0</v>
      </c>
      <c r="N17" s="20" t="n">
        <v>0</v>
      </c>
      <c r="O17" s="18" t="n">
        <v>0</v>
      </c>
      <c r="P17" s="20" t="n">
        <v>0</v>
      </c>
      <c r="Q17" s="18" t="n">
        <v>0.42717645</v>
      </c>
      <c r="R17" s="20" t="n">
        <v>0.26322196</v>
      </c>
    </row>
    <row r="18" spans="1:18">
      <c r="A18" s="15" t="s">
        <v>360</v>
      </c>
      <c r="B18" s="17" t="n">
        <v>5532</v>
      </c>
      <c r="C18" s="18">
        <f>(4849.0/B18*100)</f>
        <v/>
      </c>
      <c r="D18" s="19" t="n">
        <v>683</v>
      </c>
      <c r="E18" s="18" t="n">
        <v>55.69198237</v>
      </c>
      <c r="F18" s="20" t="n">
        <v>2.24631621</v>
      </c>
      <c r="G18" s="18" t="n">
        <v>44.00624531</v>
      </c>
      <c r="H18" s="20" t="n">
        <v>2.2285661</v>
      </c>
      <c r="I18" s="18" t="s">
        <v>349</v>
      </c>
      <c r="J18" s="20" t="s">
        <v>349</v>
      </c>
      <c r="K18" s="18" t="n">
        <v>0</v>
      </c>
      <c r="L18" s="20" t="n">
        <v>0</v>
      </c>
      <c r="M18" s="18" t="n">
        <v>0</v>
      </c>
      <c r="N18" s="20" t="n">
        <v>0</v>
      </c>
      <c r="O18" s="18" t="n">
        <v>0</v>
      </c>
      <c r="P18" s="20" t="n">
        <v>0</v>
      </c>
      <c r="Q18" s="18" t="n">
        <v>0.30177232</v>
      </c>
      <c r="R18" s="20" t="n">
        <v>0.21043361</v>
      </c>
    </row>
    <row r="19" spans="1:18">
      <c r="A19" s="15" t="s">
        <v>361</v>
      </c>
      <c r="B19" s="17" t="n">
        <v>5658</v>
      </c>
      <c r="C19" s="18">
        <f>(4951.0/B19*100)</f>
        <v/>
      </c>
      <c r="D19" s="19" t="n">
        <v>707</v>
      </c>
      <c r="E19" s="18" t="n">
        <v>51.19829339</v>
      </c>
      <c r="F19" s="20" t="n">
        <v>1.71732558</v>
      </c>
      <c r="G19" s="18" t="n">
        <v>48.65538669</v>
      </c>
      <c r="H19" s="20" t="n">
        <v>1.6952076</v>
      </c>
      <c r="I19" s="18" t="s">
        <v>349</v>
      </c>
      <c r="J19" s="20" t="s">
        <v>349</v>
      </c>
      <c r="K19" s="18" t="n">
        <v>0.14631993</v>
      </c>
      <c r="L19" s="20" t="n">
        <v>0.14602316</v>
      </c>
      <c r="M19" s="18" t="n">
        <v>0</v>
      </c>
      <c r="N19" s="20" t="n">
        <v>0</v>
      </c>
      <c r="O19" s="18" t="n">
        <v>0</v>
      </c>
      <c r="P19" s="20" t="n">
        <v>0</v>
      </c>
      <c r="Q19" s="18" t="n">
        <v>0</v>
      </c>
      <c r="R19" s="20" t="n">
        <v>0</v>
      </c>
    </row>
    <row r="20" spans="1:18">
      <c r="A20" s="15" t="s">
        <v>362</v>
      </c>
      <c r="B20" s="17" t="n">
        <v>3371</v>
      </c>
      <c r="C20" s="18">
        <f>(2967.0/B20*100)</f>
        <v/>
      </c>
      <c r="D20" s="19" t="n">
        <v>404</v>
      </c>
      <c r="E20" s="18" t="n">
        <v>60.3016064</v>
      </c>
      <c r="F20" s="20" t="n">
        <v>2.16072725</v>
      </c>
      <c r="G20" s="18" t="n">
        <v>38.4687975</v>
      </c>
      <c r="H20" s="20" t="n">
        <v>2.19007771</v>
      </c>
      <c r="I20" s="18" t="s">
        <v>349</v>
      </c>
      <c r="J20" s="20" t="s">
        <v>349</v>
      </c>
      <c r="K20" s="18" t="n">
        <v>0.47976004</v>
      </c>
      <c r="L20" s="20" t="n">
        <v>0.34598652</v>
      </c>
      <c r="M20" s="18" t="n">
        <v>0</v>
      </c>
      <c r="N20" s="20" t="n">
        <v>0</v>
      </c>
      <c r="O20" s="18" t="n">
        <v>0</v>
      </c>
      <c r="P20" s="20" t="n">
        <v>0</v>
      </c>
      <c r="Q20" s="18" t="n">
        <v>0.74983606</v>
      </c>
      <c r="R20" s="20" t="n">
        <v>0.42982868</v>
      </c>
    </row>
    <row r="21" spans="1:18">
      <c r="A21" s="15" t="s">
        <v>363</v>
      </c>
      <c r="B21" s="17" t="n">
        <v>5741</v>
      </c>
      <c r="C21" s="18">
        <f>(4773.0/B21*100)</f>
        <v/>
      </c>
      <c r="D21" s="19" t="n">
        <v>968</v>
      </c>
      <c r="E21" s="18" t="n">
        <v>37.87569756</v>
      </c>
      <c r="F21" s="20" t="n">
        <v>1.66701832</v>
      </c>
      <c r="G21" s="18" t="n">
        <v>61.7766621</v>
      </c>
      <c r="H21" s="20" t="n">
        <v>1.69535086</v>
      </c>
      <c r="I21" s="18" t="s">
        <v>349</v>
      </c>
      <c r="J21" s="20" t="s">
        <v>349</v>
      </c>
      <c r="K21" s="18" t="n">
        <v>0.09840992</v>
      </c>
      <c r="L21" s="20" t="n">
        <v>0.09830728</v>
      </c>
      <c r="M21" s="18" t="n">
        <v>0</v>
      </c>
      <c r="N21" s="20" t="n">
        <v>0</v>
      </c>
      <c r="O21" s="18" t="n">
        <v>0</v>
      </c>
      <c r="P21" s="20" t="n">
        <v>0</v>
      </c>
      <c r="Q21" s="18" t="n">
        <v>0.24923042</v>
      </c>
      <c r="R21" s="20" t="n">
        <v>0.15218749</v>
      </c>
    </row>
    <row r="22" spans="1:18">
      <c r="A22" s="15" t="s">
        <v>364</v>
      </c>
      <c r="B22" s="17" t="n">
        <v>6598</v>
      </c>
      <c r="C22" s="18">
        <f>(5772.0/B22*100)</f>
        <v/>
      </c>
      <c r="D22" s="19" t="n">
        <v>826</v>
      </c>
      <c r="E22" s="18" t="n">
        <v>65.39916947</v>
      </c>
      <c r="F22" s="20" t="n">
        <v>1.93435794</v>
      </c>
      <c r="G22" s="18" t="n">
        <v>33.36227956</v>
      </c>
      <c r="H22" s="20" t="n">
        <v>1.83701885</v>
      </c>
      <c r="I22" s="18" t="s">
        <v>349</v>
      </c>
      <c r="J22" s="20" t="s">
        <v>349</v>
      </c>
      <c r="K22" s="18" t="n">
        <v>0.64943</v>
      </c>
      <c r="L22" s="20" t="n">
        <v>0.32606285</v>
      </c>
      <c r="M22" s="18" t="n">
        <v>0</v>
      </c>
      <c r="N22" s="20" t="n">
        <v>0</v>
      </c>
      <c r="O22" s="18" t="n">
        <v>0</v>
      </c>
      <c r="P22" s="20" t="n">
        <v>0</v>
      </c>
      <c r="Q22" s="18" t="n">
        <v>0.58912097</v>
      </c>
      <c r="R22" s="20" t="n">
        <v>0.26567844</v>
      </c>
    </row>
    <row r="23" spans="1:18">
      <c r="A23" s="15" t="s">
        <v>365</v>
      </c>
      <c r="B23" s="17" t="n">
        <v>11583</v>
      </c>
      <c r="C23" s="18">
        <f>(10156.0/B23*100)</f>
        <v/>
      </c>
      <c r="D23" s="19" t="n">
        <v>1427</v>
      </c>
      <c r="E23" s="18" t="n">
        <v>54.47242669</v>
      </c>
      <c r="F23" s="20" t="n">
        <v>2.08010194</v>
      </c>
      <c r="G23" s="18" t="n">
        <v>45.19108682</v>
      </c>
      <c r="H23" s="20" t="n">
        <v>2.07670225</v>
      </c>
      <c r="I23" s="18" t="s">
        <v>349</v>
      </c>
      <c r="J23" s="20" t="s">
        <v>349</v>
      </c>
      <c r="K23" s="18" t="n">
        <v>0.08345118</v>
      </c>
      <c r="L23" s="20" t="n">
        <v>0.08026142999999999</v>
      </c>
      <c r="M23" s="18" t="n">
        <v>0</v>
      </c>
      <c r="N23" s="20" t="n">
        <v>0</v>
      </c>
      <c r="O23" s="18" t="n">
        <v>0</v>
      </c>
      <c r="P23" s="20" t="n">
        <v>0</v>
      </c>
      <c r="Q23" s="18" t="n">
        <v>0.25303531</v>
      </c>
      <c r="R23" s="20" t="n">
        <v>0.2038072</v>
      </c>
    </row>
    <row r="24" spans="1:18">
      <c r="A24" s="15" t="s">
        <v>366</v>
      </c>
      <c r="B24" s="17" t="n">
        <v>6647</v>
      </c>
      <c r="C24" s="18">
        <f>(5824.0/B24*100)</f>
        <v/>
      </c>
      <c r="D24" s="19" t="n">
        <v>823</v>
      </c>
      <c r="E24" s="18" t="n">
        <v>60.78468311</v>
      </c>
      <c r="F24" s="20" t="n">
        <v>1.84901654</v>
      </c>
      <c r="G24" s="18" t="n">
        <v>38.98707467</v>
      </c>
      <c r="H24" s="20" t="n">
        <v>1.85677088</v>
      </c>
      <c r="I24" s="18" t="s">
        <v>349</v>
      </c>
      <c r="J24" s="20" t="s">
        <v>349</v>
      </c>
      <c r="K24" s="18" t="n">
        <v>0.08640636</v>
      </c>
      <c r="L24" s="20" t="n">
        <v>0.08656612</v>
      </c>
      <c r="M24" s="18" t="n">
        <v>0</v>
      </c>
      <c r="N24" s="20" t="n">
        <v>0</v>
      </c>
      <c r="O24" s="18" t="n">
        <v>0</v>
      </c>
      <c r="P24" s="20" t="n">
        <v>0</v>
      </c>
      <c r="Q24" s="18" t="n">
        <v>0.14183587</v>
      </c>
      <c r="R24" s="20" t="n">
        <v>0.14184911</v>
      </c>
    </row>
    <row r="25" spans="1:18">
      <c r="A25" s="15" t="s">
        <v>367</v>
      </c>
      <c r="B25" s="17" t="n">
        <v>5581</v>
      </c>
      <c r="C25" s="18">
        <f>(4904.0/B25*100)</f>
        <v/>
      </c>
      <c r="D25" s="19" t="n">
        <v>677</v>
      </c>
      <c r="E25" s="18" t="n">
        <v>78.72547108000001</v>
      </c>
      <c r="F25" s="20" t="n">
        <v>1.45161901</v>
      </c>
      <c r="G25" s="18" t="n">
        <v>20.66647179</v>
      </c>
      <c r="H25" s="20" t="n">
        <v>1.49838884</v>
      </c>
      <c r="I25" s="18" t="s">
        <v>349</v>
      </c>
      <c r="J25" s="20" t="s">
        <v>349</v>
      </c>
      <c r="K25" s="18" t="n">
        <v>0.31220142</v>
      </c>
      <c r="L25" s="20" t="n">
        <v>0.21886416</v>
      </c>
      <c r="M25" s="18" t="n">
        <v>0</v>
      </c>
      <c r="N25" s="20" t="n">
        <v>0</v>
      </c>
      <c r="O25" s="18" t="n">
        <v>0</v>
      </c>
      <c r="P25" s="20" t="n">
        <v>0</v>
      </c>
      <c r="Q25" s="18" t="n">
        <v>0.29585571</v>
      </c>
      <c r="R25" s="20" t="n">
        <v>0.21158535</v>
      </c>
    </row>
    <row r="26" spans="1:18">
      <c r="A26" s="15" t="s">
        <v>368</v>
      </c>
      <c r="B26" s="17" t="n">
        <v>4869</v>
      </c>
      <c r="C26" s="18">
        <f>(4262.0/B26*100)</f>
        <v/>
      </c>
      <c r="D26" s="19" t="n">
        <v>607</v>
      </c>
      <c r="E26" s="18" t="n">
        <v>54.58016575</v>
      </c>
      <c r="F26" s="20" t="n">
        <v>2.26035833</v>
      </c>
      <c r="G26" s="18" t="n">
        <v>45.29358694</v>
      </c>
      <c r="H26" s="20" t="n">
        <v>2.25043832</v>
      </c>
      <c r="I26" s="18" t="s">
        <v>349</v>
      </c>
      <c r="J26" s="20" t="s">
        <v>349</v>
      </c>
      <c r="K26" s="18" t="n">
        <v>0</v>
      </c>
      <c r="L26" s="20" t="n">
        <v>0</v>
      </c>
      <c r="M26" s="18" t="n">
        <v>0</v>
      </c>
      <c r="N26" s="20" t="n">
        <v>0</v>
      </c>
      <c r="O26" s="18" t="n">
        <v>0</v>
      </c>
      <c r="P26" s="20" t="n">
        <v>0</v>
      </c>
      <c r="Q26" s="18" t="n">
        <v>0.12624731</v>
      </c>
      <c r="R26" s="20" t="n">
        <v>0.12636268</v>
      </c>
    </row>
    <row r="27" spans="1:18">
      <c r="A27" s="15" t="s">
        <v>369</v>
      </c>
      <c r="B27" s="17" t="n">
        <v>5299</v>
      </c>
      <c r="C27" s="18">
        <f>(4660.0/B27*100)</f>
        <v/>
      </c>
      <c r="D27" s="19" t="n">
        <v>639</v>
      </c>
      <c r="E27" s="18" t="n">
        <v>52.62830112</v>
      </c>
      <c r="F27" s="20" t="n">
        <v>1.86192274</v>
      </c>
      <c r="G27" s="18" t="n">
        <v>46.90286166</v>
      </c>
      <c r="H27" s="20" t="n">
        <v>1.87779529</v>
      </c>
      <c r="I27" s="18" t="s">
        <v>349</v>
      </c>
      <c r="J27" s="20" t="s">
        <v>349</v>
      </c>
      <c r="K27" s="18" t="n">
        <v>0.15541445</v>
      </c>
      <c r="L27" s="20" t="n">
        <v>0.15479102</v>
      </c>
      <c r="M27" s="18" t="n">
        <v>0</v>
      </c>
      <c r="N27" s="20" t="n">
        <v>0</v>
      </c>
      <c r="O27" s="18" t="n">
        <v>0</v>
      </c>
      <c r="P27" s="20" t="n">
        <v>0</v>
      </c>
      <c r="Q27" s="18" t="n">
        <v>0.31342278</v>
      </c>
      <c r="R27" s="20" t="n">
        <v>0.2204835</v>
      </c>
    </row>
    <row r="28" spans="1:18">
      <c r="A28" s="15" t="s">
        <v>370</v>
      </c>
      <c r="B28" s="17" t="n">
        <v>7568</v>
      </c>
      <c r="C28" s="18">
        <f>(6641.0/B28*100)</f>
        <v/>
      </c>
      <c r="D28" s="19" t="n">
        <v>927</v>
      </c>
      <c r="E28" s="18" t="n">
        <v>72.78346827</v>
      </c>
      <c r="F28" s="20" t="n">
        <v>1.53271238</v>
      </c>
      <c r="G28" s="18" t="n">
        <v>26.24722166</v>
      </c>
      <c r="H28" s="20" t="n">
        <v>1.53028749</v>
      </c>
      <c r="I28" s="18" t="s">
        <v>349</v>
      </c>
      <c r="J28" s="20" t="s">
        <v>349</v>
      </c>
      <c r="K28" s="18" t="n">
        <v>0.49666596</v>
      </c>
      <c r="L28" s="20" t="n">
        <v>0.28630817</v>
      </c>
      <c r="M28" s="18" t="n">
        <v>0</v>
      </c>
      <c r="N28" s="20" t="n">
        <v>0</v>
      </c>
      <c r="O28" s="18" t="n">
        <v>0</v>
      </c>
      <c r="P28" s="20" t="n">
        <v>0</v>
      </c>
      <c r="Q28" s="18" t="n">
        <v>0.47264411</v>
      </c>
      <c r="R28" s="20" t="n">
        <v>0.28408923</v>
      </c>
    </row>
    <row r="29" spans="1:18">
      <c r="A29" s="15" t="s">
        <v>371</v>
      </c>
      <c r="B29" s="17" t="n">
        <v>5385</v>
      </c>
      <c r="C29" s="18">
        <f>(4735.0/B29*100)</f>
        <v/>
      </c>
      <c r="D29" s="19" t="n">
        <v>650</v>
      </c>
      <c r="E29" s="18" t="n">
        <v>45.64393112</v>
      </c>
      <c r="F29" s="20" t="n">
        <v>2.07280967</v>
      </c>
      <c r="G29" s="18" t="n">
        <v>53.82267439</v>
      </c>
      <c r="H29" s="20" t="n">
        <v>2.05308201</v>
      </c>
      <c r="I29" s="18" t="s">
        <v>349</v>
      </c>
      <c r="J29" s="20" t="s">
        <v>349</v>
      </c>
      <c r="K29" s="18" t="n">
        <v>0.19972311</v>
      </c>
      <c r="L29" s="20" t="n">
        <v>0.15347317</v>
      </c>
      <c r="M29" s="18" t="n">
        <v>0</v>
      </c>
      <c r="N29" s="20" t="n">
        <v>0</v>
      </c>
      <c r="O29" s="18" t="n">
        <v>0</v>
      </c>
      <c r="P29" s="20" t="n">
        <v>0</v>
      </c>
      <c r="Q29" s="18" t="n">
        <v>0.33367139</v>
      </c>
      <c r="R29" s="20" t="n">
        <v>0.34317035</v>
      </c>
    </row>
    <row r="30" spans="1:18">
      <c r="A30" s="15" t="s">
        <v>372</v>
      </c>
      <c r="B30" s="17" t="n">
        <v>4520</v>
      </c>
      <c r="C30" s="18">
        <f>(3944.0/B30*100)</f>
        <v/>
      </c>
      <c r="D30" s="19" t="n">
        <v>576</v>
      </c>
      <c r="E30" s="18" t="n">
        <v>40.82919141</v>
      </c>
      <c r="F30" s="20" t="n">
        <v>2.11570746</v>
      </c>
      <c r="G30" s="18" t="n">
        <v>58.80804289</v>
      </c>
      <c r="H30" s="20" t="n">
        <v>2.12787051</v>
      </c>
      <c r="I30" s="18" t="s">
        <v>349</v>
      </c>
      <c r="J30" s="20" t="s">
        <v>349</v>
      </c>
      <c r="K30" s="18" t="n">
        <v>0</v>
      </c>
      <c r="L30" s="20" t="n">
        <v>0</v>
      </c>
      <c r="M30" s="18" t="n">
        <v>0</v>
      </c>
      <c r="N30" s="20" t="n">
        <v>0</v>
      </c>
      <c r="O30" s="18" t="n">
        <v>0</v>
      </c>
      <c r="P30" s="20" t="n">
        <v>0</v>
      </c>
      <c r="Q30" s="18" t="n">
        <v>0.3627657</v>
      </c>
      <c r="R30" s="20" t="n">
        <v>0.23832907</v>
      </c>
    </row>
    <row r="31" spans="1:18">
      <c r="A31" s="15" t="s">
        <v>373</v>
      </c>
      <c r="B31" s="17" t="n">
        <v>5456</v>
      </c>
      <c r="C31" s="18">
        <f>(4806.0/B31*100)</f>
        <v/>
      </c>
      <c r="D31" s="19" t="n">
        <v>650</v>
      </c>
      <c r="E31" s="18" t="n">
        <v>45.32506896</v>
      </c>
      <c r="F31" s="20" t="n">
        <v>1.80157343</v>
      </c>
      <c r="G31" s="18" t="n">
        <v>54.04836684</v>
      </c>
      <c r="H31" s="20" t="n">
        <v>1.8245373</v>
      </c>
      <c r="I31" s="18" t="s">
        <v>349</v>
      </c>
      <c r="J31" s="20" t="s">
        <v>349</v>
      </c>
      <c r="K31" s="18" t="n">
        <v>0.13862808</v>
      </c>
      <c r="L31" s="20" t="n">
        <v>0.13804972</v>
      </c>
      <c r="M31" s="18" t="n">
        <v>0</v>
      </c>
      <c r="N31" s="20" t="n">
        <v>0</v>
      </c>
      <c r="O31" s="18" t="n">
        <v>0</v>
      </c>
      <c r="P31" s="20" t="n">
        <v>0</v>
      </c>
      <c r="Q31" s="18" t="n">
        <v>0.48793611</v>
      </c>
      <c r="R31" s="20" t="n">
        <v>0.27161309</v>
      </c>
    </row>
    <row r="32" spans="1:18">
      <c r="A32" s="15" t="s">
        <v>374</v>
      </c>
      <c r="B32" s="17" t="n">
        <v>4478</v>
      </c>
      <c r="C32" s="18">
        <f>(3742.0/B32*100)</f>
        <v/>
      </c>
      <c r="D32" s="19" t="n">
        <v>736</v>
      </c>
      <c r="E32" s="18" t="n">
        <v>46.95241606</v>
      </c>
      <c r="F32" s="20" t="n">
        <v>1.92741396</v>
      </c>
      <c r="G32" s="18" t="n">
        <v>52.91820725</v>
      </c>
      <c r="H32" s="20" t="n">
        <v>1.92730023</v>
      </c>
      <c r="I32" s="18" t="s">
        <v>349</v>
      </c>
      <c r="J32" s="20" t="s">
        <v>349</v>
      </c>
      <c r="K32" s="18" t="n">
        <v>0.12937669</v>
      </c>
      <c r="L32" s="20" t="n">
        <v>0.13496034</v>
      </c>
      <c r="M32" s="18" t="n">
        <v>0</v>
      </c>
      <c r="N32" s="20" t="n">
        <v>0</v>
      </c>
      <c r="O32" s="18" t="n">
        <v>0</v>
      </c>
      <c r="P32" s="20" t="n">
        <v>0</v>
      </c>
      <c r="Q32" s="18" t="n">
        <v>0</v>
      </c>
      <c r="R32" s="20" t="n">
        <v>0</v>
      </c>
    </row>
    <row r="33" spans="1:18">
      <c r="A33" s="15" t="s">
        <v>375</v>
      </c>
      <c r="B33" s="17" t="n">
        <v>7325</v>
      </c>
      <c r="C33" s="18">
        <f>(6427.0/B33*100)</f>
        <v/>
      </c>
      <c r="D33" s="19" t="n">
        <v>898</v>
      </c>
      <c r="E33" s="18" t="n">
        <v>47.4304756</v>
      </c>
      <c r="F33" s="20" t="n">
        <v>2.02187723</v>
      </c>
      <c r="G33" s="18" t="n">
        <v>52.00750376</v>
      </c>
      <c r="H33" s="20" t="n">
        <v>2.06964089</v>
      </c>
      <c r="I33" s="18" t="s">
        <v>349</v>
      </c>
      <c r="J33" s="20" t="s">
        <v>349</v>
      </c>
      <c r="K33" s="18" t="n">
        <v>0.56202064</v>
      </c>
      <c r="L33" s="20" t="n">
        <v>0.53644833</v>
      </c>
      <c r="M33" s="18" t="n">
        <v>0</v>
      </c>
      <c r="N33" s="20" t="n">
        <v>0</v>
      </c>
      <c r="O33" s="18" t="n">
        <v>0</v>
      </c>
      <c r="P33" s="20" t="n">
        <v>0</v>
      </c>
      <c r="Q33" s="18" t="n">
        <v>0</v>
      </c>
      <c r="R33" s="20" t="n">
        <v>0</v>
      </c>
    </row>
    <row r="34" spans="1:18">
      <c r="A34" s="15" t="s">
        <v>376</v>
      </c>
      <c r="B34" s="17" t="n">
        <v>6350</v>
      </c>
      <c r="C34" s="18">
        <f>(5573.0/B34*100)</f>
        <v/>
      </c>
      <c r="D34" s="19" t="n">
        <v>777</v>
      </c>
      <c r="E34" s="18" t="n">
        <v>56.30389024</v>
      </c>
      <c r="F34" s="20" t="n">
        <v>1.7620391</v>
      </c>
      <c r="G34" s="18" t="n">
        <v>43.50609242</v>
      </c>
      <c r="H34" s="20" t="n">
        <v>1.73999449</v>
      </c>
      <c r="I34" s="18" t="s">
        <v>349</v>
      </c>
      <c r="J34" s="20" t="s">
        <v>349</v>
      </c>
      <c r="K34" s="18" t="n">
        <v>0</v>
      </c>
      <c r="L34" s="20" t="n">
        <v>0</v>
      </c>
      <c r="M34" s="18" t="n">
        <v>0</v>
      </c>
      <c r="N34" s="20" t="n">
        <v>0</v>
      </c>
      <c r="O34" s="18" t="n">
        <v>0</v>
      </c>
      <c r="P34" s="20" t="n">
        <v>0</v>
      </c>
      <c r="Q34" s="18" t="n">
        <v>0.19001734</v>
      </c>
      <c r="R34" s="20" t="n">
        <v>0.18999055</v>
      </c>
    </row>
    <row r="35" spans="1:18">
      <c r="A35" s="15" t="s">
        <v>377</v>
      </c>
      <c r="B35" s="17" t="n">
        <v>6406</v>
      </c>
      <c r="C35" s="18">
        <f>(5616.0/B35*100)</f>
        <v/>
      </c>
      <c r="D35" s="19" t="n">
        <v>790</v>
      </c>
      <c r="E35" s="18" t="n">
        <v>44.62014553</v>
      </c>
      <c r="F35" s="20" t="n">
        <v>2.04572841</v>
      </c>
      <c r="G35" s="18" t="n">
        <v>55.32910575</v>
      </c>
      <c r="H35" s="20" t="n">
        <v>2.0366842</v>
      </c>
      <c r="I35" s="18" t="s">
        <v>349</v>
      </c>
      <c r="J35" s="20" t="s">
        <v>349</v>
      </c>
      <c r="K35" s="18" t="n">
        <v>0.05074872</v>
      </c>
      <c r="L35" s="20" t="n">
        <v>0.05110515</v>
      </c>
      <c r="M35" s="18" t="n">
        <v>0</v>
      </c>
      <c r="N35" s="20" t="n">
        <v>0</v>
      </c>
      <c r="O35" s="18" t="n">
        <v>0</v>
      </c>
      <c r="P35" s="20" t="n">
        <v>0</v>
      </c>
      <c r="Q35" s="18" t="n">
        <v>0</v>
      </c>
      <c r="R35" s="20" t="n">
        <v>0</v>
      </c>
    </row>
    <row r="36" spans="1:18">
      <c r="A36" s="15" t="s">
        <v>378</v>
      </c>
      <c r="B36" s="17" t="n">
        <v>6736</v>
      </c>
      <c r="C36" s="18">
        <f>(5907.0/B36*100)</f>
        <v/>
      </c>
      <c r="D36" s="19" t="n">
        <v>829</v>
      </c>
      <c r="E36" s="18" t="n">
        <v>58.13903505</v>
      </c>
      <c r="F36" s="20" t="n">
        <v>1.80504591</v>
      </c>
      <c r="G36" s="18" t="n">
        <v>41.4674472</v>
      </c>
      <c r="H36" s="20" t="n">
        <v>1.78062707</v>
      </c>
      <c r="I36" s="18" t="s">
        <v>349</v>
      </c>
      <c r="J36" s="20" t="s">
        <v>349</v>
      </c>
      <c r="K36" s="18" t="n">
        <v>0.3230674</v>
      </c>
      <c r="L36" s="20" t="n">
        <v>0.21770176</v>
      </c>
      <c r="M36" s="18" t="n">
        <v>0</v>
      </c>
      <c r="N36" s="20" t="n">
        <v>0</v>
      </c>
      <c r="O36" s="18" t="n">
        <v>0</v>
      </c>
      <c r="P36" s="20" t="n">
        <v>0</v>
      </c>
      <c r="Q36" s="18" t="n">
        <v>0.07045034</v>
      </c>
      <c r="R36" s="20" t="n">
        <v>0.06480986</v>
      </c>
    </row>
    <row r="37" spans="1:18">
      <c r="A37" s="15" t="s">
        <v>379</v>
      </c>
      <c r="B37" s="17" t="n">
        <v>5458</v>
      </c>
      <c r="C37" s="18">
        <f>(4773.0/B37*100)</f>
        <v/>
      </c>
      <c r="D37" s="19" t="n">
        <v>685</v>
      </c>
      <c r="E37" s="18" t="n">
        <v>44.45042997</v>
      </c>
      <c r="F37" s="20" t="n">
        <v>1.81574668</v>
      </c>
      <c r="G37" s="18" t="n">
        <v>54.56416788</v>
      </c>
      <c r="H37" s="20" t="n">
        <v>1.90581288</v>
      </c>
      <c r="I37" s="18" t="s">
        <v>349</v>
      </c>
      <c r="J37" s="20" t="s">
        <v>349</v>
      </c>
      <c r="K37" s="18" t="n">
        <v>0.14730393</v>
      </c>
      <c r="L37" s="20" t="n">
        <v>0.14674598</v>
      </c>
      <c r="M37" s="18" t="n">
        <v>0</v>
      </c>
      <c r="N37" s="20" t="n">
        <v>0</v>
      </c>
      <c r="O37" s="18" t="n">
        <v>0</v>
      </c>
      <c r="P37" s="20" t="n">
        <v>0</v>
      </c>
      <c r="Q37" s="18" t="n">
        <v>0.83809822</v>
      </c>
      <c r="R37" s="20" t="n">
        <v>0.37903487</v>
      </c>
    </row>
    <row r="38" spans="1:18">
      <c r="A38" s="15" t="s">
        <v>380</v>
      </c>
      <c r="B38" s="17" t="n">
        <v>5860</v>
      </c>
      <c r="C38" s="18">
        <f>(4875.0/B38*100)</f>
        <v/>
      </c>
      <c r="D38" s="19" t="n">
        <v>985</v>
      </c>
      <c r="E38" s="18" t="n">
        <v>47.60504269</v>
      </c>
      <c r="F38" s="20" t="n">
        <v>2.3903529</v>
      </c>
      <c r="G38" s="18" t="n">
        <v>51.97485609</v>
      </c>
      <c r="H38" s="20" t="n">
        <v>2.38945021</v>
      </c>
      <c r="I38" s="18" t="s">
        <v>349</v>
      </c>
      <c r="J38" s="20" t="s">
        <v>349</v>
      </c>
      <c r="K38" s="18" t="n">
        <v>0.12950283</v>
      </c>
      <c r="L38" s="20" t="n">
        <v>0.10548887</v>
      </c>
      <c r="M38" s="18" t="n">
        <v>0</v>
      </c>
      <c r="N38" s="20" t="n">
        <v>0</v>
      </c>
      <c r="O38" s="18" t="n">
        <v>0</v>
      </c>
      <c r="P38" s="20" t="n">
        <v>0</v>
      </c>
      <c r="Q38" s="18" t="n">
        <v>0.29059839</v>
      </c>
      <c r="R38" s="20" t="n">
        <v>0.16711828</v>
      </c>
    </row>
    <row r="39" spans="1:18">
      <c r="A39" s="15" t="s">
        <v>381</v>
      </c>
      <c r="B39" s="17" t="n">
        <v>5895</v>
      </c>
      <c r="C39" s="18">
        <f>(5199.0/B39*100)</f>
        <v/>
      </c>
      <c r="D39" s="19" t="n">
        <v>696</v>
      </c>
      <c r="E39" s="18" t="n">
        <v>67.16200315</v>
      </c>
      <c r="F39" s="20" t="n">
        <v>1.96903768</v>
      </c>
      <c r="G39" s="18" t="n">
        <v>32.04905849</v>
      </c>
      <c r="H39" s="20" t="n">
        <v>2.01243999</v>
      </c>
      <c r="I39" s="18" t="s">
        <v>349</v>
      </c>
      <c r="J39" s="20" t="s">
        <v>349</v>
      </c>
      <c r="K39" s="18" t="n">
        <v>0.78893835</v>
      </c>
      <c r="L39" s="20" t="n">
        <v>0.32325224</v>
      </c>
      <c r="M39" s="18" t="n">
        <v>0</v>
      </c>
      <c r="N39" s="20" t="n">
        <v>0</v>
      </c>
      <c r="O39" s="18" t="n">
        <v>0</v>
      </c>
      <c r="P39" s="20" t="n">
        <v>0</v>
      </c>
      <c r="Q39" s="18" t="n">
        <v>0</v>
      </c>
      <c r="R39" s="20" t="n">
        <v>0</v>
      </c>
    </row>
    <row r="40" spans="1:18">
      <c r="A40" s="15" t="s">
        <v>382</v>
      </c>
      <c r="B40" s="17" t="n">
        <v>14157</v>
      </c>
      <c r="C40" s="18">
        <f>(12421.0/B40*100)</f>
        <v/>
      </c>
      <c r="D40" s="19" t="n">
        <v>1736</v>
      </c>
      <c r="E40" s="18" t="n">
        <v>41.84340358</v>
      </c>
      <c r="F40" s="20" t="n">
        <v>1.95828785</v>
      </c>
      <c r="G40" s="18" t="n">
        <v>57.15593001</v>
      </c>
      <c r="H40" s="20" t="n">
        <v>1.94894504</v>
      </c>
      <c r="I40" s="18" t="s">
        <v>349</v>
      </c>
      <c r="J40" s="20" t="s">
        <v>349</v>
      </c>
      <c r="K40" s="18" t="n">
        <v>0.28570897</v>
      </c>
      <c r="L40" s="20" t="n">
        <v>0.16632588</v>
      </c>
      <c r="M40" s="18" t="n">
        <v>0</v>
      </c>
      <c r="N40" s="20" t="n">
        <v>0</v>
      </c>
      <c r="O40" s="18" t="n">
        <v>0</v>
      </c>
      <c r="P40" s="20" t="n">
        <v>0</v>
      </c>
      <c r="Q40" s="18" t="n">
        <v>0.7149574400000001</v>
      </c>
      <c r="R40" s="20" t="n">
        <v>0.37587166</v>
      </c>
    </row>
    <row r="41" spans="1:18">
      <c r="A41" s="15" t="s">
        <v>383</v>
      </c>
      <c r="B41" s="17" t="n">
        <v>5712</v>
      </c>
      <c r="C41" s="18">
        <f>(4982.0/B41*100)</f>
        <v/>
      </c>
      <c r="D41" s="19" t="n">
        <v>730</v>
      </c>
      <c r="E41" s="18" t="n">
        <v>48.57595404</v>
      </c>
      <c r="F41" s="20" t="n">
        <v>2.07438499</v>
      </c>
      <c r="G41" s="18" t="n">
        <v>50.88055909</v>
      </c>
      <c r="H41" s="20" t="n">
        <v>2.05935249</v>
      </c>
      <c r="I41" s="18" t="s">
        <v>349</v>
      </c>
      <c r="J41" s="20" t="s">
        <v>349</v>
      </c>
      <c r="K41" s="18" t="n">
        <v>0.1050719</v>
      </c>
      <c r="L41" s="20" t="n">
        <v>0.10885022</v>
      </c>
      <c r="M41" s="18" t="n">
        <v>0</v>
      </c>
      <c r="N41" s="20" t="n">
        <v>0</v>
      </c>
      <c r="O41" s="18" t="n">
        <v>0</v>
      </c>
      <c r="P41" s="20" t="n">
        <v>0</v>
      </c>
      <c r="Q41" s="18" t="n">
        <v>0.43841498</v>
      </c>
      <c r="R41" s="20" t="n">
        <v>0.46477712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(20526.0/B46*100)</f>
        <v/>
      </c>
      <c r="D46" s="19" t="n">
        <v>2615</v>
      </c>
      <c r="E46" s="18" t="n">
        <v>73.29453872000001</v>
      </c>
      <c r="F46" s="20" t="n">
        <v>1.29486336</v>
      </c>
      <c r="G46" s="18" t="n">
        <v>25.63656856</v>
      </c>
      <c r="H46" s="20" t="n">
        <v>1.28493234</v>
      </c>
      <c r="I46" s="18" t="s">
        <v>349</v>
      </c>
      <c r="J46" s="20" t="s">
        <v>349</v>
      </c>
      <c r="K46" s="18" t="n">
        <v>0.4570611</v>
      </c>
      <c r="L46" s="20" t="n">
        <v>0.21899652</v>
      </c>
      <c r="M46" s="18" t="n">
        <v>0</v>
      </c>
      <c r="N46" s="20" t="n">
        <v>0</v>
      </c>
      <c r="O46" s="18" t="n">
        <v>0</v>
      </c>
      <c r="P46" s="20" t="n">
        <v>0</v>
      </c>
      <c r="Q46" s="18" t="n">
        <v>0.61183162</v>
      </c>
      <c r="R46" s="20" t="n">
        <v>0.19811415</v>
      </c>
    </row>
    <row r="47" spans="1:18">
      <c r="A47" s="15" t="s">
        <v>389</v>
      </c>
      <c r="B47" s="17" t="n">
        <v>5928</v>
      </c>
      <c r="C47" s="18">
        <f>(5179.0/B47*100)</f>
        <v/>
      </c>
      <c r="D47" s="19" t="n">
        <v>749</v>
      </c>
      <c r="E47" s="18" t="n">
        <v>68.83803082</v>
      </c>
      <c r="F47" s="20" t="n">
        <v>1.73024708</v>
      </c>
      <c r="G47" s="18" t="n">
        <v>30.37642584</v>
      </c>
      <c r="H47" s="20" t="n">
        <v>1.77068592</v>
      </c>
      <c r="I47" s="18" t="s">
        <v>349</v>
      </c>
      <c r="J47" s="20" t="s">
        <v>349</v>
      </c>
      <c r="K47" s="18" t="n">
        <v>0.26693877</v>
      </c>
      <c r="L47" s="20" t="n">
        <v>0.18180831</v>
      </c>
      <c r="M47" s="18" t="n">
        <v>0</v>
      </c>
      <c r="N47" s="20" t="n">
        <v>0</v>
      </c>
      <c r="O47" s="18" t="n">
        <v>0</v>
      </c>
      <c r="P47" s="20" t="n">
        <v>0</v>
      </c>
      <c r="Q47" s="18" t="n">
        <v>0.51860457</v>
      </c>
      <c r="R47" s="20" t="n">
        <v>0.33856792</v>
      </c>
    </row>
    <row r="48" spans="1:18">
      <c r="A48" s="15" t="s">
        <v>390</v>
      </c>
      <c r="B48" s="17" t="n">
        <v>9841</v>
      </c>
      <c r="C48" s="18">
        <f>(8646.0/B48*100)</f>
        <v/>
      </c>
      <c r="D48" s="19" t="n">
        <v>1195</v>
      </c>
      <c r="E48" s="18" t="n">
        <v>51.13730161</v>
      </c>
      <c r="F48" s="20" t="n">
        <v>2.02143523</v>
      </c>
      <c r="G48" s="18" t="n">
        <v>48.15056697</v>
      </c>
      <c r="H48" s="20" t="n">
        <v>2.00282458</v>
      </c>
      <c r="I48" s="18" t="s">
        <v>349</v>
      </c>
      <c r="J48" s="20" t="s">
        <v>349</v>
      </c>
      <c r="K48" s="18" t="n">
        <v>0.4234865</v>
      </c>
      <c r="L48" s="20" t="n">
        <v>0.25728094</v>
      </c>
      <c r="M48" s="18" t="n">
        <v>0</v>
      </c>
      <c r="N48" s="20" t="n">
        <v>0</v>
      </c>
      <c r="O48" s="18" t="n">
        <v>0</v>
      </c>
      <c r="P48" s="20" t="n">
        <v>0</v>
      </c>
      <c r="Q48" s="18" t="n">
        <v>0.28864492</v>
      </c>
      <c r="R48" s="20" t="n">
        <v>0.2220834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(10384.0/B50*100)</f>
        <v/>
      </c>
      <c r="D50" s="19" t="n">
        <v>1411</v>
      </c>
      <c r="E50" s="18" t="n">
        <v>74.34925289</v>
      </c>
      <c r="F50" s="20" t="n">
        <v>1.84446699</v>
      </c>
      <c r="G50" s="18" t="n">
        <v>24.65809675</v>
      </c>
      <c r="H50" s="20" t="n">
        <v>1.86704774</v>
      </c>
      <c r="I50" s="18" t="s">
        <v>349</v>
      </c>
      <c r="J50" s="20" t="s">
        <v>349</v>
      </c>
      <c r="K50" s="18" t="n">
        <v>0.82994317</v>
      </c>
      <c r="L50" s="20" t="n">
        <v>0.28330851</v>
      </c>
      <c r="M50" s="18" t="n">
        <v>0</v>
      </c>
      <c r="N50" s="20" t="n">
        <v>0</v>
      </c>
      <c r="O50" s="18" t="n">
        <v>0</v>
      </c>
      <c r="P50" s="20" t="n">
        <v>0</v>
      </c>
      <c r="Q50" s="18" t="n">
        <v>0.16270719</v>
      </c>
      <c r="R50" s="20" t="n">
        <v>0.14971505</v>
      </c>
    </row>
    <row r="51" spans="1:18">
      <c r="A51" s="15" t="s">
        <v>393</v>
      </c>
      <c r="B51" s="17" t="n">
        <v>6866</v>
      </c>
      <c r="C51" s="18">
        <f>(6124.0/B51*100)</f>
        <v/>
      </c>
      <c r="D51" s="19" t="n">
        <v>742</v>
      </c>
      <c r="E51" s="18" t="n">
        <v>74.76235115999999</v>
      </c>
      <c r="F51" s="20" t="n">
        <v>1.58357471</v>
      </c>
      <c r="G51" s="18" t="n">
        <v>24.80049648</v>
      </c>
      <c r="H51" s="20" t="n">
        <v>1.56289252</v>
      </c>
      <c r="I51" s="18" t="s">
        <v>349</v>
      </c>
      <c r="J51" s="20" t="s">
        <v>349</v>
      </c>
      <c r="K51" s="18" t="n">
        <v>0.31105013</v>
      </c>
      <c r="L51" s="20" t="n">
        <v>0.22323681</v>
      </c>
      <c r="M51" s="18" t="n">
        <v>0</v>
      </c>
      <c r="N51" s="20" t="n">
        <v>0</v>
      </c>
      <c r="O51" s="18" t="n">
        <v>0</v>
      </c>
      <c r="P51" s="20" t="n">
        <v>0</v>
      </c>
      <c r="Q51" s="18" t="n">
        <v>0.12610223</v>
      </c>
      <c r="R51" s="20" t="n">
        <v>0.12624722</v>
      </c>
    </row>
    <row r="52" spans="1:18">
      <c r="A52" s="15" t="s">
        <v>394</v>
      </c>
      <c r="B52" s="17" t="n">
        <v>5809</v>
      </c>
      <c r="C52" s="18">
        <f>(5081.0/B52*100)</f>
        <v/>
      </c>
      <c r="D52" s="19" t="n">
        <v>728</v>
      </c>
      <c r="E52" s="18" t="n">
        <v>57.28999627</v>
      </c>
      <c r="F52" s="20" t="n">
        <v>1.85078317</v>
      </c>
      <c r="G52" s="18" t="n">
        <v>42.35470915</v>
      </c>
      <c r="H52" s="20" t="n">
        <v>1.83073093</v>
      </c>
      <c r="I52" s="18" t="s">
        <v>349</v>
      </c>
      <c r="J52" s="20" t="s">
        <v>349</v>
      </c>
      <c r="K52" s="18" t="n">
        <v>0.10312799</v>
      </c>
      <c r="L52" s="20" t="n">
        <v>0.10328518</v>
      </c>
      <c r="M52" s="18" t="n">
        <v>0</v>
      </c>
      <c r="N52" s="20" t="n">
        <v>0</v>
      </c>
      <c r="O52" s="18" t="n">
        <v>0</v>
      </c>
      <c r="P52" s="20" t="n">
        <v>0</v>
      </c>
      <c r="Q52" s="18" t="n">
        <v>0.25216659</v>
      </c>
      <c r="R52" s="20" t="n">
        <v>0.17549714</v>
      </c>
    </row>
    <row r="53" spans="1:18">
      <c r="A53" s="15" t="s">
        <v>395</v>
      </c>
      <c r="B53" s="17" t="n">
        <v>5571</v>
      </c>
      <c r="C53" s="18">
        <f>(4885.0/B53*100)</f>
        <v/>
      </c>
      <c r="D53" s="19" t="n">
        <v>686</v>
      </c>
      <c r="E53" s="18" t="n">
        <v>60.10632632</v>
      </c>
      <c r="F53" s="20" t="n">
        <v>1.95217426</v>
      </c>
      <c r="G53" s="18" t="n">
        <v>39.48489879</v>
      </c>
      <c r="H53" s="20" t="n">
        <v>1.95993424</v>
      </c>
      <c r="I53" s="18" t="s">
        <v>349</v>
      </c>
      <c r="J53" s="20" t="s">
        <v>349</v>
      </c>
      <c r="K53" s="18" t="n">
        <v>0.09684094</v>
      </c>
      <c r="L53" s="20" t="n">
        <v>0.09733192</v>
      </c>
      <c r="M53" s="18" t="n">
        <v>0</v>
      </c>
      <c r="N53" s="20" t="n">
        <v>0</v>
      </c>
      <c r="O53" s="18" t="n">
        <v>0</v>
      </c>
      <c r="P53" s="20" t="n">
        <v>0</v>
      </c>
      <c r="Q53" s="18" t="n">
        <v>0.31193395</v>
      </c>
      <c r="R53" s="20" t="n">
        <v>0.17844493</v>
      </c>
    </row>
    <row r="54" spans="1:18">
      <c r="A54" s="15" t="s">
        <v>396</v>
      </c>
      <c r="B54" s="17" t="n">
        <v>4740</v>
      </c>
      <c r="C54" s="18">
        <f>(3951.0/B54*100)</f>
        <v/>
      </c>
      <c r="D54" s="19" t="n">
        <v>789</v>
      </c>
      <c r="E54" s="18" t="n">
        <v>81.86410949</v>
      </c>
      <c r="F54" s="20" t="n">
        <v>1.37379749</v>
      </c>
      <c r="G54" s="18" t="n">
        <v>10.50676389</v>
      </c>
      <c r="H54" s="20" t="n">
        <v>1.13651723</v>
      </c>
      <c r="I54" s="18" t="s">
        <v>349</v>
      </c>
      <c r="J54" s="20" t="s">
        <v>349</v>
      </c>
      <c r="K54" s="18" t="n">
        <v>6.54473699</v>
      </c>
      <c r="L54" s="20" t="n">
        <v>0.9729640000000001</v>
      </c>
      <c r="M54" s="18" t="n">
        <v>0</v>
      </c>
      <c r="N54" s="20" t="n">
        <v>0</v>
      </c>
      <c r="O54" s="18" t="n">
        <v>0</v>
      </c>
      <c r="P54" s="20" t="n">
        <v>0</v>
      </c>
      <c r="Q54" s="18" t="n">
        <v>1.08438963</v>
      </c>
      <c r="R54" s="20" t="n">
        <v>0.43821017</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(4704.0/B56*100)</f>
        <v/>
      </c>
      <c r="D56" s="19" t="n">
        <v>655</v>
      </c>
      <c r="E56" s="18" t="n">
        <v>51.7302966</v>
      </c>
      <c r="F56" s="20" t="n">
        <v>2.01678189</v>
      </c>
      <c r="G56" s="18" t="n">
        <v>48.14271861</v>
      </c>
      <c r="H56" s="20" t="n">
        <v>2.02435412</v>
      </c>
      <c r="I56" s="18" t="s">
        <v>349</v>
      </c>
      <c r="J56" s="20" t="s">
        <v>349</v>
      </c>
      <c r="K56" s="18" t="n">
        <v>0.12698479</v>
      </c>
      <c r="L56" s="20" t="n">
        <v>0.12924165</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(5713.0/B61*100)</f>
        <v/>
      </c>
      <c r="D61" s="19" t="n">
        <v>812</v>
      </c>
      <c r="E61" s="18" t="n">
        <v>55.26171903</v>
      </c>
      <c r="F61" s="20" t="n">
        <v>2.15322577</v>
      </c>
      <c r="G61" s="18" t="n">
        <v>44.17860909</v>
      </c>
      <c r="H61" s="20" t="n">
        <v>2.16754894</v>
      </c>
      <c r="I61" s="18" t="s">
        <v>349</v>
      </c>
      <c r="J61" s="20" t="s">
        <v>349</v>
      </c>
      <c r="K61" s="18" t="n">
        <v>0.36022317</v>
      </c>
      <c r="L61" s="20" t="n">
        <v>0.35282544</v>
      </c>
      <c r="M61" s="18" t="n">
        <v>0</v>
      </c>
      <c r="N61" s="20" t="n">
        <v>0</v>
      </c>
      <c r="O61" s="18" t="n">
        <v>0</v>
      </c>
      <c r="P61" s="20" t="n">
        <v>0</v>
      </c>
      <c r="Q61" s="18" t="n">
        <v>0.19944871</v>
      </c>
      <c r="R61" s="20" t="n">
        <v>0.17659317</v>
      </c>
    </row>
    <row r="62" spans="1:18">
      <c r="A62" s="15" t="s">
        <v>404</v>
      </c>
      <c r="B62" s="17" t="n">
        <v>4476</v>
      </c>
      <c r="C62" s="18">
        <f>(3924.0/B62*100)</f>
        <v/>
      </c>
      <c r="D62" s="19" t="n">
        <v>552</v>
      </c>
      <c r="E62" s="18" t="n">
        <v>49.2488259</v>
      </c>
      <c r="F62" s="20" t="n">
        <v>2.18227149</v>
      </c>
      <c r="G62" s="18" t="n">
        <v>50.7511741</v>
      </c>
      <c r="H62" s="20" t="n">
        <v>2.18227149</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(4974.0/B66*100)</f>
        <v/>
      </c>
      <c r="D66" s="19" t="n">
        <v>691</v>
      </c>
      <c r="E66" s="18" t="n">
        <v>73.86074728</v>
      </c>
      <c r="F66" s="20" t="n">
        <v>1.73595846</v>
      </c>
      <c r="G66" s="18" t="n">
        <v>24.65893678</v>
      </c>
      <c r="H66" s="20" t="n">
        <v>1.68199331</v>
      </c>
      <c r="I66" s="18" t="s">
        <v>349</v>
      </c>
      <c r="J66" s="20" t="s">
        <v>349</v>
      </c>
      <c r="K66" s="18" t="n">
        <v>0.40236158</v>
      </c>
      <c r="L66" s="20" t="n">
        <v>0.23382904</v>
      </c>
      <c r="M66" s="18" t="n">
        <v>0</v>
      </c>
      <c r="N66" s="20" t="n">
        <v>0</v>
      </c>
      <c r="O66" s="18" t="n">
        <v>0</v>
      </c>
      <c r="P66" s="20" t="n">
        <v>0</v>
      </c>
      <c r="Q66" s="18" t="n">
        <v>1.07795435</v>
      </c>
      <c r="R66" s="20" t="n">
        <v>0.40627563</v>
      </c>
    </row>
    <row r="67" spans="1:18">
      <c r="A67" s="15" t="s">
        <v>409</v>
      </c>
      <c r="B67" s="17" t="n">
        <v>6971</v>
      </c>
      <c r="C67" s="18">
        <f>(6135.0/B67*100)</f>
        <v/>
      </c>
      <c r="D67" s="19" t="n">
        <v>836</v>
      </c>
      <c r="E67" s="18" t="n">
        <v>77.55780751</v>
      </c>
      <c r="F67" s="20" t="n">
        <v>1.77812345</v>
      </c>
      <c r="G67" s="18" t="n">
        <v>21.66769274</v>
      </c>
      <c r="H67" s="20" t="n">
        <v>1.71421942</v>
      </c>
      <c r="I67" s="18" t="s">
        <v>349</v>
      </c>
      <c r="J67" s="20" t="s">
        <v>349</v>
      </c>
      <c r="K67" s="18" t="n">
        <v>0.25146676</v>
      </c>
      <c r="L67" s="20" t="n">
        <v>0.18425293</v>
      </c>
      <c r="M67" s="18" t="n">
        <v>0</v>
      </c>
      <c r="N67" s="20" t="n">
        <v>0</v>
      </c>
      <c r="O67" s="18" t="n">
        <v>0</v>
      </c>
      <c r="P67" s="20" t="n">
        <v>0</v>
      </c>
      <c r="Q67" s="18" t="n">
        <v>0.52303299</v>
      </c>
      <c r="R67" s="20" t="n">
        <v>0.27354959</v>
      </c>
    </row>
    <row r="68" spans="1:18">
      <c r="A68" s="15" t="s">
        <v>410</v>
      </c>
      <c r="B68" s="17" t="n">
        <v>12083</v>
      </c>
      <c r="C68" s="18">
        <f>(10100.0/B68*100)</f>
        <v/>
      </c>
      <c r="D68" s="19" t="n">
        <v>1983</v>
      </c>
      <c r="E68" s="18" t="n">
        <v>70.14654578</v>
      </c>
      <c r="F68" s="20" t="n">
        <v>0.93701696</v>
      </c>
      <c r="G68" s="18" t="n">
        <v>27.54772421</v>
      </c>
      <c r="H68" s="20" t="n">
        <v>0.94264678</v>
      </c>
      <c r="I68" s="18" t="s">
        <v>349</v>
      </c>
      <c r="J68" s="20" t="s">
        <v>349</v>
      </c>
      <c r="K68" s="18" t="n">
        <v>1.35278125</v>
      </c>
      <c r="L68" s="20" t="n">
        <v>0.25205837</v>
      </c>
      <c r="M68" s="18" t="n">
        <v>0</v>
      </c>
      <c r="N68" s="20" t="n">
        <v>0</v>
      </c>
      <c r="O68" s="18" t="n">
        <v>0</v>
      </c>
      <c r="P68" s="20" t="n">
        <v>0</v>
      </c>
      <c r="Q68" s="18" t="n">
        <v>0.95294875</v>
      </c>
      <c r="R68" s="20" t="n">
        <v>0.21187366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(5313.0/B70*100)</f>
        <v/>
      </c>
      <c r="D70" s="19" t="n">
        <v>723</v>
      </c>
      <c r="E70" s="18" t="n">
        <v>52.8218233</v>
      </c>
      <c r="F70" s="20" t="n">
        <v>2.38279831</v>
      </c>
      <c r="G70" s="18" t="n">
        <v>46.69395382</v>
      </c>
      <c r="H70" s="20" t="n">
        <v>2.35243178</v>
      </c>
      <c r="I70" s="18" t="s">
        <v>349</v>
      </c>
      <c r="J70" s="20" t="s">
        <v>349</v>
      </c>
      <c r="K70" s="18" t="n">
        <v>0.16722605</v>
      </c>
      <c r="L70" s="20" t="n">
        <v>0.11750695</v>
      </c>
      <c r="M70" s="18" t="n">
        <v>0</v>
      </c>
      <c r="N70" s="20" t="n">
        <v>0</v>
      </c>
      <c r="O70" s="18" t="n">
        <v>0</v>
      </c>
      <c r="P70" s="20" t="n">
        <v>0</v>
      </c>
      <c r="Q70" s="18" t="n">
        <v>0.31699683</v>
      </c>
      <c r="R70" s="20" t="n">
        <v>0.16228033</v>
      </c>
    </row>
    <row r="71" spans="1:18">
      <c r="A71" s="15" t="s">
        <v>413</v>
      </c>
      <c r="B71" s="17" t="n">
        <v>6115</v>
      </c>
      <c r="C71" s="18">
        <f>(5379.0/B71*100)</f>
        <v/>
      </c>
      <c r="D71" s="19" t="n">
        <v>736</v>
      </c>
      <c r="E71" s="18" t="n">
        <v>43.00423694</v>
      </c>
      <c r="F71" s="20" t="n">
        <v>1.79942575</v>
      </c>
      <c r="G71" s="18" t="n">
        <v>56.70389531</v>
      </c>
      <c r="H71" s="20" t="n">
        <v>1.78942142</v>
      </c>
      <c r="I71" s="18" t="s">
        <v>349</v>
      </c>
      <c r="J71" s="20" t="s">
        <v>349</v>
      </c>
      <c r="K71" s="18" t="n">
        <v>0.16111958</v>
      </c>
      <c r="L71" s="20" t="n">
        <v>0.16096991</v>
      </c>
      <c r="M71" s="18" t="n">
        <v>0</v>
      </c>
      <c r="N71" s="20" t="n">
        <v>0</v>
      </c>
      <c r="O71" s="18" t="n">
        <v>0</v>
      </c>
      <c r="P71" s="20" t="n">
        <v>0</v>
      </c>
      <c r="Q71" s="18" t="n">
        <v>0.13074817</v>
      </c>
      <c r="R71" s="20" t="n">
        <v>0.12996592</v>
      </c>
    </row>
    <row r="72" spans="1:18">
      <c r="A72" s="15" t="s">
        <v>414</v>
      </c>
      <c r="B72" s="17" t="n">
        <v>7708</v>
      </c>
      <c r="C72" s="18">
        <f>(6752.0/B72*100)</f>
        <v/>
      </c>
      <c r="D72" s="19" t="n">
        <v>956</v>
      </c>
      <c r="E72" s="18" t="n">
        <v>44.2007778</v>
      </c>
      <c r="F72" s="20" t="n">
        <v>1.84649049</v>
      </c>
      <c r="G72" s="18" t="n">
        <v>55.7992222</v>
      </c>
      <c r="H72" s="20" t="n">
        <v>1.84649049</v>
      </c>
      <c r="I72" s="18" t="s">
        <v>349</v>
      </c>
      <c r="J72" s="20" t="s">
        <v>349</v>
      </c>
      <c r="K72" s="18" t="n">
        <v>0</v>
      </c>
      <c r="L72" s="20" t="n">
        <v>0</v>
      </c>
      <c r="M72" s="18" t="n">
        <v>0</v>
      </c>
      <c r="N72" s="20" t="n">
        <v>0</v>
      </c>
      <c r="O72" s="18" t="n">
        <v>0</v>
      </c>
      <c r="P72" s="20" t="n">
        <v>0</v>
      </c>
      <c r="Q72" s="18" t="n">
        <v>0</v>
      </c>
      <c r="R72" s="20" t="n">
        <v>0</v>
      </c>
    </row>
    <row r="73" spans="1:18">
      <c r="A73" s="15" t="s">
        <v>415</v>
      </c>
      <c r="B73" s="17" t="n">
        <v>8249</v>
      </c>
      <c r="C73" s="18">
        <f>(7239.0/B73*100)</f>
        <v/>
      </c>
      <c r="D73" s="19" t="n">
        <v>1010</v>
      </c>
      <c r="E73" s="18" t="n">
        <v>73.04017568</v>
      </c>
      <c r="F73" s="20" t="n">
        <v>1.47805787</v>
      </c>
      <c r="G73" s="18" t="n">
        <v>26.95526408</v>
      </c>
      <c r="H73" s="20" t="n">
        <v>1.4780696</v>
      </c>
      <c r="I73" s="18" t="s">
        <v>349</v>
      </c>
      <c r="J73" s="20" t="s">
        <v>349</v>
      </c>
      <c r="K73" s="18" t="n">
        <v>0</v>
      </c>
      <c r="L73" s="20" t="n">
        <v>0</v>
      </c>
      <c r="M73" s="18" t="n">
        <v>0</v>
      </c>
      <c r="N73" s="20" t="n">
        <v>0</v>
      </c>
      <c r="O73" s="18" t="n">
        <v>0</v>
      </c>
      <c r="P73" s="20" t="n">
        <v>0</v>
      </c>
      <c r="Q73" s="18" t="n">
        <v>0.00456024</v>
      </c>
      <c r="R73" s="20" t="n">
        <v>0.00456476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(4753.0/B75*100)</f>
        <v/>
      </c>
      <c r="D75" s="19" t="n">
        <v>622</v>
      </c>
      <c r="E75" s="18" t="n">
        <v>79.69783884</v>
      </c>
      <c r="F75" s="20" t="n">
        <v>1.79013097</v>
      </c>
      <c r="G75" s="18" t="n">
        <v>17.75908154</v>
      </c>
      <c r="H75" s="20" t="n">
        <v>1.67805033</v>
      </c>
      <c r="I75" s="18" t="s">
        <v>349</v>
      </c>
      <c r="J75" s="20" t="s">
        <v>349</v>
      </c>
      <c r="K75" s="18" t="n">
        <v>1.51298682</v>
      </c>
      <c r="L75" s="20" t="n">
        <v>0.64898761</v>
      </c>
      <c r="M75" s="18" t="n">
        <v>0</v>
      </c>
      <c r="N75" s="20" t="n">
        <v>0</v>
      </c>
      <c r="O75" s="18" t="n">
        <v>0</v>
      </c>
      <c r="P75" s="20" t="n">
        <v>0</v>
      </c>
      <c r="Q75" s="18" t="n">
        <v>1.0300928</v>
      </c>
      <c r="R75" s="20" t="n">
        <v>0.35990316</v>
      </c>
    </row>
    <row r="76" spans="1:18">
      <c r="A76" s="15" t="s">
        <v>418</v>
      </c>
      <c r="B76" s="17" t="n">
        <v>14167</v>
      </c>
      <c r="C76" s="18">
        <f>(12478.0/B76*100)</f>
        <v/>
      </c>
      <c r="D76" s="19" t="n">
        <v>1689</v>
      </c>
      <c r="E76" s="18" t="n">
        <v>64.30037196000001</v>
      </c>
      <c r="F76" s="20" t="n">
        <v>1.36525252</v>
      </c>
      <c r="G76" s="18" t="n">
        <v>34.96821377</v>
      </c>
      <c r="H76" s="20" t="n">
        <v>1.34547021</v>
      </c>
      <c r="I76" s="18" t="s">
        <v>349</v>
      </c>
      <c r="J76" s="20" t="s">
        <v>349</v>
      </c>
      <c r="K76" s="18" t="n">
        <v>0.50019138</v>
      </c>
      <c r="L76" s="20" t="n">
        <v>0.20997722</v>
      </c>
      <c r="M76" s="18" t="n">
        <v>0</v>
      </c>
      <c r="N76" s="20" t="n">
        <v>0</v>
      </c>
      <c r="O76" s="18" t="n">
        <v>0</v>
      </c>
      <c r="P76" s="20" t="n">
        <v>0</v>
      </c>
      <c r="Q76" s="18" t="n">
        <v>0.2312229</v>
      </c>
      <c r="R76" s="20" t="n">
        <v>0.08667564</v>
      </c>
    </row>
    <row r="77" spans="1:18">
      <c r="A77" s="15" t="s">
        <v>419</v>
      </c>
      <c r="B77" s="17" t="n">
        <v>6062</v>
      </c>
      <c r="C77" s="18">
        <f>(5330.0/B77*100)</f>
        <v/>
      </c>
      <c r="D77" s="19" t="n">
        <v>732</v>
      </c>
      <c r="E77" s="18" t="n">
        <v>71.83453384000001</v>
      </c>
      <c r="F77" s="20" t="n">
        <v>1.78284983</v>
      </c>
      <c r="G77" s="18" t="n">
        <v>27.39660343</v>
      </c>
      <c r="H77" s="20" t="n">
        <v>1.75042542</v>
      </c>
      <c r="I77" s="18" t="s">
        <v>349</v>
      </c>
      <c r="J77" s="20" t="s">
        <v>349</v>
      </c>
      <c r="K77" s="18" t="n">
        <v>0.70433694</v>
      </c>
      <c r="L77" s="20" t="n">
        <v>0.33573844</v>
      </c>
      <c r="M77" s="18" t="n">
        <v>0</v>
      </c>
      <c r="N77" s="20" t="n">
        <v>0</v>
      </c>
      <c r="O77" s="18" t="n">
        <v>0</v>
      </c>
      <c r="P77" s="20" t="n">
        <v>0</v>
      </c>
      <c r="Q77" s="18" t="n">
        <v>0.06452578</v>
      </c>
      <c r="R77" s="20" t="n">
        <v>0.06458474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(7767.0/B81*100)</f>
        <v/>
      </c>
      <c r="D81" s="19" t="n">
        <v>1094</v>
      </c>
      <c r="E81" s="18" t="n">
        <v>72.63481876</v>
      </c>
      <c r="F81" s="20" t="n">
        <v>1.75888839</v>
      </c>
      <c r="G81" s="18" t="n">
        <v>27.22171272</v>
      </c>
      <c r="H81" s="20" t="n">
        <v>1.74972365</v>
      </c>
      <c r="I81" s="18" t="s">
        <v>349</v>
      </c>
      <c r="J81" s="20" t="s">
        <v>349</v>
      </c>
      <c r="K81" s="18" t="n">
        <v>0.14346852</v>
      </c>
      <c r="L81" s="20" t="n">
        <v>0.14270775</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(12744.0/B7*100)</f>
        <v/>
      </c>
      <c r="D7" s="19" t="n">
        <v>1786</v>
      </c>
      <c r="E7" s="18" t="n">
        <v>26.0941771</v>
      </c>
      <c r="F7" s="20" t="n">
        <v>1.15066607</v>
      </c>
      <c r="G7" s="18" t="n">
        <v>70.68177482999999</v>
      </c>
      <c r="H7" s="20" t="n">
        <v>1.20218481</v>
      </c>
      <c r="I7" s="18" t="s">
        <v>349</v>
      </c>
      <c r="J7" s="20" t="s">
        <v>349</v>
      </c>
      <c r="K7" s="18" t="n">
        <v>0.47801091</v>
      </c>
      <c r="L7" s="20" t="n">
        <v>0.19635431</v>
      </c>
      <c r="M7" s="18" t="n">
        <v>0</v>
      </c>
      <c r="N7" s="20" t="n">
        <v>0</v>
      </c>
      <c r="O7" s="18" t="n">
        <v>0</v>
      </c>
      <c r="P7" s="20" t="n">
        <v>0</v>
      </c>
      <c r="Q7" s="18" t="n">
        <v>2.74603716</v>
      </c>
      <c r="R7" s="20" t="n">
        <v>0.42653397</v>
      </c>
    </row>
    <row r="8" spans="1:18">
      <c r="A8" s="15" t="s">
        <v>350</v>
      </c>
      <c r="B8" s="17" t="n">
        <v>7007</v>
      </c>
      <c r="C8" s="18">
        <f>(6156.0/B8*100)</f>
        <v/>
      </c>
      <c r="D8" s="19" t="n">
        <v>851</v>
      </c>
      <c r="E8" s="18" t="n">
        <v>39.73450815</v>
      </c>
      <c r="F8" s="20" t="n">
        <v>1.72145049</v>
      </c>
      <c r="G8" s="18" t="n">
        <v>55.98312338</v>
      </c>
      <c r="H8" s="20" t="n">
        <v>1.76937199</v>
      </c>
      <c r="I8" s="18" t="s">
        <v>349</v>
      </c>
      <c r="J8" s="20" t="s">
        <v>349</v>
      </c>
      <c r="K8" s="18" t="n">
        <v>0</v>
      </c>
      <c r="L8" s="20" t="n">
        <v>0</v>
      </c>
      <c r="M8" s="18" t="n">
        <v>0</v>
      </c>
      <c r="N8" s="20" t="n">
        <v>0</v>
      </c>
      <c r="O8" s="18" t="n">
        <v>0</v>
      </c>
      <c r="P8" s="20" t="n">
        <v>0</v>
      </c>
      <c r="Q8" s="18" t="n">
        <v>4.28236848</v>
      </c>
      <c r="R8" s="20" t="n">
        <v>0.91808711</v>
      </c>
    </row>
    <row r="9" spans="1:18">
      <c r="A9" s="15" t="s">
        <v>351</v>
      </c>
      <c r="B9" s="17" t="n">
        <v>9651</v>
      </c>
      <c r="C9" s="18">
        <f>(8509.0/B9*100)</f>
        <v/>
      </c>
      <c r="D9" s="19" t="n">
        <v>1142</v>
      </c>
      <c r="E9" s="18" t="n">
        <v>30.20216777</v>
      </c>
      <c r="F9" s="20" t="n">
        <v>1.2338036</v>
      </c>
      <c r="G9" s="18" t="n">
        <v>63.19992924</v>
      </c>
      <c r="H9" s="20" t="n">
        <v>1.3726701</v>
      </c>
      <c r="I9" s="18" t="s">
        <v>349</v>
      </c>
      <c r="J9" s="20" t="s">
        <v>349</v>
      </c>
      <c r="K9" s="18" t="n">
        <v>0.12195642</v>
      </c>
      <c r="L9" s="20" t="n">
        <v>0.12148542</v>
      </c>
      <c r="M9" s="18" t="n">
        <v>0</v>
      </c>
      <c r="N9" s="20" t="n">
        <v>0</v>
      </c>
      <c r="O9" s="18" t="n">
        <v>0</v>
      </c>
      <c r="P9" s="20" t="n">
        <v>0</v>
      </c>
      <c r="Q9" s="18" t="n">
        <v>6.47594657</v>
      </c>
      <c r="R9" s="20" t="n">
        <v>0.64113349</v>
      </c>
    </row>
    <row r="10" spans="1:18">
      <c r="A10" s="15" t="s">
        <v>352</v>
      </c>
      <c r="B10" s="17" t="n">
        <v>20058</v>
      </c>
      <c r="C10" s="18">
        <f>(17603.0/B10*100)</f>
        <v/>
      </c>
      <c r="D10" s="19" t="n">
        <v>2455</v>
      </c>
      <c r="E10" s="18" t="n">
        <v>21.3761785</v>
      </c>
      <c r="F10" s="20" t="n">
        <v>1.05840832</v>
      </c>
      <c r="G10" s="18" t="n">
        <v>76.82562242</v>
      </c>
      <c r="H10" s="20" t="n">
        <v>1.10129116</v>
      </c>
      <c r="I10" s="18" t="s">
        <v>349</v>
      </c>
      <c r="J10" s="20" t="s">
        <v>349</v>
      </c>
      <c r="K10" s="18" t="n">
        <v>0.19880317</v>
      </c>
      <c r="L10" s="20" t="n">
        <v>0.08827127999999999</v>
      </c>
      <c r="M10" s="18" t="n">
        <v>0</v>
      </c>
      <c r="N10" s="20" t="n">
        <v>0</v>
      </c>
      <c r="O10" s="18" t="n">
        <v>0</v>
      </c>
      <c r="P10" s="20" t="n">
        <v>0</v>
      </c>
      <c r="Q10" s="18" t="n">
        <v>1.59939591</v>
      </c>
      <c r="R10" s="20" t="n">
        <v>0.33902954</v>
      </c>
    </row>
    <row r="11" spans="1:18">
      <c r="A11" s="15" t="s">
        <v>353</v>
      </c>
      <c r="B11" s="17" t="n">
        <v>7053</v>
      </c>
      <c r="C11" s="18">
        <f>(6210.0/B11*100)</f>
        <v/>
      </c>
      <c r="D11" s="19" t="n">
        <v>843</v>
      </c>
      <c r="E11" s="18" t="n">
        <v>34.06292024</v>
      </c>
      <c r="F11" s="20" t="n">
        <v>2.10203798</v>
      </c>
      <c r="G11" s="18" t="n">
        <v>58.12053563</v>
      </c>
      <c r="H11" s="20" t="n">
        <v>2.15397777</v>
      </c>
      <c r="I11" s="18" t="s">
        <v>349</v>
      </c>
      <c r="J11" s="20" t="s">
        <v>349</v>
      </c>
      <c r="K11" s="18" t="n">
        <v>0.35033733</v>
      </c>
      <c r="L11" s="20" t="n">
        <v>0.22021958</v>
      </c>
      <c r="M11" s="18" t="n">
        <v>0</v>
      </c>
      <c r="N11" s="20" t="n">
        <v>0</v>
      </c>
      <c r="O11" s="18" t="n">
        <v>0</v>
      </c>
      <c r="P11" s="20" t="n">
        <v>0</v>
      </c>
      <c r="Q11" s="18" t="n">
        <v>7.4662068</v>
      </c>
      <c r="R11" s="20" t="n">
        <v>1.05245421</v>
      </c>
    </row>
    <row r="12" spans="1:18">
      <c r="A12" s="15" t="s">
        <v>354</v>
      </c>
      <c r="B12" s="17" t="n">
        <v>6894</v>
      </c>
      <c r="C12" s="18">
        <f>(6027.0/B12*100)</f>
        <v/>
      </c>
      <c r="D12" s="19" t="n">
        <v>867</v>
      </c>
      <c r="E12" s="18" t="n">
        <v>24.10736702</v>
      </c>
      <c r="F12" s="20" t="n">
        <v>1.81521919</v>
      </c>
      <c r="G12" s="18" t="n">
        <v>71.87110937</v>
      </c>
      <c r="H12" s="20" t="n">
        <v>1.7741197</v>
      </c>
      <c r="I12" s="18" t="s">
        <v>349</v>
      </c>
      <c r="J12" s="20" t="s">
        <v>349</v>
      </c>
      <c r="K12" s="18" t="n">
        <v>0.0449684</v>
      </c>
      <c r="L12" s="20" t="n">
        <v>0.04486206</v>
      </c>
      <c r="M12" s="18" t="n">
        <v>0</v>
      </c>
      <c r="N12" s="20" t="n">
        <v>0</v>
      </c>
      <c r="O12" s="18" t="n">
        <v>0</v>
      </c>
      <c r="P12" s="20" t="n">
        <v>0</v>
      </c>
      <c r="Q12" s="18" t="n">
        <v>3.97655521</v>
      </c>
      <c r="R12" s="20" t="n">
        <v>0.63418388</v>
      </c>
    </row>
    <row r="13" spans="1:18">
      <c r="A13" s="15" t="s">
        <v>355</v>
      </c>
      <c r="B13" s="17" t="n">
        <v>7161</v>
      </c>
      <c r="C13" s="18">
        <f>(6293.0/B13*100)</f>
        <v/>
      </c>
      <c r="D13" s="19" t="n">
        <v>868</v>
      </c>
      <c r="E13" s="18" t="n">
        <v>21.92795439</v>
      </c>
      <c r="F13" s="20" t="n">
        <v>1.57300044</v>
      </c>
      <c r="G13" s="18" t="n">
        <v>74.11003891</v>
      </c>
      <c r="H13" s="20" t="n">
        <v>1.63568168</v>
      </c>
      <c r="I13" s="18" t="s">
        <v>349</v>
      </c>
      <c r="J13" s="20" t="s">
        <v>349</v>
      </c>
      <c r="K13" s="18" t="n">
        <v>0.72062979</v>
      </c>
      <c r="L13" s="20" t="n">
        <v>0.40340362</v>
      </c>
      <c r="M13" s="18" t="n">
        <v>0</v>
      </c>
      <c r="N13" s="20" t="n">
        <v>0</v>
      </c>
      <c r="O13" s="18" t="n">
        <v>0</v>
      </c>
      <c r="P13" s="20" t="n">
        <v>0</v>
      </c>
      <c r="Q13" s="18" t="n">
        <v>3.24137691</v>
      </c>
      <c r="R13" s="20" t="n">
        <v>0.67020494</v>
      </c>
    </row>
    <row r="14" spans="1:18">
      <c r="A14" s="15" t="s">
        <v>356</v>
      </c>
      <c r="B14" s="17" t="n">
        <v>5587</v>
      </c>
      <c r="C14" s="18">
        <f>(4899.0/B14*100)</f>
        <v/>
      </c>
      <c r="D14" s="19" t="n">
        <v>688</v>
      </c>
      <c r="E14" s="18" t="n">
        <v>13.2762411</v>
      </c>
      <c r="F14" s="20" t="n">
        <v>1.44932469</v>
      </c>
      <c r="G14" s="18" t="n">
        <v>84.61107134</v>
      </c>
      <c r="H14" s="20" t="n">
        <v>1.55502106</v>
      </c>
      <c r="I14" s="18" t="s">
        <v>349</v>
      </c>
      <c r="J14" s="20" t="s">
        <v>349</v>
      </c>
      <c r="K14" s="18" t="n">
        <v>0.15793241</v>
      </c>
      <c r="L14" s="20" t="n">
        <v>0.1600244</v>
      </c>
      <c r="M14" s="18" t="n">
        <v>0</v>
      </c>
      <c r="N14" s="20" t="n">
        <v>0</v>
      </c>
      <c r="O14" s="18" t="n">
        <v>0</v>
      </c>
      <c r="P14" s="20" t="n">
        <v>0</v>
      </c>
      <c r="Q14" s="18" t="n">
        <v>1.95475515</v>
      </c>
      <c r="R14" s="20" t="n">
        <v>0.66046734</v>
      </c>
    </row>
    <row r="15" spans="1:18">
      <c r="A15" s="15" t="s">
        <v>357</v>
      </c>
      <c r="B15" s="17" t="n">
        <v>5882</v>
      </c>
      <c r="C15" s="18">
        <f>(5162.0/B15*100)</f>
        <v/>
      </c>
      <c r="D15" s="19" t="n">
        <v>720</v>
      </c>
      <c r="E15" s="18" t="n">
        <v>21.30987784</v>
      </c>
      <c r="F15" s="20" t="n">
        <v>1.72492121</v>
      </c>
      <c r="G15" s="18" t="n">
        <v>75.147499</v>
      </c>
      <c r="H15" s="20" t="n">
        <v>1.83042994</v>
      </c>
      <c r="I15" s="18" t="s">
        <v>349</v>
      </c>
      <c r="J15" s="20" t="s">
        <v>349</v>
      </c>
      <c r="K15" s="18" t="n">
        <v>0.12633475</v>
      </c>
      <c r="L15" s="20" t="n">
        <v>0.12644548</v>
      </c>
      <c r="M15" s="18" t="n">
        <v>0</v>
      </c>
      <c r="N15" s="20" t="n">
        <v>0</v>
      </c>
      <c r="O15" s="18" t="n">
        <v>0</v>
      </c>
      <c r="P15" s="20" t="n">
        <v>0</v>
      </c>
      <c r="Q15" s="18" t="n">
        <v>3.41628841</v>
      </c>
      <c r="R15" s="20" t="n">
        <v>0.6780295200000001</v>
      </c>
    </row>
    <row r="16" spans="1:18">
      <c r="A16" s="15" t="s">
        <v>358</v>
      </c>
      <c r="B16" s="17" t="n">
        <v>6108</v>
      </c>
      <c r="C16" s="18">
        <f>(5380.0/B16*100)</f>
        <v/>
      </c>
      <c r="D16" s="19" t="n">
        <v>728</v>
      </c>
      <c r="E16" s="18" t="n">
        <v>30.63795518</v>
      </c>
      <c r="F16" s="20" t="n">
        <v>1.61440538</v>
      </c>
      <c r="G16" s="18" t="n">
        <v>61.88534417</v>
      </c>
      <c r="H16" s="20" t="n">
        <v>1.5639715</v>
      </c>
      <c r="I16" s="18" t="s">
        <v>349</v>
      </c>
      <c r="J16" s="20" t="s">
        <v>349</v>
      </c>
      <c r="K16" s="18" t="n">
        <v>0.5138007999999999</v>
      </c>
      <c r="L16" s="20" t="n">
        <v>0.26010446</v>
      </c>
      <c r="M16" s="18" t="n">
        <v>0</v>
      </c>
      <c r="N16" s="20" t="n">
        <v>0</v>
      </c>
      <c r="O16" s="18" t="n">
        <v>0</v>
      </c>
      <c r="P16" s="20" t="n">
        <v>0</v>
      </c>
      <c r="Q16" s="18" t="n">
        <v>6.96289985</v>
      </c>
      <c r="R16" s="20" t="n">
        <v>0.80123929</v>
      </c>
    </row>
    <row r="17" spans="1:18">
      <c r="A17" s="15" t="s">
        <v>359</v>
      </c>
      <c r="B17" s="17" t="n">
        <v>6504</v>
      </c>
      <c r="C17" s="18">
        <f>(5709.0/B17*100)</f>
        <v/>
      </c>
      <c r="D17" s="19" t="n">
        <v>795</v>
      </c>
      <c r="E17" s="18" t="n">
        <v>33.87461029</v>
      </c>
      <c r="F17" s="20" t="n">
        <v>1.71478666</v>
      </c>
      <c r="G17" s="18" t="n">
        <v>61.4086243</v>
      </c>
      <c r="H17" s="20" t="n">
        <v>1.72845639</v>
      </c>
      <c r="I17" s="18" t="s">
        <v>349</v>
      </c>
      <c r="J17" s="20" t="s">
        <v>349</v>
      </c>
      <c r="K17" s="18" t="n">
        <v>0.22289002</v>
      </c>
      <c r="L17" s="20" t="n">
        <v>0.16348305</v>
      </c>
      <c r="M17" s="18" t="n">
        <v>0</v>
      </c>
      <c r="N17" s="20" t="n">
        <v>0</v>
      </c>
      <c r="O17" s="18" t="n">
        <v>0</v>
      </c>
      <c r="P17" s="20" t="n">
        <v>0</v>
      </c>
      <c r="Q17" s="18" t="n">
        <v>4.49387538</v>
      </c>
      <c r="R17" s="20" t="n">
        <v>0.68504371</v>
      </c>
    </row>
    <row r="18" spans="1:18">
      <c r="A18" s="15" t="s">
        <v>360</v>
      </c>
      <c r="B18" s="17" t="n">
        <v>5532</v>
      </c>
      <c r="C18" s="18">
        <f>(4850.0/B18*100)</f>
        <v/>
      </c>
      <c r="D18" s="19" t="n">
        <v>682</v>
      </c>
      <c r="E18" s="18" t="n">
        <v>33.62658921</v>
      </c>
      <c r="F18" s="20" t="n">
        <v>2.48988839</v>
      </c>
      <c r="G18" s="18" t="n">
        <v>61.04787124</v>
      </c>
      <c r="H18" s="20" t="n">
        <v>2.44522362</v>
      </c>
      <c r="I18" s="18" t="s">
        <v>349</v>
      </c>
      <c r="J18" s="20" t="s">
        <v>349</v>
      </c>
      <c r="K18" s="18" t="n">
        <v>0.28790905</v>
      </c>
      <c r="L18" s="20" t="n">
        <v>0.27242275</v>
      </c>
      <c r="M18" s="18" t="n">
        <v>0</v>
      </c>
      <c r="N18" s="20" t="n">
        <v>0</v>
      </c>
      <c r="O18" s="18" t="n">
        <v>0</v>
      </c>
      <c r="P18" s="20" t="n">
        <v>0</v>
      </c>
      <c r="Q18" s="18" t="n">
        <v>5.03763049</v>
      </c>
      <c r="R18" s="20" t="n">
        <v>0.8946819499999999</v>
      </c>
    </row>
    <row r="19" spans="1:18">
      <c r="A19" s="15" t="s">
        <v>361</v>
      </c>
      <c r="B19" s="17" t="n">
        <v>5658</v>
      </c>
      <c r="C19" s="18">
        <f>(4952.0/B19*100)</f>
        <v/>
      </c>
      <c r="D19" s="19" t="n">
        <v>706</v>
      </c>
      <c r="E19" s="18" t="n">
        <v>27.21726581</v>
      </c>
      <c r="F19" s="20" t="n">
        <v>1.96736936</v>
      </c>
      <c r="G19" s="18" t="n">
        <v>68.08753546</v>
      </c>
      <c r="H19" s="20" t="n">
        <v>1.97262502</v>
      </c>
      <c r="I19" s="18" t="s">
        <v>349</v>
      </c>
      <c r="J19" s="20" t="s">
        <v>349</v>
      </c>
      <c r="K19" s="18" t="n">
        <v>0.14651088</v>
      </c>
      <c r="L19" s="20" t="n">
        <v>0.14621325</v>
      </c>
      <c r="M19" s="18" t="n">
        <v>0</v>
      </c>
      <c r="N19" s="20" t="n">
        <v>0</v>
      </c>
      <c r="O19" s="18" t="n">
        <v>0</v>
      </c>
      <c r="P19" s="20" t="n">
        <v>0</v>
      </c>
      <c r="Q19" s="18" t="n">
        <v>4.54868784</v>
      </c>
      <c r="R19" s="20" t="n">
        <v>0.85414984</v>
      </c>
    </row>
    <row r="20" spans="1:18">
      <c r="A20" s="15" t="s">
        <v>362</v>
      </c>
      <c r="B20" s="17" t="n">
        <v>3371</v>
      </c>
      <c r="C20" s="18">
        <f>(2969.0/B20*100)</f>
        <v/>
      </c>
      <c r="D20" s="19" t="n">
        <v>402</v>
      </c>
      <c r="E20" s="18" t="n">
        <v>25.8600859</v>
      </c>
      <c r="F20" s="20" t="n">
        <v>2.11892567</v>
      </c>
      <c r="G20" s="18" t="n">
        <v>69.86340585000001</v>
      </c>
      <c r="H20" s="20" t="n">
        <v>2.35095856</v>
      </c>
      <c r="I20" s="18" t="s">
        <v>349</v>
      </c>
      <c r="J20" s="20" t="s">
        <v>349</v>
      </c>
      <c r="K20" s="18" t="n">
        <v>0.48201351</v>
      </c>
      <c r="L20" s="20" t="n">
        <v>0.34755783</v>
      </c>
      <c r="M20" s="18" t="n">
        <v>0</v>
      </c>
      <c r="N20" s="20" t="n">
        <v>0</v>
      </c>
      <c r="O20" s="18" t="n">
        <v>0</v>
      </c>
      <c r="P20" s="20" t="n">
        <v>0</v>
      </c>
      <c r="Q20" s="18" t="n">
        <v>3.79449473</v>
      </c>
      <c r="R20" s="20" t="n">
        <v>0.90215039</v>
      </c>
    </row>
    <row r="21" spans="1:18">
      <c r="A21" s="15" t="s">
        <v>363</v>
      </c>
      <c r="B21" s="17" t="n">
        <v>5741</v>
      </c>
      <c r="C21" s="18">
        <f>(4772.0/B21*100)</f>
        <v/>
      </c>
      <c r="D21" s="19" t="n">
        <v>969</v>
      </c>
      <c r="E21" s="18" t="n">
        <v>24.50822682</v>
      </c>
      <c r="F21" s="20" t="n">
        <v>1.65079106</v>
      </c>
      <c r="G21" s="18" t="n">
        <v>72.74030888999999</v>
      </c>
      <c r="H21" s="20" t="n">
        <v>1.76362648</v>
      </c>
      <c r="I21" s="18" t="s">
        <v>349</v>
      </c>
      <c r="J21" s="20" t="s">
        <v>349</v>
      </c>
      <c r="K21" s="18" t="n">
        <v>0.09831653999999999</v>
      </c>
      <c r="L21" s="20" t="n">
        <v>0.09821390000000001</v>
      </c>
      <c r="M21" s="18" t="n">
        <v>0</v>
      </c>
      <c r="N21" s="20" t="n">
        <v>0</v>
      </c>
      <c r="O21" s="18" t="n">
        <v>0</v>
      </c>
      <c r="P21" s="20" t="n">
        <v>0</v>
      </c>
      <c r="Q21" s="18" t="n">
        <v>2.65314776</v>
      </c>
      <c r="R21" s="20" t="n">
        <v>0.48002331</v>
      </c>
    </row>
    <row r="22" spans="1:18">
      <c r="A22" s="15" t="s">
        <v>364</v>
      </c>
      <c r="B22" s="17" t="n">
        <v>6598</v>
      </c>
      <c r="C22" s="18">
        <f>(5774.0/B22*100)</f>
        <v/>
      </c>
      <c r="D22" s="19" t="n">
        <v>824</v>
      </c>
      <c r="E22" s="18" t="n">
        <v>28.48616795</v>
      </c>
      <c r="F22" s="20" t="n">
        <v>1.8977042</v>
      </c>
      <c r="G22" s="18" t="n">
        <v>63.18095618</v>
      </c>
      <c r="H22" s="20" t="n">
        <v>2.15830086</v>
      </c>
      <c r="I22" s="18" t="s">
        <v>349</v>
      </c>
      <c r="J22" s="20" t="s">
        <v>349</v>
      </c>
      <c r="K22" s="18" t="n">
        <v>0.65172619</v>
      </c>
      <c r="L22" s="20" t="n">
        <v>0.32706528</v>
      </c>
      <c r="M22" s="18" t="n">
        <v>0</v>
      </c>
      <c r="N22" s="20" t="n">
        <v>0</v>
      </c>
      <c r="O22" s="18" t="n">
        <v>0</v>
      </c>
      <c r="P22" s="20" t="n">
        <v>0</v>
      </c>
      <c r="Q22" s="18" t="n">
        <v>7.68114969</v>
      </c>
      <c r="R22" s="20" t="n">
        <v>1.30242069</v>
      </c>
    </row>
    <row r="23" spans="1:18">
      <c r="A23" s="15" t="s">
        <v>365</v>
      </c>
      <c r="B23" s="17" t="n">
        <v>11583</v>
      </c>
      <c r="C23" s="18">
        <f>(10157.0/B23*100)</f>
        <v/>
      </c>
      <c r="D23" s="19" t="n">
        <v>1426</v>
      </c>
      <c r="E23" s="18" t="n">
        <v>35.58322434</v>
      </c>
      <c r="F23" s="20" t="n">
        <v>1.80774983</v>
      </c>
      <c r="G23" s="18" t="n">
        <v>59.95554208</v>
      </c>
      <c r="H23" s="20" t="n">
        <v>1.86220737</v>
      </c>
      <c r="I23" s="18" t="s">
        <v>349</v>
      </c>
      <c r="J23" s="20" t="s">
        <v>349</v>
      </c>
      <c r="K23" s="18" t="n">
        <v>0.20482739</v>
      </c>
      <c r="L23" s="20" t="n">
        <v>0.14230988</v>
      </c>
      <c r="M23" s="18" t="n">
        <v>0</v>
      </c>
      <c r="N23" s="20" t="n">
        <v>0</v>
      </c>
      <c r="O23" s="18" t="n">
        <v>0</v>
      </c>
      <c r="P23" s="20" t="n">
        <v>0</v>
      </c>
      <c r="Q23" s="18" t="n">
        <v>4.25640619</v>
      </c>
      <c r="R23" s="20" t="n">
        <v>0.69829171</v>
      </c>
    </row>
    <row r="24" spans="1:18">
      <c r="A24" s="15" t="s">
        <v>366</v>
      </c>
      <c r="B24" s="17" t="n">
        <v>6647</v>
      </c>
      <c r="C24" s="18">
        <f>(5824.0/B24*100)</f>
        <v/>
      </c>
      <c r="D24" s="19" t="n">
        <v>823</v>
      </c>
      <c r="E24" s="18" t="n">
        <v>19.94006577</v>
      </c>
      <c r="F24" s="20" t="n">
        <v>1.55796597</v>
      </c>
      <c r="G24" s="18" t="n">
        <v>76.90696008</v>
      </c>
      <c r="H24" s="20" t="n">
        <v>1.69669788</v>
      </c>
      <c r="I24" s="18" t="s">
        <v>349</v>
      </c>
      <c r="J24" s="20" t="s">
        <v>349</v>
      </c>
      <c r="K24" s="18" t="n">
        <v>0.08640636</v>
      </c>
      <c r="L24" s="20" t="n">
        <v>0.08656612</v>
      </c>
      <c r="M24" s="18" t="n">
        <v>0</v>
      </c>
      <c r="N24" s="20" t="n">
        <v>0</v>
      </c>
      <c r="O24" s="18" t="n">
        <v>0</v>
      </c>
      <c r="P24" s="20" t="n">
        <v>0</v>
      </c>
      <c r="Q24" s="18" t="n">
        <v>3.06656779</v>
      </c>
      <c r="R24" s="20" t="n">
        <v>0.6929281900000001</v>
      </c>
    </row>
    <row r="25" spans="1:18">
      <c r="A25" s="15" t="s">
        <v>367</v>
      </c>
      <c r="B25" s="17" t="n">
        <v>5581</v>
      </c>
      <c r="C25" s="18">
        <f>(4905.0/B25*100)</f>
        <v/>
      </c>
      <c r="D25" s="19" t="n">
        <v>676</v>
      </c>
      <c r="E25" s="18" t="n">
        <v>19.78666463</v>
      </c>
      <c r="F25" s="20" t="n">
        <v>1.86803642</v>
      </c>
      <c r="G25" s="18" t="n">
        <v>78.50998402</v>
      </c>
      <c r="H25" s="20" t="n">
        <v>1.89869128</v>
      </c>
      <c r="I25" s="18" t="s">
        <v>349</v>
      </c>
      <c r="J25" s="20" t="s">
        <v>349</v>
      </c>
      <c r="K25" s="18" t="n">
        <v>0.31262924</v>
      </c>
      <c r="L25" s="20" t="n">
        <v>0.21916467</v>
      </c>
      <c r="M25" s="18" t="n">
        <v>0</v>
      </c>
      <c r="N25" s="20" t="n">
        <v>0</v>
      </c>
      <c r="O25" s="18" t="n">
        <v>0</v>
      </c>
      <c r="P25" s="20" t="n">
        <v>0</v>
      </c>
      <c r="Q25" s="18" t="n">
        <v>1.3907221</v>
      </c>
      <c r="R25" s="20" t="n">
        <v>0.39470823</v>
      </c>
    </row>
    <row r="26" spans="1:18">
      <c r="A26" s="15" t="s">
        <v>368</v>
      </c>
      <c r="B26" s="17" t="n">
        <v>4869</v>
      </c>
      <c r="C26" s="18">
        <f>(4262.0/B26*100)</f>
        <v/>
      </c>
      <c r="D26" s="19" t="n">
        <v>607</v>
      </c>
      <c r="E26" s="18" t="n">
        <v>33.16838082</v>
      </c>
      <c r="F26" s="20" t="n">
        <v>2.15119569</v>
      </c>
      <c r="G26" s="18" t="n">
        <v>65.49989278</v>
      </c>
      <c r="H26" s="20" t="n">
        <v>2.11892285</v>
      </c>
      <c r="I26" s="18" t="s">
        <v>349</v>
      </c>
      <c r="J26" s="20" t="s">
        <v>349</v>
      </c>
      <c r="K26" s="18" t="n">
        <v>0</v>
      </c>
      <c r="L26" s="20" t="n">
        <v>0</v>
      </c>
      <c r="M26" s="18" t="n">
        <v>0</v>
      </c>
      <c r="N26" s="20" t="n">
        <v>0</v>
      </c>
      <c r="O26" s="18" t="n">
        <v>0</v>
      </c>
      <c r="P26" s="20" t="n">
        <v>0</v>
      </c>
      <c r="Q26" s="18" t="n">
        <v>1.3317264</v>
      </c>
      <c r="R26" s="20" t="n">
        <v>0.41078196</v>
      </c>
    </row>
    <row r="27" spans="1:18">
      <c r="A27" s="15" t="s">
        <v>369</v>
      </c>
      <c r="B27" s="17" t="n">
        <v>5299</v>
      </c>
      <c r="C27" s="18">
        <f>(4660.0/B27*100)</f>
        <v/>
      </c>
      <c r="D27" s="19" t="n">
        <v>639</v>
      </c>
      <c r="E27" s="18" t="n">
        <v>41.28518973</v>
      </c>
      <c r="F27" s="20" t="n">
        <v>1.89950844</v>
      </c>
      <c r="G27" s="18" t="n">
        <v>53.16524729</v>
      </c>
      <c r="H27" s="20" t="n">
        <v>1.91552171</v>
      </c>
      <c r="I27" s="18" t="s">
        <v>349</v>
      </c>
      <c r="J27" s="20" t="s">
        <v>349</v>
      </c>
      <c r="K27" s="18" t="n">
        <v>0.15541445</v>
      </c>
      <c r="L27" s="20" t="n">
        <v>0.15479102</v>
      </c>
      <c r="M27" s="18" t="n">
        <v>0</v>
      </c>
      <c r="N27" s="20" t="n">
        <v>0</v>
      </c>
      <c r="O27" s="18" t="n">
        <v>0</v>
      </c>
      <c r="P27" s="20" t="n">
        <v>0</v>
      </c>
      <c r="Q27" s="18" t="n">
        <v>5.39414853</v>
      </c>
      <c r="R27" s="20" t="n">
        <v>0.92052734</v>
      </c>
    </row>
    <row r="28" spans="1:18">
      <c r="A28" s="15" t="s">
        <v>370</v>
      </c>
      <c r="B28" s="17" t="n">
        <v>7568</v>
      </c>
      <c r="C28" s="18">
        <f>(6648.0/B28*100)</f>
        <v/>
      </c>
      <c r="D28" s="19" t="n">
        <v>920</v>
      </c>
      <c r="E28" s="18" t="n">
        <v>55.74850569</v>
      </c>
      <c r="F28" s="20" t="n">
        <v>1.70396108</v>
      </c>
      <c r="G28" s="18" t="n">
        <v>39.73545516</v>
      </c>
      <c r="H28" s="20" t="n">
        <v>1.75801293</v>
      </c>
      <c r="I28" s="18" t="s">
        <v>349</v>
      </c>
      <c r="J28" s="20" t="s">
        <v>349</v>
      </c>
      <c r="K28" s="18" t="n">
        <v>0.50030562</v>
      </c>
      <c r="L28" s="20" t="n">
        <v>0.28839616</v>
      </c>
      <c r="M28" s="18" t="n">
        <v>0</v>
      </c>
      <c r="N28" s="20" t="n">
        <v>0</v>
      </c>
      <c r="O28" s="18" t="n">
        <v>0</v>
      </c>
      <c r="P28" s="20" t="n">
        <v>0</v>
      </c>
      <c r="Q28" s="18" t="n">
        <v>4.01573352</v>
      </c>
      <c r="R28" s="20" t="n">
        <v>0.6951834</v>
      </c>
    </row>
    <row r="29" spans="1:18">
      <c r="A29" s="15" t="s">
        <v>371</v>
      </c>
      <c r="B29" s="17" t="n">
        <v>5385</v>
      </c>
      <c r="C29" s="18">
        <f>(4735.0/B29*100)</f>
        <v/>
      </c>
      <c r="D29" s="19" t="n">
        <v>650</v>
      </c>
      <c r="E29" s="18" t="n">
        <v>29.250858</v>
      </c>
      <c r="F29" s="20" t="n">
        <v>1.7074021</v>
      </c>
      <c r="G29" s="18" t="n">
        <v>67.30415893</v>
      </c>
      <c r="H29" s="20" t="n">
        <v>1.79918126</v>
      </c>
      <c r="I29" s="18" t="s">
        <v>349</v>
      </c>
      <c r="J29" s="20" t="s">
        <v>349</v>
      </c>
      <c r="K29" s="18" t="n">
        <v>0.19972311</v>
      </c>
      <c r="L29" s="20" t="n">
        <v>0.15347317</v>
      </c>
      <c r="M29" s="18" t="n">
        <v>0</v>
      </c>
      <c r="N29" s="20" t="n">
        <v>0</v>
      </c>
      <c r="O29" s="18" t="n">
        <v>0</v>
      </c>
      <c r="P29" s="20" t="n">
        <v>0</v>
      </c>
      <c r="Q29" s="18" t="n">
        <v>3.24525996</v>
      </c>
      <c r="R29" s="20" t="n">
        <v>0.60778386</v>
      </c>
    </row>
    <row r="30" spans="1:18">
      <c r="A30" s="15" t="s">
        <v>372</v>
      </c>
      <c r="B30" s="17" t="n">
        <v>4520</v>
      </c>
      <c r="C30" s="18">
        <f>(3945.0/B30*100)</f>
        <v/>
      </c>
      <c r="D30" s="19" t="n">
        <v>575</v>
      </c>
      <c r="E30" s="18" t="n">
        <v>24.25164181</v>
      </c>
      <c r="F30" s="20" t="n">
        <v>2.17105918</v>
      </c>
      <c r="G30" s="18" t="n">
        <v>73.15551773</v>
      </c>
      <c r="H30" s="20" t="n">
        <v>2.28292071</v>
      </c>
      <c r="I30" s="18" t="s">
        <v>349</v>
      </c>
      <c r="J30" s="20" t="s">
        <v>349</v>
      </c>
      <c r="K30" s="18" t="n">
        <v>0.15778678</v>
      </c>
      <c r="L30" s="20" t="n">
        <v>0.16023447</v>
      </c>
      <c r="M30" s="18" t="n">
        <v>0</v>
      </c>
      <c r="N30" s="20" t="n">
        <v>0</v>
      </c>
      <c r="O30" s="18" t="n">
        <v>0</v>
      </c>
      <c r="P30" s="20" t="n">
        <v>0</v>
      </c>
      <c r="Q30" s="18" t="n">
        <v>2.43505368</v>
      </c>
      <c r="R30" s="20" t="n">
        <v>0.64649373</v>
      </c>
    </row>
    <row r="31" spans="1:18">
      <c r="A31" s="15" t="s">
        <v>373</v>
      </c>
      <c r="B31" s="17" t="n">
        <v>5456</v>
      </c>
      <c r="C31" s="18">
        <f>(4808.0/B31*100)</f>
        <v/>
      </c>
      <c r="D31" s="19" t="n">
        <v>648</v>
      </c>
      <c r="E31" s="18" t="n">
        <v>21.85374648</v>
      </c>
      <c r="F31" s="20" t="n">
        <v>1.70023049</v>
      </c>
      <c r="G31" s="18" t="n">
        <v>72.20357082</v>
      </c>
      <c r="H31" s="20" t="n">
        <v>1.74327046</v>
      </c>
      <c r="I31" s="18" t="s">
        <v>349</v>
      </c>
      <c r="J31" s="20" t="s">
        <v>349</v>
      </c>
      <c r="K31" s="18" t="n">
        <v>0.28605846</v>
      </c>
      <c r="L31" s="20" t="n">
        <v>0.19689551</v>
      </c>
      <c r="M31" s="18" t="n">
        <v>0</v>
      </c>
      <c r="N31" s="20" t="n">
        <v>0</v>
      </c>
      <c r="O31" s="18" t="n">
        <v>0</v>
      </c>
      <c r="P31" s="20" t="n">
        <v>0</v>
      </c>
      <c r="Q31" s="18" t="n">
        <v>5.65662423</v>
      </c>
      <c r="R31" s="20" t="n">
        <v>0.961302</v>
      </c>
    </row>
    <row r="32" spans="1:18">
      <c r="A32" s="15" t="s">
        <v>374</v>
      </c>
      <c r="B32" s="17" t="n">
        <v>4478</v>
      </c>
      <c r="C32" s="18">
        <f>(3743.0/B32*100)</f>
        <v/>
      </c>
      <c r="D32" s="19" t="n">
        <v>735</v>
      </c>
      <c r="E32" s="18" t="n">
        <v>28.36795321</v>
      </c>
      <c r="F32" s="20" t="n">
        <v>2.01479443</v>
      </c>
      <c r="G32" s="18" t="n">
        <v>68.10970241</v>
      </c>
      <c r="H32" s="20" t="n">
        <v>1.96746757</v>
      </c>
      <c r="I32" s="18" t="s">
        <v>349</v>
      </c>
      <c r="J32" s="20" t="s">
        <v>349</v>
      </c>
      <c r="K32" s="18" t="n">
        <v>0.12955546</v>
      </c>
      <c r="L32" s="20" t="n">
        <v>0.13514551</v>
      </c>
      <c r="M32" s="18" t="n">
        <v>0</v>
      </c>
      <c r="N32" s="20" t="n">
        <v>0</v>
      </c>
      <c r="O32" s="18" t="n">
        <v>0</v>
      </c>
      <c r="P32" s="20" t="n">
        <v>0</v>
      </c>
      <c r="Q32" s="18" t="n">
        <v>3.39278893</v>
      </c>
      <c r="R32" s="20" t="n">
        <v>0.66607721</v>
      </c>
    </row>
    <row r="33" spans="1:18">
      <c r="A33" s="15" t="s">
        <v>375</v>
      </c>
      <c r="B33" s="17" t="n">
        <v>7325</v>
      </c>
      <c r="C33" s="18">
        <f>(6430.0/B33*100)</f>
        <v/>
      </c>
      <c r="D33" s="19" t="n">
        <v>895</v>
      </c>
      <c r="E33" s="18" t="n">
        <v>34.90990041</v>
      </c>
      <c r="F33" s="20" t="n">
        <v>1.86775992</v>
      </c>
      <c r="G33" s="18" t="n">
        <v>60.03573007</v>
      </c>
      <c r="H33" s="20" t="n">
        <v>1.89197184</v>
      </c>
      <c r="I33" s="18" t="s">
        <v>349</v>
      </c>
      <c r="J33" s="20" t="s">
        <v>349</v>
      </c>
      <c r="K33" s="18" t="n">
        <v>0.83964462</v>
      </c>
      <c r="L33" s="20" t="n">
        <v>0.62644263</v>
      </c>
      <c r="M33" s="18" t="n">
        <v>0</v>
      </c>
      <c r="N33" s="20" t="n">
        <v>0</v>
      </c>
      <c r="O33" s="18" t="n">
        <v>0</v>
      </c>
      <c r="P33" s="20" t="n">
        <v>0</v>
      </c>
      <c r="Q33" s="18" t="n">
        <v>4.21472489</v>
      </c>
      <c r="R33" s="20" t="n">
        <v>0.75328956</v>
      </c>
    </row>
    <row r="34" spans="1:18">
      <c r="A34" s="15" t="s">
        <v>376</v>
      </c>
      <c r="B34" s="17" t="n">
        <v>6350</v>
      </c>
      <c r="C34" s="18">
        <f>(5574.0/B34*100)</f>
        <v/>
      </c>
      <c r="D34" s="19" t="n">
        <v>776</v>
      </c>
      <c r="E34" s="18" t="n">
        <v>29.13700077</v>
      </c>
      <c r="F34" s="20" t="n">
        <v>1.66153943</v>
      </c>
      <c r="G34" s="18" t="n">
        <v>67.09784981</v>
      </c>
      <c r="H34" s="20" t="n">
        <v>1.78036212</v>
      </c>
      <c r="I34" s="18" t="s">
        <v>349</v>
      </c>
      <c r="J34" s="20" t="s">
        <v>349</v>
      </c>
      <c r="K34" s="18" t="n">
        <v>0</v>
      </c>
      <c r="L34" s="20" t="n">
        <v>0</v>
      </c>
      <c r="M34" s="18" t="n">
        <v>0</v>
      </c>
      <c r="N34" s="20" t="n">
        <v>0</v>
      </c>
      <c r="O34" s="18" t="n">
        <v>0</v>
      </c>
      <c r="P34" s="20" t="n">
        <v>0</v>
      </c>
      <c r="Q34" s="18" t="n">
        <v>3.76514943</v>
      </c>
      <c r="R34" s="20" t="n">
        <v>0.62124001</v>
      </c>
    </row>
    <row r="35" spans="1:18">
      <c r="A35" s="15" t="s">
        <v>377</v>
      </c>
      <c r="B35" s="17" t="n">
        <v>6406</v>
      </c>
      <c r="C35" s="18">
        <f>(5616.0/B35*100)</f>
        <v/>
      </c>
      <c r="D35" s="19" t="n">
        <v>790</v>
      </c>
      <c r="E35" s="18" t="n">
        <v>29.38165182</v>
      </c>
      <c r="F35" s="20" t="n">
        <v>2.23417653</v>
      </c>
      <c r="G35" s="18" t="n">
        <v>64.46827304</v>
      </c>
      <c r="H35" s="20" t="n">
        <v>2.12774463</v>
      </c>
      <c r="I35" s="18" t="s">
        <v>349</v>
      </c>
      <c r="J35" s="20" t="s">
        <v>349</v>
      </c>
      <c r="K35" s="18" t="n">
        <v>0.05074872</v>
      </c>
      <c r="L35" s="20" t="n">
        <v>0.05110515</v>
      </c>
      <c r="M35" s="18" t="n">
        <v>0</v>
      </c>
      <c r="N35" s="20" t="n">
        <v>0</v>
      </c>
      <c r="O35" s="18" t="n">
        <v>0</v>
      </c>
      <c r="P35" s="20" t="n">
        <v>0</v>
      </c>
      <c r="Q35" s="18" t="n">
        <v>6.09932642</v>
      </c>
      <c r="R35" s="20" t="n">
        <v>0.92771572</v>
      </c>
    </row>
    <row r="36" spans="1:18">
      <c r="A36" s="15" t="s">
        <v>378</v>
      </c>
      <c r="B36" s="17" t="n">
        <v>6736</v>
      </c>
      <c r="C36" s="18">
        <f>(5909.0/B36*100)</f>
        <v/>
      </c>
      <c r="D36" s="19" t="n">
        <v>827</v>
      </c>
      <c r="E36" s="18" t="n">
        <v>30.4141103</v>
      </c>
      <c r="F36" s="20" t="n">
        <v>1.94828077</v>
      </c>
      <c r="G36" s="18" t="n">
        <v>63.32138084</v>
      </c>
      <c r="H36" s="20" t="n">
        <v>1.87178767</v>
      </c>
      <c r="I36" s="18" t="s">
        <v>349</v>
      </c>
      <c r="J36" s="20" t="s">
        <v>349</v>
      </c>
      <c r="K36" s="18" t="n">
        <v>0.32408044</v>
      </c>
      <c r="L36" s="20" t="n">
        <v>0.21838424</v>
      </c>
      <c r="M36" s="18" t="n">
        <v>0</v>
      </c>
      <c r="N36" s="20" t="n">
        <v>0</v>
      </c>
      <c r="O36" s="18" t="n">
        <v>0</v>
      </c>
      <c r="P36" s="20" t="n">
        <v>0</v>
      </c>
      <c r="Q36" s="18" t="n">
        <v>5.94042841</v>
      </c>
      <c r="R36" s="20" t="n">
        <v>1.0090465</v>
      </c>
    </row>
    <row r="37" spans="1:18">
      <c r="A37" s="15" t="s">
        <v>379</v>
      </c>
      <c r="B37" s="17" t="n">
        <v>5458</v>
      </c>
      <c r="C37" s="18">
        <f>(4773.0/B37*100)</f>
        <v/>
      </c>
      <c r="D37" s="19" t="n">
        <v>685</v>
      </c>
      <c r="E37" s="18" t="n">
        <v>25.85644954</v>
      </c>
      <c r="F37" s="20" t="n">
        <v>1.79852209</v>
      </c>
      <c r="G37" s="18" t="n">
        <v>65.31643176999999</v>
      </c>
      <c r="H37" s="20" t="n">
        <v>1.9400782</v>
      </c>
      <c r="I37" s="18" t="s">
        <v>349</v>
      </c>
      <c r="J37" s="20" t="s">
        <v>349</v>
      </c>
      <c r="K37" s="18" t="n">
        <v>0.27858991</v>
      </c>
      <c r="L37" s="20" t="n">
        <v>0.19561583</v>
      </c>
      <c r="M37" s="18" t="n">
        <v>0</v>
      </c>
      <c r="N37" s="20" t="n">
        <v>0</v>
      </c>
      <c r="O37" s="18" t="n">
        <v>0</v>
      </c>
      <c r="P37" s="20" t="n">
        <v>0</v>
      </c>
      <c r="Q37" s="18" t="n">
        <v>8.54852878</v>
      </c>
      <c r="R37" s="20" t="n">
        <v>1.20369771</v>
      </c>
    </row>
    <row r="38" spans="1:18">
      <c r="A38" s="15" t="s">
        <v>380</v>
      </c>
      <c r="B38" s="17" t="n">
        <v>5860</v>
      </c>
      <c r="C38" s="18">
        <f>(4877.0/B38*100)</f>
        <v/>
      </c>
      <c r="D38" s="19" t="n">
        <v>983</v>
      </c>
      <c r="E38" s="18" t="n">
        <v>33.03147135</v>
      </c>
      <c r="F38" s="20" t="n">
        <v>1.68293937</v>
      </c>
      <c r="G38" s="18" t="n">
        <v>62.2642182</v>
      </c>
      <c r="H38" s="20" t="n">
        <v>1.64921784</v>
      </c>
      <c r="I38" s="18" t="s">
        <v>349</v>
      </c>
      <c r="J38" s="20" t="s">
        <v>349</v>
      </c>
      <c r="K38" s="18" t="n">
        <v>0.12961088</v>
      </c>
      <c r="L38" s="20" t="n">
        <v>0.10557706</v>
      </c>
      <c r="M38" s="18" t="n">
        <v>0</v>
      </c>
      <c r="N38" s="20" t="n">
        <v>0</v>
      </c>
      <c r="O38" s="18" t="n">
        <v>0</v>
      </c>
      <c r="P38" s="20" t="n">
        <v>0</v>
      </c>
      <c r="Q38" s="18" t="n">
        <v>4.57469957</v>
      </c>
      <c r="R38" s="20" t="n">
        <v>0.65458143</v>
      </c>
    </row>
    <row r="39" spans="1:18">
      <c r="A39" s="15" t="s">
        <v>381</v>
      </c>
      <c r="B39" s="17" t="n">
        <v>5895</v>
      </c>
      <c r="C39" s="18">
        <f>(5199.0/B39*100)</f>
        <v/>
      </c>
      <c r="D39" s="19" t="n">
        <v>696</v>
      </c>
      <c r="E39" s="18" t="n">
        <v>33.47350577</v>
      </c>
      <c r="F39" s="20" t="n">
        <v>2.57283715</v>
      </c>
      <c r="G39" s="18" t="n">
        <v>63.12525714</v>
      </c>
      <c r="H39" s="20" t="n">
        <v>2.81048437</v>
      </c>
      <c r="I39" s="18" t="s">
        <v>349</v>
      </c>
      <c r="J39" s="20" t="s">
        <v>349</v>
      </c>
      <c r="K39" s="18" t="n">
        <v>0.86736754</v>
      </c>
      <c r="L39" s="20" t="n">
        <v>0.33393223</v>
      </c>
      <c r="M39" s="18" t="n">
        <v>0</v>
      </c>
      <c r="N39" s="20" t="n">
        <v>0</v>
      </c>
      <c r="O39" s="18" t="n">
        <v>0</v>
      </c>
      <c r="P39" s="20" t="n">
        <v>0</v>
      </c>
      <c r="Q39" s="18" t="n">
        <v>2.53386955</v>
      </c>
      <c r="R39" s="20" t="n">
        <v>0.7434859</v>
      </c>
    </row>
    <row r="40" spans="1:18">
      <c r="A40" s="15" t="s">
        <v>382</v>
      </c>
      <c r="B40" s="17" t="n">
        <v>14157</v>
      </c>
      <c r="C40" s="18">
        <f>(12421.0/B40*100)</f>
        <v/>
      </c>
      <c r="D40" s="19" t="n">
        <v>1736</v>
      </c>
      <c r="E40" s="18" t="n">
        <v>25.96582342</v>
      </c>
      <c r="F40" s="20" t="n">
        <v>1.57503301</v>
      </c>
      <c r="G40" s="18" t="n">
        <v>70.68907007</v>
      </c>
      <c r="H40" s="20" t="n">
        <v>1.6434941</v>
      </c>
      <c r="I40" s="18" t="s">
        <v>349</v>
      </c>
      <c r="J40" s="20" t="s">
        <v>349</v>
      </c>
      <c r="K40" s="18" t="n">
        <v>0.2953258</v>
      </c>
      <c r="L40" s="20" t="n">
        <v>0.16663821</v>
      </c>
      <c r="M40" s="18" t="n">
        <v>0</v>
      </c>
      <c r="N40" s="20" t="n">
        <v>0</v>
      </c>
      <c r="O40" s="18" t="n">
        <v>0</v>
      </c>
      <c r="P40" s="20" t="n">
        <v>0</v>
      </c>
      <c r="Q40" s="18" t="n">
        <v>3.04978071</v>
      </c>
      <c r="R40" s="20" t="n">
        <v>0.6418708</v>
      </c>
    </row>
    <row r="41" spans="1:18">
      <c r="A41" s="15" t="s">
        <v>383</v>
      </c>
      <c r="B41" s="17" t="n">
        <v>5712</v>
      </c>
      <c r="C41" s="18">
        <f>(4983.0/B41*100)</f>
        <v/>
      </c>
      <c r="D41" s="19" t="n">
        <v>729</v>
      </c>
      <c r="E41" s="18" t="n">
        <v>32.34503192</v>
      </c>
      <c r="F41" s="20" t="n">
        <v>1.77980894</v>
      </c>
      <c r="G41" s="18" t="n">
        <v>66.45074619</v>
      </c>
      <c r="H41" s="20" t="n">
        <v>1.7776736</v>
      </c>
      <c r="I41" s="18" t="s">
        <v>349</v>
      </c>
      <c r="J41" s="20" t="s">
        <v>349</v>
      </c>
      <c r="K41" s="18" t="n">
        <v>0.10519857</v>
      </c>
      <c r="L41" s="20" t="n">
        <v>0.10897964</v>
      </c>
      <c r="M41" s="18" t="n">
        <v>0</v>
      </c>
      <c r="N41" s="20" t="n">
        <v>0</v>
      </c>
      <c r="O41" s="18" t="n">
        <v>0</v>
      </c>
      <c r="P41" s="20" t="n">
        <v>0</v>
      </c>
      <c r="Q41" s="18" t="n">
        <v>1.09902332</v>
      </c>
      <c r="R41" s="20" t="n">
        <v>0.4216697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(20568.0/B46*100)</f>
        <v/>
      </c>
      <c r="D46" s="19" t="n">
        <v>2573</v>
      </c>
      <c r="E46" s="18" t="n">
        <v>64.70158066</v>
      </c>
      <c r="F46" s="20" t="n">
        <v>1.32096349</v>
      </c>
      <c r="G46" s="18" t="n">
        <v>21.50526061</v>
      </c>
      <c r="H46" s="20" t="n">
        <v>1.39484412</v>
      </c>
      <c r="I46" s="18" t="s">
        <v>349</v>
      </c>
      <c r="J46" s="20" t="s">
        <v>349</v>
      </c>
      <c r="K46" s="18" t="n">
        <v>0.7615240599999999</v>
      </c>
      <c r="L46" s="20" t="n">
        <v>0.29200839</v>
      </c>
      <c r="M46" s="18" t="n">
        <v>0</v>
      </c>
      <c r="N46" s="20" t="n">
        <v>0</v>
      </c>
      <c r="O46" s="18" t="n">
        <v>0</v>
      </c>
      <c r="P46" s="20" t="n">
        <v>0</v>
      </c>
      <c r="Q46" s="18" t="n">
        <v>13.03163467</v>
      </c>
      <c r="R46" s="20" t="n">
        <v>0.88943455</v>
      </c>
    </row>
    <row r="47" spans="1:18">
      <c r="A47" s="15" t="s">
        <v>389</v>
      </c>
      <c r="B47" s="17" t="n">
        <v>5928</v>
      </c>
      <c r="C47" s="18">
        <f>(5180.0/B47*100)</f>
        <v/>
      </c>
      <c r="D47" s="19" t="n">
        <v>748</v>
      </c>
      <c r="E47" s="18" t="n">
        <v>40.96027899</v>
      </c>
      <c r="F47" s="20" t="n">
        <v>2.49266555</v>
      </c>
      <c r="G47" s="18" t="n">
        <v>51.32814074</v>
      </c>
      <c r="H47" s="20" t="n">
        <v>2.47958626</v>
      </c>
      <c r="I47" s="18" t="s">
        <v>349</v>
      </c>
      <c r="J47" s="20" t="s">
        <v>349</v>
      </c>
      <c r="K47" s="18" t="n">
        <v>0.26725882</v>
      </c>
      <c r="L47" s="20" t="n">
        <v>0.18200354</v>
      </c>
      <c r="M47" s="18" t="n">
        <v>0</v>
      </c>
      <c r="N47" s="20" t="n">
        <v>0</v>
      </c>
      <c r="O47" s="18" t="n">
        <v>0</v>
      </c>
      <c r="P47" s="20" t="n">
        <v>0</v>
      </c>
      <c r="Q47" s="18" t="n">
        <v>7.44432146</v>
      </c>
      <c r="R47" s="20" t="n">
        <v>1.07087095</v>
      </c>
    </row>
    <row r="48" spans="1:18">
      <c r="A48" s="15" t="s">
        <v>390</v>
      </c>
      <c r="B48" s="17" t="n">
        <v>9841</v>
      </c>
      <c r="C48" s="18">
        <f>(8648.0/B48*100)</f>
        <v/>
      </c>
      <c r="D48" s="19" t="n">
        <v>1193</v>
      </c>
      <c r="E48" s="18" t="n">
        <v>25.62923011</v>
      </c>
      <c r="F48" s="20" t="n">
        <v>2.10674467</v>
      </c>
      <c r="G48" s="18" t="n">
        <v>72.90591028999999</v>
      </c>
      <c r="H48" s="20" t="n">
        <v>2.10130734</v>
      </c>
      <c r="I48" s="18" t="s">
        <v>349</v>
      </c>
      <c r="J48" s="20" t="s">
        <v>349</v>
      </c>
      <c r="K48" s="18" t="n">
        <v>0.42449916</v>
      </c>
      <c r="L48" s="20" t="n">
        <v>0.25783456</v>
      </c>
      <c r="M48" s="18" t="n">
        <v>0</v>
      </c>
      <c r="N48" s="20" t="n">
        <v>0</v>
      </c>
      <c r="O48" s="18" t="n">
        <v>0</v>
      </c>
      <c r="P48" s="20" t="n">
        <v>0</v>
      </c>
      <c r="Q48" s="18" t="n">
        <v>1.04036045</v>
      </c>
      <c r="R48" s="20" t="n">
        <v>0.3585274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(10388.0/B50*100)</f>
        <v/>
      </c>
      <c r="D50" s="19" t="n">
        <v>1407</v>
      </c>
      <c r="E50" s="18" t="n">
        <v>60.01237432</v>
      </c>
      <c r="F50" s="20" t="n">
        <v>1.7358103</v>
      </c>
      <c r="G50" s="18" t="n">
        <v>35.54791147</v>
      </c>
      <c r="H50" s="20" t="n">
        <v>1.69782826</v>
      </c>
      <c r="I50" s="18" t="s">
        <v>349</v>
      </c>
      <c r="J50" s="20" t="s">
        <v>349</v>
      </c>
      <c r="K50" s="18" t="n">
        <v>0.83232214</v>
      </c>
      <c r="L50" s="20" t="n">
        <v>0.28408668</v>
      </c>
      <c r="M50" s="18" t="n">
        <v>0</v>
      </c>
      <c r="N50" s="20" t="n">
        <v>0</v>
      </c>
      <c r="O50" s="18" t="n">
        <v>0</v>
      </c>
      <c r="P50" s="20" t="n">
        <v>0</v>
      </c>
      <c r="Q50" s="18" t="n">
        <v>3.60739206</v>
      </c>
      <c r="R50" s="20" t="n">
        <v>0.64303584</v>
      </c>
    </row>
    <row r="51" spans="1:18">
      <c r="A51" s="15" t="s">
        <v>393</v>
      </c>
      <c r="B51" s="17" t="n">
        <v>6866</v>
      </c>
      <c r="C51" s="18">
        <f>(6128.0/B51*100)</f>
        <v/>
      </c>
      <c r="D51" s="19" t="n">
        <v>738</v>
      </c>
      <c r="E51" s="18" t="n">
        <v>54.64954528</v>
      </c>
      <c r="F51" s="20" t="n">
        <v>1.67392843</v>
      </c>
      <c r="G51" s="18" t="n">
        <v>41.22572864</v>
      </c>
      <c r="H51" s="20" t="n">
        <v>1.59204488</v>
      </c>
      <c r="I51" s="18" t="s">
        <v>349</v>
      </c>
      <c r="J51" s="20" t="s">
        <v>349</v>
      </c>
      <c r="K51" s="18" t="n">
        <v>0.5683691400000001</v>
      </c>
      <c r="L51" s="20" t="n">
        <v>0.34252184</v>
      </c>
      <c r="M51" s="18" t="n">
        <v>0</v>
      </c>
      <c r="N51" s="20" t="n">
        <v>0</v>
      </c>
      <c r="O51" s="18" t="n">
        <v>0</v>
      </c>
      <c r="P51" s="20" t="n">
        <v>0</v>
      </c>
      <c r="Q51" s="18" t="n">
        <v>3.55635693</v>
      </c>
      <c r="R51" s="20" t="n">
        <v>0.84132249</v>
      </c>
    </row>
    <row r="52" spans="1:18">
      <c r="A52" s="15" t="s">
        <v>394</v>
      </c>
      <c r="B52" s="17" t="n">
        <v>5809</v>
      </c>
      <c r="C52" s="18">
        <f>(5084.0/B52*100)</f>
        <v/>
      </c>
      <c r="D52" s="19" t="n">
        <v>725</v>
      </c>
      <c r="E52" s="18" t="n">
        <v>53.19466676</v>
      </c>
      <c r="F52" s="20" t="n">
        <v>1.93173019</v>
      </c>
      <c r="G52" s="18" t="n">
        <v>37.65967741</v>
      </c>
      <c r="H52" s="20" t="n">
        <v>1.63458124</v>
      </c>
      <c r="I52" s="18" t="s">
        <v>349</v>
      </c>
      <c r="J52" s="20" t="s">
        <v>349</v>
      </c>
      <c r="K52" s="18" t="n">
        <v>0.28349478</v>
      </c>
      <c r="L52" s="20" t="n">
        <v>0.22134531</v>
      </c>
      <c r="M52" s="18" t="n">
        <v>0</v>
      </c>
      <c r="N52" s="20" t="n">
        <v>0</v>
      </c>
      <c r="O52" s="18" t="n">
        <v>0</v>
      </c>
      <c r="P52" s="20" t="n">
        <v>0</v>
      </c>
      <c r="Q52" s="18" t="n">
        <v>8.86216104</v>
      </c>
      <c r="R52" s="20" t="n">
        <v>1.03576321</v>
      </c>
    </row>
    <row r="53" spans="1:18">
      <c r="A53" s="15" t="s">
        <v>395</v>
      </c>
      <c r="B53" s="17" t="n">
        <v>5571</v>
      </c>
      <c r="C53" s="18">
        <f>(4887.0/B53*100)</f>
        <v/>
      </c>
      <c r="D53" s="19" t="n">
        <v>684</v>
      </c>
      <c r="E53" s="18" t="n">
        <v>42.75130706</v>
      </c>
      <c r="F53" s="20" t="n">
        <v>2.39645244</v>
      </c>
      <c r="G53" s="18" t="n">
        <v>50.97027939</v>
      </c>
      <c r="H53" s="20" t="n">
        <v>2.40882144</v>
      </c>
      <c r="I53" s="18" t="s">
        <v>349</v>
      </c>
      <c r="J53" s="20" t="s">
        <v>349</v>
      </c>
      <c r="K53" s="18" t="n">
        <v>0.09715368000000001</v>
      </c>
      <c r="L53" s="20" t="n">
        <v>0.0976421</v>
      </c>
      <c r="M53" s="18" t="n">
        <v>0</v>
      </c>
      <c r="N53" s="20" t="n">
        <v>0</v>
      </c>
      <c r="O53" s="18" t="n">
        <v>0</v>
      </c>
      <c r="P53" s="20" t="n">
        <v>0</v>
      </c>
      <c r="Q53" s="18" t="n">
        <v>6.18125988</v>
      </c>
      <c r="R53" s="20" t="n">
        <v>0.93693235</v>
      </c>
    </row>
    <row r="54" spans="1:18">
      <c r="A54" s="15" t="s">
        <v>396</v>
      </c>
      <c r="B54" s="17" t="n">
        <v>4740</v>
      </c>
      <c r="C54" s="18">
        <f>(3952.0/B54*100)</f>
        <v/>
      </c>
      <c r="D54" s="19" t="n">
        <v>788</v>
      </c>
      <c r="E54" s="18" t="n">
        <v>65.76519091999999</v>
      </c>
      <c r="F54" s="20" t="n">
        <v>1.52485059</v>
      </c>
      <c r="G54" s="18" t="n">
        <v>13.8775342</v>
      </c>
      <c r="H54" s="20" t="n">
        <v>1.13459073</v>
      </c>
      <c r="I54" s="18" t="s">
        <v>349</v>
      </c>
      <c r="J54" s="20" t="s">
        <v>349</v>
      </c>
      <c r="K54" s="18" t="n">
        <v>7.32810189</v>
      </c>
      <c r="L54" s="20" t="n">
        <v>1.0094672</v>
      </c>
      <c r="M54" s="18" t="n">
        <v>0</v>
      </c>
      <c r="N54" s="20" t="n">
        <v>0</v>
      </c>
      <c r="O54" s="18" t="n">
        <v>0</v>
      </c>
      <c r="P54" s="20" t="n">
        <v>0</v>
      </c>
      <c r="Q54" s="18" t="n">
        <v>13.029173</v>
      </c>
      <c r="R54" s="20" t="n">
        <v>1.34400333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(4701.0/B56*100)</f>
        <v/>
      </c>
      <c r="D56" s="19" t="n">
        <v>658</v>
      </c>
      <c r="E56" s="18" t="n">
        <v>23.5993124</v>
      </c>
      <c r="F56" s="20" t="n">
        <v>1.89244107</v>
      </c>
      <c r="G56" s="18" t="n">
        <v>74.85491931</v>
      </c>
      <c r="H56" s="20" t="n">
        <v>2.02317497</v>
      </c>
      <c r="I56" s="18" t="s">
        <v>349</v>
      </c>
      <c r="J56" s="20" t="s">
        <v>349</v>
      </c>
      <c r="K56" s="18" t="n">
        <v>0.12650199</v>
      </c>
      <c r="L56" s="20" t="n">
        <v>0.12875337</v>
      </c>
      <c r="M56" s="18" t="n">
        <v>0</v>
      </c>
      <c r="N56" s="20" t="n">
        <v>0</v>
      </c>
      <c r="O56" s="18" t="n">
        <v>0</v>
      </c>
      <c r="P56" s="20" t="n">
        <v>0</v>
      </c>
      <c r="Q56" s="18" t="n">
        <v>1.4192663</v>
      </c>
      <c r="R56" s="20" t="n">
        <v>0.53736779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(5714.0/B61*100)</f>
        <v/>
      </c>
      <c r="D61" s="19" t="n">
        <v>811</v>
      </c>
      <c r="E61" s="18" t="n">
        <v>30.66101267</v>
      </c>
      <c r="F61" s="20" t="n">
        <v>1.89308006</v>
      </c>
      <c r="G61" s="18" t="n">
        <v>65.4795929</v>
      </c>
      <c r="H61" s="20" t="n">
        <v>2.0117654</v>
      </c>
      <c r="I61" s="18" t="s">
        <v>349</v>
      </c>
      <c r="J61" s="20" t="s">
        <v>349</v>
      </c>
      <c r="K61" s="18" t="n">
        <v>0.36076386</v>
      </c>
      <c r="L61" s="20" t="n">
        <v>0.3533498</v>
      </c>
      <c r="M61" s="18" t="n">
        <v>0</v>
      </c>
      <c r="N61" s="20" t="n">
        <v>0</v>
      </c>
      <c r="O61" s="18" t="n">
        <v>0</v>
      </c>
      <c r="P61" s="20" t="n">
        <v>0</v>
      </c>
      <c r="Q61" s="18" t="n">
        <v>3.49863058</v>
      </c>
      <c r="R61" s="20" t="n">
        <v>0.62526804</v>
      </c>
    </row>
    <row r="62" spans="1:18">
      <c r="A62" s="15" t="s">
        <v>404</v>
      </c>
      <c r="B62" s="17" t="n">
        <v>4476</v>
      </c>
      <c r="C62" s="18">
        <f>(3924.0/B62*100)</f>
        <v/>
      </c>
      <c r="D62" s="19" t="n">
        <v>552</v>
      </c>
      <c r="E62" s="18" t="n">
        <v>27.51558207</v>
      </c>
      <c r="F62" s="20" t="n">
        <v>1.68602922</v>
      </c>
      <c r="G62" s="18" t="n">
        <v>71.94468572</v>
      </c>
      <c r="H62" s="20" t="n">
        <v>1.72087766</v>
      </c>
      <c r="I62" s="18" t="s">
        <v>349</v>
      </c>
      <c r="J62" s="20" t="s">
        <v>349</v>
      </c>
      <c r="K62" s="18" t="n">
        <v>0</v>
      </c>
      <c r="L62" s="20" t="n">
        <v>0</v>
      </c>
      <c r="M62" s="18" t="n">
        <v>0</v>
      </c>
      <c r="N62" s="20" t="n">
        <v>0</v>
      </c>
      <c r="O62" s="18" t="n">
        <v>0</v>
      </c>
      <c r="P62" s="20" t="n">
        <v>0</v>
      </c>
      <c r="Q62" s="18" t="n">
        <v>0.53973221</v>
      </c>
      <c r="R62" s="20" t="n">
        <v>0.30663191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(4979.0/B66*100)</f>
        <v/>
      </c>
      <c r="D66" s="19" t="n">
        <v>686</v>
      </c>
      <c r="E66" s="18" t="n">
        <v>39.63854551</v>
      </c>
      <c r="F66" s="20" t="n">
        <v>1.98330573</v>
      </c>
      <c r="G66" s="18" t="n">
        <v>41.83803754</v>
      </c>
      <c r="H66" s="20" t="n">
        <v>1.87649178</v>
      </c>
      <c r="I66" s="18" t="s">
        <v>349</v>
      </c>
      <c r="J66" s="20" t="s">
        <v>349</v>
      </c>
      <c r="K66" s="18" t="n">
        <v>0.53538971</v>
      </c>
      <c r="L66" s="20" t="n">
        <v>0.26828623</v>
      </c>
      <c r="M66" s="18" t="n">
        <v>0</v>
      </c>
      <c r="N66" s="20" t="n">
        <v>0</v>
      </c>
      <c r="O66" s="18" t="n">
        <v>0</v>
      </c>
      <c r="P66" s="20" t="n">
        <v>0</v>
      </c>
      <c r="Q66" s="18" t="n">
        <v>17.98802724</v>
      </c>
      <c r="R66" s="20" t="n">
        <v>1.36428142</v>
      </c>
    </row>
    <row r="67" spans="1:18">
      <c r="A67" s="15" t="s">
        <v>409</v>
      </c>
      <c r="B67" s="17" t="n">
        <v>6971</v>
      </c>
      <c r="C67" s="18">
        <f>(6145.0/B67*100)</f>
        <v/>
      </c>
      <c r="D67" s="19" t="n">
        <v>826</v>
      </c>
      <c r="E67" s="18" t="n">
        <v>59.3190364</v>
      </c>
      <c r="F67" s="20" t="n">
        <v>1.82869575</v>
      </c>
      <c r="G67" s="18" t="n">
        <v>32.38384672</v>
      </c>
      <c r="H67" s="20" t="n">
        <v>1.76588532</v>
      </c>
      <c r="I67" s="18" t="s">
        <v>349</v>
      </c>
      <c r="J67" s="20" t="s">
        <v>349</v>
      </c>
      <c r="K67" s="18" t="n">
        <v>0.41372954</v>
      </c>
      <c r="L67" s="20" t="n">
        <v>0.33307088</v>
      </c>
      <c r="M67" s="18" t="n">
        <v>0</v>
      </c>
      <c r="N67" s="20" t="n">
        <v>0</v>
      </c>
      <c r="O67" s="18" t="n">
        <v>0</v>
      </c>
      <c r="P67" s="20" t="n">
        <v>0</v>
      </c>
      <c r="Q67" s="18" t="n">
        <v>7.88338734</v>
      </c>
      <c r="R67" s="20" t="n">
        <v>0.96256519</v>
      </c>
    </row>
    <row r="68" spans="1:18">
      <c r="A68" s="15" t="s">
        <v>410</v>
      </c>
      <c r="B68" s="17" t="n">
        <v>12083</v>
      </c>
      <c r="C68" s="18">
        <f>(10100.0/B68*100)</f>
        <v/>
      </c>
      <c r="D68" s="19" t="n">
        <v>1983</v>
      </c>
      <c r="E68" s="18" t="n">
        <v>57.11863533</v>
      </c>
      <c r="F68" s="20" t="n">
        <v>1.13870273</v>
      </c>
      <c r="G68" s="18" t="n">
        <v>35.70049786</v>
      </c>
      <c r="H68" s="20" t="n">
        <v>1.14776417</v>
      </c>
      <c r="I68" s="18" t="s">
        <v>349</v>
      </c>
      <c r="J68" s="20" t="s">
        <v>349</v>
      </c>
      <c r="K68" s="18" t="n">
        <v>1.69623639</v>
      </c>
      <c r="L68" s="20" t="n">
        <v>0.26319882</v>
      </c>
      <c r="M68" s="18" t="n">
        <v>0</v>
      </c>
      <c r="N68" s="20" t="n">
        <v>0</v>
      </c>
      <c r="O68" s="18" t="n">
        <v>0</v>
      </c>
      <c r="P68" s="20" t="n">
        <v>0</v>
      </c>
      <c r="Q68" s="18" t="n">
        <v>5.48463042</v>
      </c>
      <c r="R68" s="20" t="n">
        <v>0.5188775799999999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(5319.0/B70*100)</f>
        <v/>
      </c>
      <c r="D70" s="19" t="n">
        <v>717</v>
      </c>
      <c r="E70" s="18" t="n">
        <v>25.24576583</v>
      </c>
      <c r="F70" s="20" t="n">
        <v>1.61535164</v>
      </c>
      <c r="G70" s="18" t="n">
        <v>72.41794111</v>
      </c>
      <c r="H70" s="20" t="n">
        <v>1.73269313</v>
      </c>
      <c r="I70" s="18" t="s">
        <v>349</v>
      </c>
      <c r="J70" s="20" t="s">
        <v>349</v>
      </c>
      <c r="K70" s="18" t="n">
        <v>0.16847484</v>
      </c>
      <c r="L70" s="20" t="n">
        <v>0.11837822</v>
      </c>
      <c r="M70" s="18" t="n">
        <v>0</v>
      </c>
      <c r="N70" s="20" t="n">
        <v>0</v>
      </c>
      <c r="O70" s="18" t="n">
        <v>0</v>
      </c>
      <c r="P70" s="20" t="n">
        <v>0</v>
      </c>
      <c r="Q70" s="18" t="n">
        <v>2.16781822</v>
      </c>
      <c r="R70" s="20" t="n">
        <v>0.73299421</v>
      </c>
    </row>
    <row r="71" spans="1:18">
      <c r="A71" s="15" t="s">
        <v>413</v>
      </c>
      <c r="B71" s="17" t="n">
        <v>6115</v>
      </c>
      <c r="C71" s="18">
        <f>(5379.0/B71*100)</f>
        <v/>
      </c>
      <c r="D71" s="19" t="n">
        <v>736</v>
      </c>
      <c r="E71" s="18" t="n">
        <v>24.58287515</v>
      </c>
      <c r="F71" s="20" t="n">
        <v>1.76427228</v>
      </c>
      <c r="G71" s="18" t="n">
        <v>74.33653624</v>
      </c>
      <c r="H71" s="20" t="n">
        <v>1.81785274</v>
      </c>
      <c r="I71" s="18" t="s">
        <v>349</v>
      </c>
      <c r="J71" s="20" t="s">
        <v>349</v>
      </c>
      <c r="K71" s="18" t="n">
        <v>0.16111958</v>
      </c>
      <c r="L71" s="20" t="n">
        <v>0.16096991</v>
      </c>
      <c r="M71" s="18" t="n">
        <v>0</v>
      </c>
      <c r="N71" s="20" t="n">
        <v>0</v>
      </c>
      <c r="O71" s="18" t="n">
        <v>0</v>
      </c>
      <c r="P71" s="20" t="n">
        <v>0</v>
      </c>
      <c r="Q71" s="18" t="n">
        <v>0.91946903</v>
      </c>
      <c r="R71" s="20" t="n">
        <v>0.32007696</v>
      </c>
    </row>
    <row r="72" spans="1:18">
      <c r="A72" s="15" t="s">
        <v>414</v>
      </c>
      <c r="B72" s="17" t="n">
        <v>7708</v>
      </c>
      <c r="C72" s="18">
        <f>(6752.0/B72*100)</f>
        <v/>
      </c>
      <c r="D72" s="19" t="n">
        <v>956</v>
      </c>
      <c r="E72" s="18" t="n">
        <v>25.58809771</v>
      </c>
      <c r="F72" s="20" t="n">
        <v>1.36228048</v>
      </c>
      <c r="G72" s="18" t="n">
        <v>72.65672795</v>
      </c>
      <c r="H72" s="20" t="n">
        <v>1.30377143</v>
      </c>
      <c r="I72" s="18" t="s">
        <v>349</v>
      </c>
      <c r="J72" s="20" t="s">
        <v>349</v>
      </c>
      <c r="K72" s="18" t="n">
        <v>0</v>
      </c>
      <c r="L72" s="20" t="n">
        <v>0</v>
      </c>
      <c r="M72" s="18" t="n">
        <v>0</v>
      </c>
      <c r="N72" s="20" t="n">
        <v>0</v>
      </c>
      <c r="O72" s="18" t="n">
        <v>0</v>
      </c>
      <c r="P72" s="20" t="n">
        <v>0</v>
      </c>
      <c r="Q72" s="18" t="n">
        <v>1.75517434</v>
      </c>
      <c r="R72" s="20" t="n">
        <v>0.40576352</v>
      </c>
    </row>
    <row r="73" spans="1:18">
      <c r="A73" s="15" t="s">
        <v>415</v>
      </c>
      <c r="B73" s="17" t="n">
        <v>8249</v>
      </c>
      <c r="C73" s="18">
        <f>(7243.0/B73*100)</f>
        <v/>
      </c>
      <c r="D73" s="19" t="n">
        <v>1006</v>
      </c>
      <c r="E73" s="18" t="n">
        <v>58.74271207</v>
      </c>
      <c r="F73" s="20" t="n">
        <v>2.08413538</v>
      </c>
      <c r="G73" s="18" t="n">
        <v>40.25757395</v>
      </c>
      <c r="H73" s="20" t="n">
        <v>2.04895896</v>
      </c>
      <c r="I73" s="18" t="s">
        <v>349</v>
      </c>
      <c r="J73" s="20" t="s">
        <v>349</v>
      </c>
      <c r="K73" s="18" t="n">
        <v>0</v>
      </c>
      <c r="L73" s="20" t="n">
        <v>0</v>
      </c>
      <c r="M73" s="18" t="n">
        <v>0</v>
      </c>
      <c r="N73" s="20" t="n">
        <v>0</v>
      </c>
      <c r="O73" s="18" t="n">
        <v>0</v>
      </c>
      <c r="P73" s="20" t="n">
        <v>0</v>
      </c>
      <c r="Q73" s="18" t="n">
        <v>0.99971398</v>
      </c>
      <c r="R73" s="20" t="n">
        <v>0.37127937</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(4756.0/B75*100)</f>
        <v/>
      </c>
      <c r="D75" s="19" t="n">
        <v>619</v>
      </c>
      <c r="E75" s="18" t="n">
        <v>70.33301865</v>
      </c>
      <c r="F75" s="20" t="n">
        <v>2.24222891</v>
      </c>
      <c r="G75" s="18" t="n">
        <v>15.11800429</v>
      </c>
      <c r="H75" s="20" t="n">
        <v>1.79710494</v>
      </c>
      <c r="I75" s="18" t="s">
        <v>349</v>
      </c>
      <c r="J75" s="20" t="s">
        <v>349</v>
      </c>
      <c r="K75" s="18" t="n">
        <v>1.95910748</v>
      </c>
      <c r="L75" s="20" t="n">
        <v>0.69031261</v>
      </c>
      <c r="M75" s="18" t="n">
        <v>0</v>
      </c>
      <c r="N75" s="20" t="n">
        <v>0</v>
      </c>
      <c r="O75" s="18" t="n">
        <v>0</v>
      </c>
      <c r="P75" s="20" t="n">
        <v>0</v>
      </c>
      <c r="Q75" s="18" t="n">
        <v>12.58986957</v>
      </c>
      <c r="R75" s="20" t="n">
        <v>1.45048669</v>
      </c>
    </row>
    <row r="76" spans="1:18">
      <c r="A76" s="15" t="s">
        <v>418</v>
      </c>
      <c r="B76" s="17" t="n">
        <v>14167</v>
      </c>
      <c r="C76" s="18">
        <f>(12477.0/B76*100)</f>
        <v/>
      </c>
      <c r="D76" s="19" t="n">
        <v>1690</v>
      </c>
      <c r="E76" s="18" t="n">
        <v>54.70610289</v>
      </c>
      <c r="F76" s="20" t="n">
        <v>1.47336117</v>
      </c>
      <c r="G76" s="18" t="n">
        <v>41.85495178</v>
      </c>
      <c r="H76" s="20" t="n">
        <v>1.56743481</v>
      </c>
      <c r="I76" s="18" t="s">
        <v>349</v>
      </c>
      <c r="J76" s="20" t="s">
        <v>349</v>
      </c>
      <c r="K76" s="18" t="n">
        <v>0.64002697</v>
      </c>
      <c r="L76" s="20" t="n">
        <v>0.23314227</v>
      </c>
      <c r="M76" s="18" t="n">
        <v>0</v>
      </c>
      <c r="N76" s="20" t="n">
        <v>0</v>
      </c>
      <c r="O76" s="18" t="n">
        <v>0</v>
      </c>
      <c r="P76" s="20" t="n">
        <v>0</v>
      </c>
      <c r="Q76" s="18" t="n">
        <v>2.79891836</v>
      </c>
      <c r="R76" s="20" t="n">
        <v>0.46058191</v>
      </c>
    </row>
    <row r="77" spans="1:18">
      <c r="A77" s="15" t="s">
        <v>419</v>
      </c>
      <c r="B77" s="17" t="n">
        <v>6062</v>
      </c>
      <c r="C77" s="18">
        <f>(5335.0/B77*100)</f>
        <v/>
      </c>
      <c r="D77" s="19" t="n">
        <v>727</v>
      </c>
      <c r="E77" s="18" t="n">
        <v>38.3653251</v>
      </c>
      <c r="F77" s="20" t="n">
        <v>2.20304778</v>
      </c>
      <c r="G77" s="18" t="n">
        <v>52.08918452</v>
      </c>
      <c r="H77" s="20" t="n">
        <v>2.08728784</v>
      </c>
      <c r="I77" s="18" t="s">
        <v>349</v>
      </c>
      <c r="J77" s="20" t="s">
        <v>349</v>
      </c>
      <c r="K77" s="18" t="n">
        <v>1.14258946</v>
      </c>
      <c r="L77" s="20" t="n">
        <v>0.49567272</v>
      </c>
      <c r="M77" s="18" t="n">
        <v>0</v>
      </c>
      <c r="N77" s="20" t="n">
        <v>0</v>
      </c>
      <c r="O77" s="18" t="n">
        <v>0</v>
      </c>
      <c r="P77" s="20" t="n">
        <v>0</v>
      </c>
      <c r="Q77" s="18" t="n">
        <v>8.40290091</v>
      </c>
      <c r="R77" s="20" t="n">
        <v>1.29336046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(7767.0/B81*100)</f>
        <v/>
      </c>
      <c r="D81" s="19" t="n">
        <v>1094</v>
      </c>
      <c r="E81" s="18" t="n">
        <v>68.16652931</v>
      </c>
      <c r="F81" s="20" t="n">
        <v>2.05213871</v>
      </c>
      <c r="G81" s="18" t="n">
        <v>30.16387318</v>
      </c>
      <c r="H81" s="20" t="n">
        <v>1.99502209</v>
      </c>
      <c r="I81" s="18" t="s">
        <v>349</v>
      </c>
      <c r="J81" s="20" t="s">
        <v>349</v>
      </c>
      <c r="K81" s="18" t="n">
        <v>0.14350853</v>
      </c>
      <c r="L81" s="20" t="n">
        <v>0.14274729</v>
      </c>
      <c r="M81" s="18" t="n">
        <v>0</v>
      </c>
      <c r="N81" s="20" t="n">
        <v>0</v>
      </c>
      <c r="O81" s="18" t="n">
        <v>0</v>
      </c>
      <c r="P81" s="20" t="n">
        <v>0</v>
      </c>
      <c r="Q81" s="18" t="n">
        <v>1.52608898</v>
      </c>
      <c r="R81" s="20" t="n">
        <v>0.49886593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(12746.0/B7*100)</f>
        <v/>
      </c>
      <c r="D7" s="19" t="n">
        <v>1784</v>
      </c>
      <c r="E7" s="18" t="n">
        <v>69.84257110999999</v>
      </c>
      <c r="F7" s="20" t="n">
        <v>1.17013286</v>
      </c>
      <c r="G7" s="18" t="n">
        <v>9.008962520000001</v>
      </c>
      <c r="H7" s="20" t="n">
        <v>0.74718076</v>
      </c>
      <c r="I7" s="18" t="s">
        <v>349</v>
      </c>
      <c r="J7" s="20" t="s">
        <v>349</v>
      </c>
      <c r="K7" s="18" t="n">
        <v>0.47731665</v>
      </c>
      <c r="L7" s="20" t="n">
        <v>0.19612037</v>
      </c>
      <c r="M7" s="18" t="n">
        <v>0</v>
      </c>
      <c r="N7" s="20" t="n">
        <v>0</v>
      </c>
      <c r="O7" s="18" t="n">
        <v>0</v>
      </c>
      <c r="P7" s="20" t="n">
        <v>0</v>
      </c>
      <c r="Q7" s="18" t="n">
        <v>20.67114972</v>
      </c>
      <c r="R7" s="20" t="n">
        <v>1.09957318</v>
      </c>
    </row>
    <row r="8" spans="1:18">
      <c r="A8" s="15" t="s">
        <v>350</v>
      </c>
      <c r="B8" s="17" t="n">
        <v>7007</v>
      </c>
      <c r="C8" s="18">
        <f>(6157.0/B8*100)</f>
        <v/>
      </c>
      <c r="D8" s="19" t="n">
        <v>850</v>
      </c>
      <c r="E8" s="18" t="n">
        <v>67.37973924000001</v>
      </c>
      <c r="F8" s="20" t="n">
        <v>1.62347995</v>
      </c>
      <c r="G8" s="18" t="n">
        <v>9.063224809999999</v>
      </c>
      <c r="H8" s="20" t="n">
        <v>1.00281512</v>
      </c>
      <c r="I8" s="18" t="s">
        <v>349</v>
      </c>
      <c r="J8" s="20" t="s">
        <v>349</v>
      </c>
      <c r="K8" s="18" t="n">
        <v>0</v>
      </c>
      <c r="L8" s="20" t="n">
        <v>0</v>
      </c>
      <c r="M8" s="18" t="n">
        <v>0</v>
      </c>
      <c r="N8" s="20" t="n">
        <v>0</v>
      </c>
      <c r="O8" s="18" t="n">
        <v>0</v>
      </c>
      <c r="P8" s="20" t="n">
        <v>0</v>
      </c>
      <c r="Q8" s="18" t="n">
        <v>23.55703595</v>
      </c>
      <c r="R8" s="20" t="n">
        <v>1.62972697</v>
      </c>
    </row>
    <row r="9" spans="1:18">
      <c r="A9" s="15" t="s">
        <v>351</v>
      </c>
      <c r="B9" s="17" t="n">
        <v>9651</v>
      </c>
      <c r="C9" s="18">
        <f>(8510.0/B9*100)</f>
        <v/>
      </c>
      <c r="D9" s="19" t="n">
        <v>1141</v>
      </c>
      <c r="E9" s="18" t="n">
        <v>61.71512831</v>
      </c>
      <c r="F9" s="20" t="n">
        <v>1.43806445</v>
      </c>
      <c r="G9" s="18" t="n">
        <v>10.32110883</v>
      </c>
      <c r="H9" s="20" t="n">
        <v>0.79381504</v>
      </c>
      <c r="I9" s="18" t="s">
        <v>349</v>
      </c>
      <c r="J9" s="20" t="s">
        <v>349</v>
      </c>
      <c r="K9" s="18" t="n">
        <v>0.35654938</v>
      </c>
      <c r="L9" s="20" t="n">
        <v>0.19962503</v>
      </c>
      <c r="M9" s="18" t="n">
        <v>0.26504524</v>
      </c>
      <c r="N9" s="20" t="n">
        <v>0.16795141</v>
      </c>
      <c r="O9" s="18" t="n">
        <v>0</v>
      </c>
      <c r="P9" s="20" t="n">
        <v>0</v>
      </c>
      <c r="Q9" s="18" t="n">
        <v>27.34216824</v>
      </c>
      <c r="R9" s="20" t="n">
        <v>1.44846882</v>
      </c>
    </row>
    <row r="10" spans="1:18">
      <c r="A10" s="15" t="s">
        <v>352</v>
      </c>
      <c r="B10" s="17" t="n">
        <v>20058</v>
      </c>
      <c r="C10" s="18">
        <f>(17603.0/B10*100)</f>
        <v/>
      </c>
      <c r="D10" s="19" t="n">
        <v>2455</v>
      </c>
      <c r="E10" s="18" t="n">
        <v>78.57697125</v>
      </c>
      <c r="F10" s="20" t="n">
        <v>1.07419443</v>
      </c>
      <c r="G10" s="18" t="n">
        <v>10.26946744</v>
      </c>
      <c r="H10" s="20" t="n">
        <v>0.91595766</v>
      </c>
      <c r="I10" s="18" t="s">
        <v>349</v>
      </c>
      <c r="J10" s="20" t="s">
        <v>349</v>
      </c>
      <c r="K10" s="18" t="n">
        <v>0.29853529</v>
      </c>
      <c r="L10" s="20" t="n">
        <v>0.11239904</v>
      </c>
      <c r="M10" s="18" t="n">
        <v>0.30164444</v>
      </c>
      <c r="N10" s="20" t="n">
        <v>0.16919582</v>
      </c>
      <c r="O10" s="18" t="n">
        <v>0</v>
      </c>
      <c r="P10" s="20" t="n">
        <v>0</v>
      </c>
      <c r="Q10" s="18" t="n">
        <v>10.55338157</v>
      </c>
      <c r="R10" s="20" t="n">
        <v>0.83647253</v>
      </c>
    </row>
    <row r="11" spans="1:18">
      <c r="A11" s="15" t="s">
        <v>353</v>
      </c>
      <c r="B11" s="17" t="n">
        <v>7053</v>
      </c>
      <c r="C11" s="18">
        <f>(6210.0/B11*100)</f>
        <v/>
      </c>
      <c r="D11" s="19" t="n">
        <v>843</v>
      </c>
      <c r="E11" s="18" t="n">
        <v>61.07296229</v>
      </c>
      <c r="F11" s="20" t="n">
        <v>1.88326782</v>
      </c>
      <c r="G11" s="18" t="n">
        <v>1.46255765</v>
      </c>
      <c r="H11" s="20" t="n">
        <v>0.38289761</v>
      </c>
      <c r="I11" s="18" t="s">
        <v>349</v>
      </c>
      <c r="J11" s="20" t="s">
        <v>349</v>
      </c>
      <c r="K11" s="18" t="n">
        <v>0.50573184</v>
      </c>
      <c r="L11" s="20" t="n">
        <v>0.26623887</v>
      </c>
      <c r="M11" s="18" t="n">
        <v>0</v>
      </c>
      <c r="N11" s="20" t="n">
        <v>0</v>
      </c>
      <c r="O11" s="18" t="n">
        <v>0</v>
      </c>
      <c r="P11" s="20" t="n">
        <v>0</v>
      </c>
      <c r="Q11" s="18" t="n">
        <v>36.95874822</v>
      </c>
      <c r="R11" s="20" t="n">
        <v>1.89648065</v>
      </c>
    </row>
    <row r="12" spans="1:18">
      <c r="A12" s="15" t="s">
        <v>354</v>
      </c>
      <c r="B12" s="17" t="n">
        <v>6894</v>
      </c>
      <c r="C12" s="18">
        <f>(6028.0/B12*100)</f>
        <v/>
      </c>
      <c r="D12" s="19" t="n">
        <v>866</v>
      </c>
      <c r="E12" s="18" t="n">
        <v>58.52959436</v>
      </c>
      <c r="F12" s="20" t="n">
        <v>1.95033892</v>
      </c>
      <c r="G12" s="18" t="n">
        <v>7.6408627</v>
      </c>
      <c r="H12" s="20" t="n">
        <v>1.05710044</v>
      </c>
      <c r="I12" s="18" t="s">
        <v>349</v>
      </c>
      <c r="J12" s="20" t="s">
        <v>349</v>
      </c>
      <c r="K12" s="18" t="n">
        <v>0.04503038</v>
      </c>
      <c r="L12" s="20" t="n">
        <v>0.0449243</v>
      </c>
      <c r="M12" s="18" t="n">
        <v>0</v>
      </c>
      <c r="N12" s="20" t="n">
        <v>0</v>
      </c>
      <c r="O12" s="18" t="n">
        <v>0</v>
      </c>
      <c r="P12" s="20" t="n">
        <v>0</v>
      </c>
      <c r="Q12" s="18" t="n">
        <v>33.78451255</v>
      </c>
      <c r="R12" s="20" t="n">
        <v>1.8736324</v>
      </c>
    </row>
    <row r="13" spans="1:18">
      <c r="A13" s="15" t="s">
        <v>355</v>
      </c>
      <c r="B13" s="17" t="n">
        <v>7161</v>
      </c>
      <c r="C13" s="18">
        <f>(6294.0/B13*100)</f>
        <v/>
      </c>
      <c r="D13" s="19" t="n">
        <v>867</v>
      </c>
      <c r="E13" s="18" t="n">
        <v>72.73432966</v>
      </c>
      <c r="F13" s="20" t="n">
        <v>1.73809571</v>
      </c>
      <c r="G13" s="18" t="n">
        <v>4.91818641</v>
      </c>
      <c r="H13" s="20" t="n">
        <v>0.78378805</v>
      </c>
      <c r="I13" s="18" t="s">
        <v>349</v>
      </c>
      <c r="J13" s="20" t="s">
        <v>349</v>
      </c>
      <c r="K13" s="18" t="n">
        <v>0.72083805</v>
      </c>
      <c r="L13" s="20" t="n">
        <v>0.40351949</v>
      </c>
      <c r="M13" s="18" t="n">
        <v>0.1647637</v>
      </c>
      <c r="N13" s="20" t="n">
        <v>0.17384316</v>
      </c>
      <c r="O13" s="18" t="n">
        <v>0</v>
      </c>
      <c r="P13" s="20" t="n">
        <v>0</v>
      </c>
      <c r="Q13" s="18" t="n">
        <v>21.46188218</v>
      </c>
      <c r="R13" s="20" t="n">
        <v>1.73682384</v>
      </c>
    </row>
    <row r="14" spans="1:18">
      <c r="A14" s="15" t="s">
        <v>356</v>
      </c>
      <c r="B14" s="17" t="n">
        <v>5587</v>
      </c>
      <c r="C14" s="18">
        <f>(4900.0/B14*100)</f>
        <v/>
      </c>
      <c r="D14" s="19" t="n">
        <v>687</v>
      </c>
      <c r="E14" s="18" t="n">
        <v>70.61342596</v>
      </c>
      <c r="F14" s="20" t="n">
        <v>1.88956954</v>
      </c>
      <c r="G14" s="18" t="n">
        <v>7.58327941</v>
      </c>
      <c r="H14" s="20" t="n">
        <v>1.0254104</v>
      </c>
      <c r="I14" s="18" t="s">
        <v>349</v>
      </c>
      <c r="J14" s="20" t="s">
        <v>349</v>
      </c>
      <c r="K14" s="18" t="n">
        <v>0.15814262</v>
      </c>
      <c r="L14" s="20" t="n">
        <v>0.16023323</v>
      </c>
      <c r="M14" s="18" t="n">
        <v>0</v>
      </c>
      <c r="N14" s="20" t="n">
        <v>0</v>
      </c>
      <c r="O14" s="18" t="n">
        <v>0</v>
      </c>
      <c r="P14" s="20" t="n">
        <v>0</v>
      </c>
      <c r="Q14" s="18" t="n">
        <v>21.64515201</v>
      </c>
      <c r="R14" s="20" t="n">
        <v>1.6960773</v>
      </c>
    </row>
    <row r="15" spans="1:18">
      <c r="A15" s="15" t="s">
        <v>357</v>
      </c>
      <c r="B15" s="17" t="n">
        <v>5882</v>
      </c>
      <c r="C15" s="18">
        <f>(5162.0/B15*100)</f>
        <v/>
      </c>
      <c r="D15" s="19" t="n">
        <v>720</v>
      </c>
      <c r="E15" s="18" t="n">
        <v>63.27683692</v>
      </c>
      <c r="F15" s="20" t="n">
        <v>2.02698318</v>
      </c>
      <c r="G15" s="18" t="n">
        <v>6.9308559</v>
      </c>
      <c r="H15" s="20" t="n">
        <v>0.9660145</v>
      </c>
      <c r="I15" s="18" t="s">
        <v>349</v>
      </c>
      <c r="J15" s="20" t="s">
        <v>349</v>
      </c>
      <c r="K15" s="18" t="n">
        <v>0.12633475</v>
      </c>
      <c r="L15" s="20" t="n">
        <v>0.12644548</v>
      </c>
      <c r="M15" s="18" t="n">
        <v>0</v>
      </c>
      <c r="N15" s="20" t="n">
        <v>0</v>
      </c>
      <c r="O15" s="18" t="n">
        <v>0</v>
      </c>
      <c r="P15" s="20" t="n">
        <v>0</v>
      </c>
      <c r="Q15" s="18" t="n">
        <v>29.66597242</v>
      </c>
      <c r="R15" s="20" t="n">
        <v>2.05496956</v>
      </c>
    </row>
    <row r="16" spans="1:18">
      <c r="A16" s="15" t="s">
        <v>358</v>
      </c>
      <c r="B16" s="17" t="n">
        <v>6108</v>
      </c>
      <c r="C16" s="18">
        <f>(5380.0/B16*100)</f>
        <v/>
      </c>
      <c r="D16" s="19" t="n">
        <v>728</v>
      </c>
      <c r="E16" s="18" t="n">
        <v>60.09153965</v>
      </c>
      <c r="F16" s="20" t="n">
        <v>1.90861469</v>
      </c>
      <c r="G16" s="18" t="n">
        <v>6.63346317</v>
      </c>
      <c r="H16" s="20" t="n">
        <v>0.96658508</v>
      </c>
      <c r="I16" s="18" t="s">
        <v>349</v>
      </c>
      <c r="J16" s="20" t="s">
        <v>349</v>
      </c>
      <c r="K16" s="18" t="n">
        <v>0.68505223</v>
      </c>
      <c r="L16" s="20" t="n">
        <v>0.3218363</v>
      </c>
      <c r="M16" s="18" t="n">
        <v>0</v>
      </c>
      <c r="N16" s="20" t="n">
        <v>0</v>
      </c>
      <c r="O16" s="18" t="n">
        <v>0</v>
      </c>
      <c r="P16" s="20" t="n">
        <v>0</v>
      </c>
      <c r="Q16" s="18" t="n">
        <v>32.58994495</v>
      </c>
      <c r="R16" s="20" t="n">
        <v>1.62795941</v>
      </c>
    </row>
    <row r="17" spans="1:18">
      <c r="A17" s="15" t="s">
        <v>359</v>
      </c>
      <c r="B17" s="17" t="n">
        <v>6504</v>
      </c>
      <c r="C17" s="18">
        <f>(5708.0/B17*100)</f>
        <v/>
      </c>
      <c r="D17" s="19" t="n">
        <v>796</v>
      </c>
      <c r="E17" s="18" t="n">
        <v>65.74265428</v>
      </c>
      <c r="F17" s="20" t="n">
        <v>1.49919612</v>
      </c>
      <c r="G17" s="18" t="n">
        <v>7.01046338</v>
      </c>
      <c r="H17" s="20" t="n">
        <v>0.88243249</v>
      </c>
      <c r="I17" s="18" t="s">
        <v>349</v>
      </c>
      <c r="J17" s="20" t="s">
        <v>349</v>
      </c>
      <c r="K17" s="18" t="n">
        <v>0.37115677</v>
      </c>
      <c r="L17" s="20" t="n">
        <v>0.23300374</v>
      </c>
      <c r="M17" s="18" t="n">
        <v>0</v>
      </c>
      <c r="N17" s="20" t="n">
        <v>0</v>
      </c>
      <c r="O17" s="18" t="n">
        <v>0</v>
      </c>
      <c r="P17" s="20" t="n">
        <v>0</v>
      </c>
      <c r="Q17" s="18" t="n">
        <v>26.87572557</v>
      </c>
      <c r="R17" s="20" t="n">
        <v>1.41524886</v>
      </c>
    </row>
    <row r="18" spans="1:18">
      <c r="A18" s="15" t="s">
        <v>360</v>
      </c>
      <c r="B18" s="17" t="n">
        <v>5532</v>
      </c>
      <c r="C18" s="18">
        <f>(4850.0/B18*100)</f>
        <v/>
      </c>
      <c r="D18" s="19" t="n">
        <v>682</v>
      </c>
      <c r="E18" s="18" t="n">
        <v>63.32644224</v>
      </c>
      <c r="F18" s="20" t="n">
        <v>2.0032486</v>
      </c>
      <c r="G18" s="18" t="n">
        <v>5.0471686</v>
      </c>
      <c r="H18" s="20" t="n">
        <v>0.97620248</v>
      </c>
      <c r="I18" s="18" t="s">
        <v>349</v>
      </c>
      <c r="J18" s="20" t="s">
        <v>349</v>
      </c>
      <c r="K18" s="18" t="n">
        <v>0.40012522</v>
      </c>
      <c r="L18" s="20" t="n">
        <v>0.2960065</v>
      </c>
      <c r="M18" s="18" t="n">
        <v>0</v>
      </c>
      <c r="N18" s="20" t="n">
        <v>0</v>
      </c>
      <c r="O18" s="18" t="n">
        <v>0</v>
      </c>
      <c r="P18" s="20" t="n">
        <v>0</v>
      </c>
      <c r="Q18" s="18" t="n">
        <v>31.22626394</v>
      </c>
      <c r="R18" s="20" t="n">
        <v>2.08094895</v>
      </c>
    </row>
    <row r="19" spans="1:18">
      <c r="A19" s="15" t="s">
        <v>361</v>
      </c>
      <c r="B19" s="17" t="n">
        <v>5658</v>
      </c>
      <c r="C19" s="18">
        <f>(4952.0/B19*100)</f>
        <v/>
      </c>
      <c r="D19" s="19" t="n">
        <v>706</v>
      </c>
      <c r="E19" s="18" t="n">
        <v>63.97086994</v>
      </c>
      <c r="F19" s="20" t="n">
        <v>1.89301846</v>
      </c>
      <c r="G19" s="18" t="n">
        <v>3.86677366</v>
      </c>
      <c r="H19" s="20" t="n">
        <v>0.54086499</v>
      </c>
      <c r="I19" s="18" t="s">
        <v>349</v>
      </c>
      <c r="J19" s="20" t="s">
        <v>349</v>
      </c>
      <c r="K19" s="18" t="n">
        <v>0.14648219</v>
      </c>
      <c r="L19" s="20" t="n">
        <v>0.14618386</v>
      </c>
      <c r="M19" s="18" t="n">
        <v>0</v>
      </c>
      <c r="N19" s="20" t="n">
        <v>0</v>
      </c>
      <c r="O19" s="18" t="n">
        <v>0</v>
      </c>
      <c r="P19" s="20" t="n">
        <v>0</v>
      </c>
      <c r="Q19" s="18" t="n">
        <v>32.01587421</v>
      </c>
      <c r="R19" s="20" t="n">
        <v>1.79990842</v>
      </c>
    </row>
    <row r="20" spans="1:18">
      <c r="A20" s="15" t="s">
        <v>362</v>
      </c>
      <c r="B20" s="17" t="n">
        <v>3371</v>
      </c>
      <c r="C20" s="18">
        <f>(2970.0/B20*100)</f>
        <v/>
      </c>
      <c r="D20" s="19" t="n">
        <v>401</v>
      </c>
      <c r="E20" s="18" t="n">
        <v>67.8732847</v>
      </c>
      <c r="F20" s="20" t="n">
        <v>2.6224432</v>
      </c>
      <c r="G20" s="18" t="n">
        <v>6.12557331</v>
      </c>
      <c r="H20" s="20" t="n">
        <v>1.14204205</v>
      </c>
      <c r="I20" s="18" t="s">
        <v>349</v>
      </c>
      <c r="J20" s="20" t="s">
        <v>349</v>
      </c>
      <c r="K20" s="18" t="n">
        <v>0.48311544</v>
      </c>
      <c r="L20" s="20" t="n">
        <v>0.34831442</v>
      </c>
      <c r="M20" s="18" t="n">
        <v>0.38299505</v>
      </c>
      <c r="N20" s="20" t="n">
        <v>0.37147434</v>
      </c>
      <c r="O20" s="18" t="n">
        <v>0</v>
      </c>
      <c r="P20" s="20" t="n">
        <v>0</v>
      </c>
      <c r="Q20" s="18" t="n">
        <v>25.1350315</v>
      </c>
      <c r="R20" s="20" t="n">
        <v>2.45462951</v>
      </c>
    </row>
    <row r="21" spans="1:18">
      <c r="A21" s="15" t="s">
        <v>363</v>
      </c>
      <c r="B21" s="17" t="n">
        <v>5741</v>
      </c>
      <c r="C21" s="18">
        <f>(4773.0/B21*100)</f>
        <v/>
      </c>
      <c r="D21" s="19" t="n">
        <v>968</v>
      </c>
      <c r="E21" s="18" t="n">
        <v>72.86101379</v>
      </c>
      <c r="F21" s="20" t="n">
        <v>1.29575966</v>
      </c>
      <c r="G21" s="18" t="n">
        <v>5.763473</v>
      </c>
      <c r="H21" s="20" t="n">
        <v>0.76047125</v>
      </c>
      <c r="I21" s="18" t="s">
        <v>349</v>
      </c>
      <c r="J21" s="20" t="s">
        <v>349</v>
      </c>
      <c r="K21" s="18" t="n">
        <v>0.09840718</v>
      </c>
      <c r="L21" s="20" t="n">
        <v>0.09830342</v>
      </c>
      <c r="M21" s="18" t="n">
        <v>0</v>
      </c>
      <c r="N21" s="20" t="n">
        <v>0</v>
      </c>
      <c r="O21" s="18" t="n">
        <v>0</v>
      </c>
      <c r="P21" s="20" t="n">
        <v>0</v>
      </c>
      <c r="Q21" s="18" t="n">
        <v>21.27710603</v>
      </c>
      <c r="R21" s="20" t="n">
        <v>1.33153113</v>
      </c>
    </row>
    <row r="22" spans="1:18">
      <c r="A22" s="15" t="s">
        <v>364</v>
      </c>
      <c r="B22" s="17" t="n">
        <v>6598</v>
      </c>
      <c r="C22" s="18">
        <f>(5777.0/B22*100)</f>
        <v/>
      </c>
      <c r="D22" s="19" t="n">
        <v>821</v>
      </c>
      <c r="E22" s="18" t="n">
        <v>60.50908475</v>
      </c>
      <c r="F22" s="20" t="n">
        <v>1.8655406</v>
      </c>
      <c r="G22" s="18" t="n">
        <v>7.87351675</v>
      </c>
      <c r="H22" s="20" t="n">
        <v>0.93011919</v>
      </c>
      <c r="I22" s="18" t="s">
        <v>349</v>
      </c>
      <c r="J22" s="20" t="s">
        <v>349</v>
      </c>
      <c r="K22" s="18" t="n">
        <v>0.65391878</v>
      </c>
      <c r="L22" s="20" t="n">
        <v>0.32819837</v>
      </c>
      <c r="M22" s="18" t="n">
        <v>0</v>
      </c>
      <c r="N22" s="20" t="n">
        <v>0</v>
      </c>
      <c r="O22" s="18" t="n">
        <v>0</v>
      </c>
      <c r="P22" s="20" t="n">
        <v>0</v>
      </c>
      <c r="Q22" s="18" t="n">
        <v>30.96347972</v>
      </c>
      <c r="R22" s="20" t="n">
        <v>1.92773684</v>
      </c>
    </row>
    <row r="23" spans="1:18">
      <c r="A23" s="15" t="s">
        <v>365</v>
      </c>
      <c r="B23" s="17" t="n">
        <v>11583</v>
      </c>
      <c r="C23" s="18">
        <f>(10160.0/B23*100)</f>
        <v/>
      </c>
      <c r="D23" s="19" t="n">
        <v>1423</v>
      </c>
      <c r="E23" s="18" t="n">
        <v>59.29366504</v>
      </c>
      <c r="F23" s="20" t="n">
        <v>1.63990295</v>
      </c>
      <c r="G23" s="18" t="n">
        <v>4.6051955</v>
      </c>
      <c r="H23" s="20" t="n">
        <v>0.63634624</v>
      </c>
      <c r="I23" s="18" t="s">
        <v>349</v>
      </c>
      <c r="J23" s="20" t="s">
        <v>349</v>
      </c>
      <c r="K23" s="18" t="n">
        <v>0.20537694</v>
      </c>
      <c r="L23" s="20" t="n">
        <v>0.14270519</v>
      </c>
      <c r="M23" s="18" t="n">
        <v>0.16771771</v>
      </c>
      <c r="N23" s="20" t="n">
        <v>0.17404601</v>
      </c>
      <c r="O23" s="18" t="n">
        <v>0</v>
      </c>
      <c r="P23" s="20" t="n">
        <v>0</v>
      </c>
      <c r="Q23" s="18" t="n">
        <v>35.72804481</v>
      </c>
      <c r="R23" s="20" t="n">
        <v>1.65682741</v>
      </c>
    </row>
    <row r="24" spans="1:18">
      <c r="A24" s="15" t="s">
        <v>366</v>
      </c>
      <c r="B24" s="17" t="n">
        <v>6647</v>
      </c>
      <c r="C24" s="18">
        <f>(5825.0/B24*100)</f>
        <v/>
      </c>
      <c r="D24" s="19" t="n">
        <v>822</v>
      </c>
      <c r="E24" s="18" t="n">
        <v>60.93341371</v>
      </c>
      <c r="F24" s="20" t="n">
        <v>1.57180816</v>
      </c>
      <c r="G24" s="18" t="n">
        <v>13.91756036</v>
      </c>
      <c r="H24" s="20" t="n">
        <v>1.30730565</v>
      </c>
      <c r="I24" s="18" t="s">
        <v>349</v>
      </c>
      <c r="J24" s="20" t="s">
        <v>349</v>
      </c>
      <c r="K24" s="18" t="n">
        <v>0.08652615</v>
      </c>
      <c r="L24" s="20" t="n">
        <v>0.08668703</v>
      </c>
      <c r="M24" s="18" t="n">
        <v>0.11961386</v>
      </c>
      <c r="N24" s="20" t="n">
        <v>0.12006491</v>
      </c>
      <c r="O24" s="18" t="n">
        <v>0</v>
      </c>
      <c r="P24" s="20" t="n">
        <v>0</v>
      </c>
      <c r="Q24" s="18" t="n">
        <v>24.94288591</v>
      </c>
      <c r="R24" s="20" t="n">
        <v>1.42314933</v>
      </c>
    </row>
    <row r="25" spans="1:18">
      <c r="A25" s="15" t="s">
        <v>367</v>
      </c>
      <c r="B25" s="17" t="n">
        <v>5581</v>
      </c>
      <c r="C25" s="18">
        <f>(4904.0/B25*100)</f>
        <v/>
      </c>
      <c r="D25" s="19" t="n">
        <v>677</v>
      </c>
      <c r="E25" s="18" t="n">
        <v>60.45574333</v>
      </c>
      <c r="F25" s="20" t="n">
        <v>2.05896607</v>
      </c>
      <c r="G25" s="18" t="n">
        <v>15.10628349</v>
      </c>
      <c r="H25" s="20" t="n">
        <v>1.57482574</v>
      </c>
      <c r="I25" s="18" t="s">
        <v>349</v>
      </c>
      <c r="J25" s="20" t="s">
        <v>349</v>
      </c>
      <c r="K25" s="18" t="n">
        <v>0.44904833</v>
      </c>
      <c r="L25" s="20" t="n">
        <v>0.25828071</v>
      </c>
      <c r="M25" s="18" t="n">
        <v>0</v>
      </c>
      <c r="N25" s="20" t="n">
        <v>0</v>
      </c>
      <c r="O25" s="18" t="n">
        <v>0</v>
      </c>
      <c r="P25" s="20" t="n">
        <v>0</v>
      </c>
      <c r="Q25" s="18" t="n">
        <v>23.98892484</v>
      </c>
      <c r="R25" s="20" t="n">
        <v>1.84212585</v>
      </c>
    </row>
    <row r="26" spans="1:18">
      <c r="A26" s="15" t="s">
        <v>368</v>
      </c>
      <c r="B26" s="17" t="n">
        <v>4869</v>
      </c>
      <c r="C26" s="18">
        <f>(4262.0/B26*100)</f>
        <v/>
      </c>
      <c r="D26" s="19" t="n">
        <v>607</v>
      </c>
      <c r="E26" s="18" t="n">
        <v>75.17700395999999</v>
      </c>
      <c r="F26" s="20" t="n">
        <v>1.60710535</v>
      </c>
      <c r="G26" s="18" t="n">
        <v>4.5565025</v>
      </c>
      <c r="H26" s="20" t="n">
        <v>0.79599968</v>
      </c>
      <c r="I26" s="18" t="s">
        <v>349</v>
      </c>
      <c r="J26" s="20" t="s">
        <v>349</v>
      </c>
      <c r="K26" s="18" t="n">
        <v>0</v>
      </c>
      <c r="L26" s="20" t="n">
        <v>0</v>
      </c>
      <c r="M26" s="18" t="n">
        <v>0</v>
      </c>
      <c r="N26" s="20" t="n">
        <v>0</v>
      </c>
      <c r="O26" s="18" t="n">
        <v>0</v>
      </c>
      <c r="P26" s="20" t="n">
        <v>0</v>
      </c>
      <c r="Q26" s="18" t="n">
        <v>20.26649354</v>
      </c>
      <c r="R26" s="20" t="n">
        <v>1.63033214</v>
      </c>
    </row>
    <row r="27" spans="1:18">
      <c r="A27" s="15" t="s">
        <v>369</v>
      </c>
      <c r="B27" s="17" t="n">
        <v>5299</v>
      </c>
      <c r="C27" s="18">
        <f>(4661.0/B27*100)</f>
        <v/>
      </c>
      <c r="D27" s="19" t="n">
        <v>638</v>
      </c>
      <c r="E27" s="18" t="n">
        <v>61.68880392</v>
      </c>
      <c r="F27" s="20" t="n">
        <v>1.79218367</v>
      </c>
      <c r="G27" s="18" t="n">
        <v>6.94732005</v>
      </c>
      <c r="H27" s="20" t="n">
        <v>0.86507922</v>
      </c>
      <c r="I27" s="18" t="s">
        <v>349</v>
      </c>
      <c r="J27" s="20" t="s">
        <v>349</v>
      </c>
      <c r="K27" s="18" t="n">
        <v>0.15565877</v>
      </c>
      <c r="L27" s="20" t="n">
        <v>0.15503001</v>
      </c>
      <c r="M27" s="18" t="n">
        <v>0</v>
      </c>
      <c r="N27" s="20" t="n">
        <v>0</v>
      </c>
      <c r="O27" s="18" t="n">
        <v>0</v>
      </c>
      <c r="P27" s="20" t="n">
        <v>0</v>
      </c>
      <c r="Q27" s="18" t="n">
        <v>31.20821725</v>
      </c>
      <c r="R27" s="20" t="n">
        <v>1.78977766</v>
      </c>
    </row>
    <row r="28" spans="1:18">
      <c r="A28" s="15" t="s">
        <v>370</v>
      </c>
      <c r="B28" s="17" t="n">
        <v>7568</v>
      </c>
      <c r="C28" s="18">
        <f>(6658.0/B28*100)</f>
        <v/>
      </c>
      <c r="D28" s="19" t="n">
        <v>910</v>
      </c>
      <c r="E28" s="18" t="n">
        <v>77.41058817</v>
      </c>
      <c r="F28" s="20" t="n">
        <v>1.49002781</v>
      </c>
      <c r="G28" s="18" t="n">
        <v>0.96005148</v>
      </c>
      <c r="H28" s="20" t="n">
        <v>0.34862556</v>
      </c>
      <c r="I28" s="18" t="s">
        <v>349</v>
      </c>
      <c r="J28" s="20" t="s">
        <v>349</v>
      </c>
      <c r="K28" s="18" t="n">
        <v>0.5068228</v>
      </c>
      <c r="L28" s="20" t="n">
        <v>0.29216597</v>
      </c>
      <c r="M28" s="18" t="n">
        <v>0.10257238</v>
      </c>
      <c r="N28" s="20" t="n">
        <v>0.09201330000000001</v>
      </c>
      <c r="O28" s="18" t="n">
        <v>0</v>
      </c>
      <c r="P28" s="20" t="n">
        <v>0</v>
      </c>
      <c r="Q28" s="18" t="n">
        <v>21.01996517</v>
      </c>
      <c r="R28" s="20" t="n">
        <v>1.4440144</v>
      </c>
    </row>
    <row r="29" spans="1:18">
      <c r="A29" s="15" t="s">
        <v>371</v>
      </c>
      <c r="B29" s="17" t="n">
        <v>5385</v>
      </c>
      <c r="C29" s="18">
        <f>(4735.0/B29*100)</f>
        <v/>
      </c>
      <c r="D29" s="19" t="n">
        <v>650</v>
      </c>
      <c r="E29" s="18" t="n">
        <v>71.7734012</v>
      </c>
      <c r="F29" s="20" t="n">
        <v>1.75590769</v>
      </c>
      <c r="G29" s="18" t="n">
        <v>12.6084506</v>
      </c>
      <c r="H29" s="20" t="n">
        <v>1.18817729</v>
      </c>
      <c r="I29" s="18" t="s">
        <v>349</v>
      </c>
      <c r="J29" s="20" t="s">
        <v>349</v>
      </c>
      <c r="K29" s="18" t="n">
        <v>0.19972311</v>
      </c>
      <c r="L29" s="20" t="n">
        <v>0.15347317</v>
      </c>
      <c r="M29" s="18" t="n">
        <v>0</v>
      </c>
      <c r="N29" s="20" t="n">
        <v>0</v>
      </c>
      <c r="O29" s="18" t="n">
        <v>0</v>
      </c>
      <c r="P29" s="20" t="n">
        <v>0</v>
      </c>
      <c r="Q29" s="18" t="n">
        <v>15.4184251</v>
      </c>
      <c r="R29" s="20" t="n">
        <v>1.30388518</v>
      </c>
    </row>
    <row r="30" spans="1:18">
      <c r="A30" s="15" t="s">
        <v>372</v>
      </c>
      <c r="B30" s="17" t="n">
        <v>4520</v>
      </c>
      <c r="C30" s="18">
        <f>(3946.0/B30*100)</f>
        <v/>
      </c>
      <c r="D30" s="19" t="n">
        <v>574</v>
      </c>
      <c r="E30" s="18" t="n">
        <v>69.68904283000001</v>
      </c>
      <c r="F30" s="20" t="n">
        <v>1.77298583</v>
      </c>
      <c r="G30" s="18" t="n">
        <v>7.93239038</v>
      </c>
      <c r="H30" s="20" t="n">
        <v>1.05178167</v>
      </c>
      <c r="I30" s="18" t="s">
        <v>349</v>
      </c>
      <c r="J30" s="20" t="s">
        <v>349</v>
      </c>
      <c r="K30" s="18" t="n">
        <v>0.15806316</v>
      </c>
      <c r="L30" s="20" t="n">
        <v>0.16051217</v>
      </c>
      <c r="M30" s="18" t="n">
        <v>0.11359311</v>
      </c>
      <c r="N30" s="20" t="n">
        <v>0.11731095</v>
      </c>
      <c r="O30" s="18" t="n">
        <v>0</v>
      </c>
      <c r="P30" s="20" t="n">
        <v>0</v>
      </c>
      <c r="Q30" s="18" t="n">
        <v>22.10691053</v>
      </c>
      <c r="R30" s="20" t="n">
        <v>1.73157063</v>
      </c>
    </row>
    <row r="31" spans="1:18">
      <c r="A31" s="15" t="s">
        <v>373</v>
      </c>
      <c r="B31" s="17" t="n">
        <v>5456</v>
      </c>
      <c r="C31" s="18">
        <f>(4809.0/B31*100)</f>
        <v/>
      </c>
      <c r="D31" s="19" t="n">
        <v>647</v>
      </c>
      <c r="E31" s="18" t="n">
        <v>64.14084889999999</v>
      </c>
      <c r="F31" s="20" t="n">
        <v>2.25652855</v>
      </c>
      <c r="G31" s="18" t="n">
        <v>6.85687866</v>
      </c>
      <c r="H31" s="20" t="n">
        <v>1.04826527</v>
      </c>
      <c r="I31" s="18" t="s">
        <v>349</v>
      </c>
      <c r="J31" s="20" t="s">
        <v>349</v>
      </c>
      <c r="K31" s="18" t="n">
        <v>0.58405632</v>
      </c>
      <c r="L31" s="20" t="n">
        <v>0.2849148</v>
      </c>
      <c r="M31" s="18" t="n">
        <v>0.16561474</v>
      </c>
      <c r="N31" s="20" t="n">
        <v>0.16508724</v>
      </c>
      <c r="O31" s="18" t="n">
        <v>0</v>
      </c>
      <c r="P31" s="20" t="n">
        <v>0</v>
      </c>
      <c r="Q31" s="18" t="n">
        <v>28.25260138</v>
      </c>
      <c r="R31" s="20" t="n">
        <v>2.08785201</v>
      </c>
    </row>
    <row r="32" spans="1:18">
      <c r="A32" s="15" t="s">
        <v>374</v>
      </c>
      <c r="B32" s="17" t="n">
        <v>4478</v>
      </c>
      <c r="C32" s="18">
        <f>(3744.0/B32*100)</f>
        <v/>
      </c>
      <c r="D32" s="19" t="n">
        <v>734</v>
      </c>
      <c r="E32" s="18" t="n">
        <v>70.48981648</v>
      </c>
      <c r="F32" s="20" t="n">
        <v>1.68173101</v>
      </c>
      <c r="G32" s="18" t="n">
        <v>6.37742795</v>
      </c>
      <c r="H32" s="20" t="n">
        <v>0.9835051</v>
      </c>
      <c r="I32" s="18" t="s">
        <v>349</v>
      </c>
      <c r="J32" s="20" t="s">
        <v>349</v>
      </c>
      <c r="K32" s="18" t="n">
        <v>0.1297017</v>
      </c>
      <c r="L32" s="20" t="n">
        <v>0.13529634</v>
      </c>
      <c r="M32" s="18" t="n">
        <v>0.57728357</v>
      </c>
      <c r="N32" s="20" t="n">
        <v>0.6141915100000001</v>
      </c>
      <c r="O32" s="18" t="n">
        <v>0</v>
      </c>
      <c r="P32" s="20" t="n">
        <v>0</v>
      </c>
      <c r="Q32" s="18" t="n">
        <v>22.4257703</v>
      </c>
      <c r="R32" s="20" t="n">
        <v>1.45060618</v>
      </c>
    </row>
    <row r="33" spans="1:18">
      <c r="A33" s="15" t="s">
        <v>375</v>
      </c>
      <c r="B33" s="17" t="n">
        <v>7325</v>
      </c>
      <c r="C33" s="18">
        <f>(6435.0/B33*100)</f>
        <v/>
      </c>
      <c r="D33" s="19" t="n">
        <v>890</v>
      </c>
      <c r="E33" s="18" t="n">
        <v>68.14048432</v>
      </c>
      <c r="F33" s="20" t="n">
        <v>1.84290319</v>
      </c>
      <c r="G33" s="18" t="n">
        <v>3.84695616</v>
      </c>
      <c r="H33" s="20" t="n">
        <v>0.9244153000000001</v>
      </c>
      <c r="I33" s="18" t="s">
        <v>349</v>
      </c>
      <c r="J33" s="20" t="s">
        <v>349</v>
      </c>
      <c r="K33" s="18" t="n">
        <v>0.8452579099999999</v>
      </c>
      <c r="L33" s="20" t="n">
        <v>0.6312301</v>
      </c>
      <c r="M33" s="18" t="n">
        <v>0</v>
      </c>
      <c r="N33" s="20" t="n">
        <v>0</v>
      </c>
      <c r="O33" s="18" t="n">
        <v>0</v>
      </c>
      <c r="P33" s="20" t="n">
        <v>0</v>
      </c>
      <c r="Q33" s="18" t="n">
        <v>27.16730161</v>
      </c>
      <c r="R33" s="20" t="n">
        <v>1.71704821</v>
      </c>
    </row>
    <row r="34" spans="1:18">
      <c r="A34" s="15" t="s">
        <v>376</v>
      </c>
      <c r="B34" s="17" t="n">
        <v>6350</v>
      </c>
      <c r="C34" s="18">
        <f>(5575.0/B34*100)</f>
        <v/>
      </c>
      <c r="D34" s="19" t="n">
        <v>775</v>
      </c>
      <c r="E34" s="18" t="n">
        <v>69.46032437</v>
      </c>
      <c r="F34" s="20" t="n">
        <v>1.78687594</v>
      </c>
      <c r="G34" s="18" t="n">
        <v>2.55345207</v>
      </c>
      <c r="H34" s="20" t="n">
        <v>0.56476319</v>
      </c>
      <c r="I34" s="18" t="s">
        <v>349</v>
      </c>
      <c r="J34" s="20" t="s">
        <v>349</v>
      </c>
      <c r="K34" s="18" t="n">
        <v>0</v>
      </c>
      <c r="L34" s="20" t="n">
        <v>0</v>
      </c>
      <c r="M34" s="18" t="n">
        <v>0</v>
      </c>
      <c r="N34" s="20" t="n">
        <v>0</v>
      </c>
      <c r="O34" s="18" t="n">
        <v>0</v>
      </c>
      <c r="P34" s="20" t="n">
        <v>0</v>
      </c>
      <c r="Q34" s="18" t="n">
        <v>27.98622357</v>
      </c>
      <c r="R34" s="20" t="n">
        <v>1.69468502</v>
      </c>
    </row>
    <row r="35" spans="1:18">
      <c r="A35" s="15" t="s">
        <v>377</v>
      </c>
      <c r="B35" s="17" t="n">
        <v>6406</v>
      </c>
      <c r="C35" s="18">
        <f>(5616.0/B35*100)</f>
        <v/>
      </c>
      <c r="D35" s="19" t="n">
        <v>790</v>
      </c>
      <c r="E35" s="18" t="n">
        <v>61.93590022</v>
      </c>
      <c r="F35" s="20" t="n">
        <v>2.0105929</v>
      </c>
      <c r="G35" s="18" t="n">
        <v>6.29281289</v>
      </c>
      <c r="H35" s="20" t="n">
        <v>1.17902772</v>
      </c>
      <c r="I35" s="18" t="s">
        <v>349</v>
      </c>
      <c r="J35" s="20" t="s">
        <v>349</v>
      </c>
      <c r="K35" s="18" t="n">
        <v>0.05074872</v>
      </c>
      <c r="L35" s="20" t="n">
        <v>0.05110515</v>
      </c>
      <c r="M35" s="18" t="n">
        <v>0.21810842</v>
      </c>
      <c r="N35" s="20" t="n">
        <v>0.2208213</v>
      </c>
      <c r="O35" s="18" t="n">
        <v>0</v>
      </c>
      <c r="P35" s="20" t="n">
        <v>0</v>
      </c>
      <c r="Q35" s="18" t="n">
        <v>31.50242974</v>
      </c>
      <c r="R35" s="20" t="n">
        <v>2.05429087</v>
      </c>
    </row>
    <row r="36" spans="1:18">
      <c r="A36" s="15" t="s">
        <v>378</v>
      </c>
      <c r="B36" s="17" t="n">
        <v>6736</v>
      </c>
      <c r="C36" s="18">
        <f>(5911.0/B36*100)</f>
        <v/>
      </c>
      <c r="D36" s="19" t="n">
        <v>825</v>
      </c>
      <c r="E36" s="18" t="n">
        <v>67.93891576</v>
      </c>
      <c r="F36" s="20" t="n">
        <v>1.67086816</v>
      </c>
      <c r="G36" s="18" t="n">
        <v>3.78379593</v>
      </c>
      <c r="H36" s="20" t="n">
        <v>0.70917069</v>
      </c>
      <c r="I36" s="18" t="s">
        <v>349</v>
      </c>
      <c r="J36" s="20" t="s">
        <v>349</v>
      </c>
      <c r="K36" s="18" t="n">
        <v>0.32489143</v>
      </c>
      <c r="L36" s="20" t="n">
        <v>0.21892777</v>
      </c>
      <c r="M36" s="18" t="n">
        <v>0</v>
      </c>
      <c r="N36" s="20" t="n">
        <v>0</v>
      </c>
      <c r="O36" s="18" t="n">
        <v>0</v>
      </c>
      <c r="P36" s="20" t="n">
        <v>0</v>
      </c>
      <c r="Q36" s="18" t="n">
        <v>27.95239687</v>
      </c>
      <c r="R36" s="20" t="n">
        <v>1.72099072</v>
      </c>
    </row>
    <row r="37" spans="1:18">
      <c r="A37" s="15" t="s">
        <v>379</v>
      </c>
      <c r="B37" s="17" t="n">
        <v>5458</v>
      </c>
      <c r="C37" s="18">
        <f>(4776.0/B37*100)</f>
        <v/>
      </c>
      <c r="D37" s="19" t="n">
        <v>682</v>
      </c>
      <c r="E37" s="18" t="n">
        <v>61.85631663</v>
      </c>
      <c r="F37" s="20" t="n">
        <v>2.07861132</v>
      </c>
      <c r="G37" s="18" t="n">
        <v>5.68764888</v>
      </c>
      <c r="H37" s="20" t="n">
        <v>1.51985549</v>
      </c>
      <c r="I37" s="18" t="s">
        <v>349</v>
      </c>
      <c r="J37" s="20" t="s">
        <v>349</v>
      </c>
      <c r="K37" s="18" t="n">
        <v>0.27977174</v>
      </c>
      <c r="L37" s="20" t="n">
        <v>0.19673361</v>
      </c>
      <c r="M37" s="18" t="n">
        <v>0.1481353</v>
      </c>
      <c r="N37" s="20" t="n">
        <v>0.1047801</v>
      </c>
      <c r="O37" s="18" t="n">
        <v>0</v>
      </c>
      <c r="P37" s="20" t="n">
        <v>0</v>
      </c>
      <c r="Q37" s="18" t="n">
        <v>32.02812745</v>
      </c>
      <c r="R37" s="20" t="n">
        <v>1.95167783</v>
      </c>
    </row>
    <row r="38" spans="1:18">
      <c r="A38" s="15" t="s">
        <v>380</v>
      </c>
      <c r="B38" s="17" t="n">
        <v>5860</v>
      </c>
      <c r="C38" s="18">
        <f>(4877.0/B38*100)</f>
        <v/>
      </c>
      <c r="D38" s="19" t="n">
        <v>983</v>
      </c>
      <c r="E38" s="18" t="n">
        <v>65.32406517</v>
      </c>
      <c r="F38" s="20" t="n">
        <v>1.80306138</v>
      </c>
      <c r="G38" s="18" t="n">
        <v>11.62422241</v>
      </c>
      <c r="H38" s="20" t="n">
        <v>1.14708748</v>
      </c>
      <c r="I38" s="18" t="s">
        <v>349</v>
      </c>
      <c r="J38" s="20" t="s">
        <v>349</v>
      </c>
      <c r="K38" s="18" t="n">
        <v>0.2464365</v>
      </c>
      <c r="L38" s="20" t="n">
        <v>0.1515775</v>
      </c>
      <c r="M38" s="18" t="n">
        <v>0</v>
      </c>
      <c r="N38" s="20" t="n">
        <v>0</v>
      </c>
      <c r="O38" s="18" t="n">
        <v>0</v>
      </c>
      <c r="P38" s="20" t="n">
        <v>0</v>
      </c>
      <c r="Q38" s="18" t="n">
        <v>22.80527592</v>
      </c>
      <c r="R38" s="20" t="n">
        <v>1.64107942</v>
      </c>
    </row>
    <row r="39" spans="1:18">
      <c r="A39" s="15" t="s">
        <v>381</v>
      </c>
      <c r="B39" s="17" t="n">
        <v>5895</v>
      </c>
      <c r="C39" s="18">
        <f>(5199.0/B39*100)</f>
        <v/>
      </c>
      <c r="D39" s="19" t="n">
        <v>696</v>
      </c>
      <c r="E39" s="18" t="n">
        <v>70.90162091000001</v>
      </c>
      <c r="F39" s="20" t="n">
        <v>1.88739093</v>
      </c>
      <c r="G39" s="18" t="n">
        <v>1.79763601</v>
      </c>
      <c r="H39" s="20" t="n">
        <v>0.62684142</v>
      </c>
      <c r="I39" s="18" t="s">
        <v>349</v>
      </c>
      <c r="J39" s="20" t="s">
        <v>349</v>
      </c>
      <c r="K39" s="18" t="n">
        <v>0.86736754</v>
      </c>
      <c r="L39" s="20" t="n">
        <v>0.33393223</v>
      </c>
      <c r="M39" s="18" t="n">
        <v>0.13216078</v>
      </c>
      <c r="N39" s="20" t="n">
        <v>0.1751745</v>
      </c>
      <c r="O39" s="18" t="n">
        <v>0</v>
      </c>
      <c r="P39" s="20" t="n">
        <v>0</v>
      </c>
      <c r="Q39" s="18" t="n">
        <v>26.30121475</v>
      </c>
      <c r="R39" s="20" t="n">
        <v>1.70448096</v>
      </c>
    </row>
    <row r="40" spans="1:18">
      <c r="A40" s="15" t="s">
        <v>382</v>
      </c>
      <c r="B40" s="17" t="n">
        <v>14157</v>
      </c>
      <c r="C40" s="18">
        <f>(12420.0/B40*100)</f>
        <v/>
      </c>
      <c r="D40" s="19" t="n">
        <v>1737</v>
      </c>
      <c r="E40" s="18" t="n">
        <v>70.37415719000001</v>
      </c>
      <c r="F40" s="20" t="n">
        <v>1.70514226</v>
      </c>
      <c r="G40" s="18" t="n">
        <v>7.98277147</v>
      </c>
      <c r="H40" s="20" t="n">
        <v>1.02704907</v>
      </c>
      <c r="I40" s="18" t="s">
        <v>349</v>
      </c>
      <c r="J40" s="20" t="s">
        <v>349</v>
      </c>
      <c r="K40" s="18" t="n">
        <v>0.29497022</v>
      </c>
      <c r="L40" s="20" t="n">
        <v>0.16643781</v>
      </c>
      <c r="M40" s="18" t="n">
        <v>0.34566444</v>
      </c>
      <c r="N40" s="20" t="n">
        <v>0.23956165</v>
      </c>
      <c r="O40" s="18" t="n">
        <v>0</v>
      </c>
      <c r="P40" s="20" t="n">
        <v>0</v>
      </c>
      <c r="Q40" s="18" t="n">
        <v>21.00243668</v>
      </c>
      <c r="R40" s="20" t="n">
        <v>1.61505006</v>
      </c>
    </row>
    <row r="41" spans="1:18">
      <c r="A41" s="15" t="s">
        <v>383</v>
      </c>
      <c r="B41" s="17" t="n">
        <v>5712</v>
      </c>
      <c r="C41" s="18">
        <f>(4984.0/B41*100)</f>
        <v/>
      </c>
      <c r="D41" s="19" t="n">
        <v>728</v>
      </c>
      <c r="E41" s="18" t="n">
        <v>88.54882773</v>
      </c>
      <c r="F41" s="20" t="n">
        <v>1.4986469</v>
      </c>
      <c r="G41" s="18" t="n">
        <v>3.27830645</v>
      </c>
      <c r="H41" s="20" t="n">
        <v>0.60132396</v>
      </c>
      <c r="I41" s="18" t="s">
        <v>349</v>
      </c>
      <c r="J41" s="20" t="s">
        <v>349</v>
      </c>
      <c r="K41" s="18" t="n">
        <v>0.10536407</v>
      </c>
      <c r="L41" s="20" t="n">
        <v>0.10914799</v>
      </c>
      <c r="M41" s="18" t="n">
        <v>0</v>
      </c>
      <c r="N41" s="20" t="n">
        <v>0</v>
      </c>
      <c r="O41" s="18" t="n">
        <v>0</v>
      </c>
      <c r="P41" s="20" t="n">
        <v>0</v>
      </c>
      <c r="Q41" s="18" t="n">
        <v>8.06750175</v>
      </c>
      <c r="R41" s="20" t="n">
        <v>1.30594299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(20602.0/B46*100)</f>
        <v/>
      </c>
      <c r="D46" s="19" t="n">
        <v>2539</v>
      </c>
      <c r="E46" s="18" t="n">
        <v>58.93041188</v>
      </c>
      <c r="F46" s="20" t="n">
        <v>1.4241901</v>
      </c>
      <c r="G46" s="18" t="n">
        <v>1.29347223</v>
      </c>
      <c r="H46" s="20" t="n">
        <v>0.3710774</v>
      </c>
      <c r="I46" s="18" t="s">
        <v>349</v>
      </c>
      <c r="J46" s="20" t="s">
        <v>349</v>
      </c>
      <c r="K46" s="18" t="n">
        <v>0.82817352</v>
      </c>
      <c r="L46" s="20" t="n">
        <v>0.29912492</v>
      </c>
      <c r="M46" s="18" t="n">
        <v>0.41083493</v>
      </c>
      <c r="N46" s="20" t="n">
        <v>0.19615882</v>
      </c>
      <c r="O46" s="18" t="n">
        <v>0</v>
      </c>
      <c r="P46" s="20" t="n">
        <v>0</v>
      </c>
      <c r="Q46" s="18" t="n">
        <v>38.53710744</v>
      </c>
      <c r="R46" s="20" t="n">
        <v>1.50113696</v>
      </c>
    </row>
    <row r="47" spans="1:18">
      <c r="A47" s="15" t="s">
        <v>389</v>
      </c>
      <c r="B47" s="17" t="n">
        <v>5928</v>
      </c>
      <c r="C47" s="18">
        <f>(5182.0/B47*100)</f>
        <v/>
      </c>
      <c r="D47" s="19" t="n">
        <v>746</v>
      </c>
      <c r="E47" s="18" t="n">
        <v>62.19555321</v>
      </c>
      <c r="F47" s="20" t="n">
        <v>1.92189017</v>
      </c>
      <c r="G47" s="18" t="n">
        <v>3.7873413</v>
      </c>
      <c r="H47" s="20" t="n">
        <v>0.65918796</v>
      </c>
      <c r="I47" s="18" t="s">
        <v>349</v>
      </c>
      <c r="J47" s="20" t="s">
        <v>349</v>
      </c>
      <c r="K47" s="18" t="n">
        <v>0.40788364</v>
      </c>
      <c r="L47" s="20" t="n">
        <v>0.22198679</v>
      </c>
      <c r="M47" s="18" t="n">
        <v>0</v>
      </c>
      <c r="N47" s="20" t="n">
        <v>0</v>
      </c>
      <c r="O47" s="18" t="n">
        <v>0</v>
      </c>
      <c r="P47" s="20" t="n">
        <v>0</v>
      </c>
      <c r="Q47" s="18" t="n">
        <v>33.60922185</v>
      </c>
      <c r="R47" s="20" t="n">
        <v>1.83702596</v>
      </c>
    </row>
    <row r="48" spans="1:18">
      <c r="A48" s="15" t="s">
        <v>390</v>
      </c>
      <c r="B48" s="17" t="n">
        <v>9841</v>
      </c>
      <c r="C48" s="18">
        <f>(8647.0/B48*100)</f>
        <v/>
      </c>
      <c r="D48" s="19" t="n">
        <v>1194</v>
      </c>
      <c r="E48" s="18" t="n">
        <v>61.54530236</v>
      </c>
      <c r="F48" s="20" t="n">
        <v>1.86953346</v>
      </c>
      <c r="G48" s="18" t="n">
        <v>26.70095522</v>
      </c>
      <c r="H48" s="20" t="n">
        <v>1.95405499</v>
      </c>
      <c r="I48" s="18" t="s">
        <v>349</v>
      </c>
      <c r="J48" s="20" t="s">
        <v>349</v>
      </c>
      <c r="K48" s="18" t="n">
        <v>0.42388871</v>
      </c>
      <c r="L48" s="20" t="n">
        <v>0.2574942</v>
      </c>
      <c r="M48" s="18" t="n">
        <v>0</v>
      </c>
      <c r="N48" s="20" t="n">
        <v>0</v>
      </c>
      <c r="O48" s="18" t="n">
        <v>0</v>
      </c>
      <c r="P48" s="20" t="n">
        <v>0</v>
      </c>
      <c r="Q48" s="18" t="n">
        <v>11.32985371</v>
      </c>
      <c r="R48" s="20" t="n">
        <v>1.29587036</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(10394.0/B50*100)</f>
        <v/>
      </c>
      <c r="D50" s="19" t="n">
        <v>1401</v>
      </c>
      <c r="E50" s="18" t="n">
        <v>78.81844223</v>
      </c>
      <c r="F50" s="20" t="n">
        <v>1.40752717</v>
      </c>
      <c r="G50" s="18" t="n">
        <v>0.43920229</v>
      </c>
      <c r="H50" s="20" t="n">
        <v>0.15770853</v>
      </c>
      <c r="I50" s="18" t="s">
        <v>349</v>
      </c>
      <c r="J50" s="20" t="s">
        <v>349</v>
      </c>
      <c r="K50" s="18" t="n">
        <v>1.23575686</v>
      </c>
      <c r="L50" s="20" t="n">
        <v>0.37535843</v>
      </c>
      <c r="M50" s="18" t="n">
        <v>0.07245492000000001</v>
      </c>
      <c r="N50" s="20" t="n">
        <v>0.07212921</v>
      </c>
      <c r="O50" s="18" t="n">
        <v>0</v>
      </c>
      <c r="P50" s="20" t="n">
        <v>0</v>
      </c>
      <c r="Q50" s="18" t="n">
        <v>19.43414369</v>
      </c>
      <c r="R50" s="20" t="n">
        <v>1.34901438</v>
      </c>
    </row>
    <row r="51" spans="1:18">
      <c r="A51" s="15" t="s">
        <v>393</v>
      </c>
      <c r="B51" s="17" t="n">
        <v>6866</v>
      </c>
      <c r="C51" s="18">
        <f>(6131.0/B51*100)</f>
        <v/>
      </c>
      <c r="D51" s="19" t="n">
        <v>735</v>
      </c>
      <c r="E51" s="18" t="n">
        <v>65.27872485</v>
      </c>
      <c r="F51" s="20" t="n">
        <v>2.12242967</v>
      </c>
      <c r="G51" s="18" t="n">
        <v>1.09469297</v>
      </c>
      <c r="H51" s="20" t="n">
        <v>0.4234301</v>
      </c>
      <c r="I51" s="18" t="s">
        <v>349</v>
      </c>
      <c r="J51" s="20" t="s">
        <v>349</v>
      </c>
      <c r="K51" s="18" t="n">
        <v>0.57131312</v>
      </c>
      <c r="L51" s="20" t="n">
        <v>0.3441785</v>
      </c>
      <c r="M51" s="18" t="n">
        <v>0</v>
      </c>
      <c r="N51" s="20" t="n">
        <v>0</v>
      </c>
      <c r="O51" s="18" t="n">
        <v>0</v>
      </c>
      <c r="P51" s="20" t="n">
        <v>0</v>
      </c>
      <c r="Q51" s="18" t="n">
        <v>33.05526906</v>
      </c>
      <c r="R51" s="20" t="n">
        <v>2.0787851</v>
      </c>
    </row>
    <row r="52" spans="1:18">
      <c r="A52" s="15" t="s">
        <v>394</v>
      </c>
      <c r="B52" s="17" t="n">
        <v>5809</v>
      </c>
      <c r="C52" s="18">
        <f>(5083.0/B52*100)</f>
        <v/>
      </c>
      <c r="D52" s="19" t="n">
        <v>726</v>
      </c>
      <c r="E52" s="18" t="n">
        <v>64.1776242</v>
      </c>
      <c r="F52" s="20" t="n">
        <v>1.96590712</v>
      </c>
      <c r="G52" s="18" t="n">
        <v>4.48245712</v>
      </c>
      <c r="H52" s="20" t="n">
        <v>0.87339776</v>
      </c>
      <c r="I52" s="18" t="s">
        <v>349</v>
      </c>
      <c r="J52" s="20" t="s">
        <v>349</v>
      </c>
      <c r="K52" s="18" t="n">
        <v>0.28314022</v>
      </c>
      <c r="L52" s="20" t="n">
        <v>0.22112703</v>
      </c>
      <c r="M52" s="18" t="n">
        <v>0.09588893</v>
      </c>
      <c r="N52" s="20" t="n">
        <v>0.06781864</v>
      </c>
      <c r="O52" s="18" t="n">
        <v>0</v>
      </c>
      <c r="P52" s="20" t="n">
        <v>0</v>
      </c>
      <c r="Q52" s="18" t="n">
        <v>30.96088953</v>
      </c>
      <c r="R52" s="20" t="n">
        <v>1.84354743</v>
      </c>
    </row>
    <row r="53" spans="1:18">
      <c r="A53" s="15" t="s">
        <v>395</v>
      </c>
      <c r="B53" s="17" t="n">
        <v>5571</v>
      </c>
      <c r="C53" s="18">
        <f>(4885.0/B53*100)</f>
        <v/>
      </c>
      <c r="D53" s="19" t="n">
        <v>686</v>
      </c>
      <c r="E53" s="18" t="n">
        <v>68.32318925</v>
      </c>
      <c r="F53" s="20" t="n">
        <v>1.75304161</v>
      </c>
      <c r="G53" s="18" t="n">
        <v>2.56805909</v>
      </c>
      <c r="H53" s="20" t="n">
        <v>0.6196785299999999</v>
      </c>
      <c r="I53" s="18" t="s">
        <v>349</v>
      </c>
      <c r="J53" s="20" t="s">
        <v>349</v>
      </c>
      <c r="K53" s="18" t="n">
        <v>0.09686427</v>
      </c>
      <c r="L53" s="20" t="n">
        <v>0.09734548</v>
      </c>
      <c r="M53" s="18" t="n">
        <v>0</v>
      </c>
      <c r="N53" s="20" t="n">
        <v>0</v>
      </c>
      <c r="O53" s="18" t="n">
        <v>0</v>
      </c>
      <c r="P53" s="20" t="n">
        <v>0</v>
      </c>
      <c r="Q53" s="18" t="n">
        <v>29.0118874</v>
      </c>
      <c r="R53" s="20" t="n">
        <v>1.75820058</v>
      </c>
    </row>
    <row r="54" spans="1:18">
      <c r="A54" s="15" t="s">
        <v>396</v>
      </c>
      <c r="B54" s="17" t="n">
        <v>4740</v>
      </c>
      <c r="C54" s="18">
        <f>(3952.0/B54*100)</f>
        <v/>
      </c>
      <c r="D54" s="19" t="n">
        <v>788</v>
      </c>
      <c r="E54" s="18" t="n">
        <v>52.51700391</v>
      </c>
      <c r="F54" s="20" t="n">
        <v>2.11946132</v>
      </c>
      <c r="G54" s="18" t="n">
        <v>0</v>
      </c>
      <c r="H54" s="20" t="n">
        <v>0</v>
      </c>
      <c r="I54" s="18" t="s">
        <v>349</v>
      </c>
      <c r="J54" s="20" t="s">
        <v>349</v>
      </c>
      <c r="K54" s="18" t="n">
        <v>8.16569505</v>
      </c>
      <c r="L54" s="20" t="n">
        <v>1.0435631</v>
      </c>
      <c r="M54" s="18" t="n">
        <v>1.04515239</v>
      </c>
      <c r="N54" s="20" t="n">
        <v>0.8158844</v>
      </c>
      <c r="O54" s="18" t="n">
        <v>0</v>
      </c>
      <c r="P54" s="20" t="n">
        <v>0</v>
      </c>
      <c r="Q54" s="18" t="n">
        <v>38.27214866</v>
      </c>
      <c r="R54" s="20" t="n">
        <v>2.28638769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(4701.0/B56*100)</f>
        <v/>
      </c>
      <c r="D56" s="19" t="n">
        <v>658</v>
      </c>
      <c r="E56" s="18" t="n">
        <v>67.16351533</v>
      </c>
      <c r="F56" s="20" t="n">
        <v>1.94029408</v>
      </c>
      <c r="G56" s="18" t="n">
        <v>21.73070595</v>
      </c>
      <c r="H56" s="20" t="n">
        <v>1.97381254</v>
      </c>
      <c r="I56" s="18" t="s">
        <v>349</v>
      </c>
      <c r="J56" s="20" t="s">
        <v>349</v>
      </c>
      <c r="K56" s="18" t="n">
        <v>0.12650199</v>
      </c>
      <c r="L56" s="20" t="n">
        <v>0.12875337</v>
      </c>
      <c r="M56" s="18" t="n">
        <v>0</v>
      </c>
      <c r="N56" s="20" t="n">
        <v>0</v>
      </c>
      <c r="O56" s="18" t="n">
        <v>0</v>
      </c>
      <c r="P56" s="20" t="n">
        <v>0</v>
      </c>
      <c r="Q56" s="18" t="n">
        <v>10.97927673</v>
      </c>
      <c r="R56" s="20" t="n">
        <v>1.20737364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(5715.0/B61*100)</f>
        <v/>
      </c>
      <c r="D61" s="19" t="n">
        <v>810</v>
      </c>
      <c r="E61" s="18" t="n">
        <v>67.38979174000001</v>
      </c>
      <c r="F61" s="20" t="n">
        <v>1.68578782</v>
      </c>
      <c r="G61" s="18" t="n">
        <v>5.72798026</v>
      </c>
      <c r="H61" s="20" t="n">
        <v>0.99286958</v>
      </c>
      <c r="I61" s="18" t="s">
        <v>349</v>
      </c>
      <c r="J61" s="20" t="s">
        <v>349</v>
      </c>
      <c r="K61" s="18" t="n">
        <v>0.36127422</v>
      </c>
      <c r="L61" s="20" t="n">
        <v>0.35383993</v>
      </c>
      <c r="M61" s="18" t="n">
        <v>0.15031167</v>
      </c>
      <c r="N61" s="20" t="n">
        <v>0.14770985</v>
      </c>
      <c r="O61" s="18" t="n">
        <v>0</v>
      </c>
      <c r="P61" s="20" t="n">
        <v>0</v>
      </c>
      <c r="Q61" s="18" t="n">
        <v>26.37064211</v>
      </c>
      <c r="R61" s="20" t="n">
        <v>1.65418685</v>
      </c>
    </row>
    <row r="62" spans="1:18">
      <c r="A62" s="15" t="s">
        <v>404</v>
      </c>
      <c r="B62" s="17" t="n">
        <v>4476</v>
      </c>
      <c r="C62" s="18">
        <f>(3924.0/B62*100)</f>
        <v/>
      </c>
      <c r="D62" s="19" t="n">
        <v>552</v>
      </c>
      <c r="E62" s="18" t="n">
        <v>77.49485275000001</v>
      </c>
      <c r="F62" s="20" t="n">
        <v>2.01506675</v>
      </c>
      <c r="G62" s="18" t="n">
        <v>16.69588357</v>
      </c>
      <c r="H62" s="20" t="n">
        <v>1.65893356</v>
      </c>
      <c r="I62" s="18" t="s">
        <v>349</v>
      </c>
      <c r="J62" s="20" t="s">
        <v>349</v>
      </c>
      <c r="K62" s="18" t="n">
        <v>0</v>
      </c>
      <c r="L62" s="20" t="n">
        <v>0</v>
      </c>
      <c r="M62" s="18" t="n">
        <v>0</v>
      </c>
      <c r="N62" s="20" t="n">
        <v>0</v>
      </c>
      <c r="O62" s="18" t="n">
        <v>0</v>
      </c>
      <c r="P62" s="20" t="n">
        <v>0</v>
      </c>
      <c r="Q62" s="18" t="n">
        <v>5.80926368</v>
      </c>
      <c r="R62" s="20" t="n">
        <v>1.06179081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(4978.0/B66*100)</f>
        <v/>
      </c>
      <c r="D66" s="19" t="n">
        <v>687</v>
      </c>
      <c r="E66" s="18" t="n">
        <v>48.32190847</v>
      </c>
      <c r="F66" s="20" t="n">
        <v>1.71080985</v>
      </c>
      <c r="G66" s="18" t="n">
        <v>1.21842061</v>
      </c>
      <c r="H66" s="20" t="n">
        <v>0.43559791</v>
      </c>
      <c r="I66" s="18" t="s">
        <v>349</v>
      </c>
      <c r="J66" s="20" t="s">
        <v>349</v>
      </c>
      <c r="K66" s="18" t="n">
        <v>0.53472287</v>
      </c>
      <c r="L66" s="20" t="n">
        <v>0.26796662</v>
      </c>
      <c r="M66" s="18" t="n">
        <v>0.12816191</v>
      </c>
      <c r="N66" s="20" t="n">
        <v>0.12843325</v>
      </c>
      <c r="O66" s="18" t="n">
        <v>0</v>
      </c>
      <c r="P66" s="20" t="n">
        <v>0</v>
      </c>
      <c r="Q66" s="18" t="n">
        <v>49.79678615</v>
      </c>
      <c r="R66" s="20" t="n">
        <v>1.67489616</v>
      </c>
    </row>
    <row r="67" spans="1:18">
      <c r="A67" s="15" t="s">
        <v>409</v>
      </c>
      <c r="B67" s="17" t="n">
        <v>6971</v>
      </c>
      <c r="C67" s="18">
        <f>(6155.0/B67*100)</f>
        <v/>
      </c>
      <c r="D67" s="19" t="n">
        <v>816</v>
      </c>
      <c r="E67" s="18" t="n">
        <v>66.54641785</v>
      </c>
      <c r="F67" s="20" t="n">
        <v>1.96828522</v>
      </c>
      <c r="G67" s="18" t="n">
        <v>0.58397032</v>
      </c>
      <c r="H67" s="20" t="n">
        <v>0.26097013</v>
      </c>
      <c r="I67" s="18" t="s">
        <v>349</v>
      </c>
      <c r="J67" s="20" t="s">
        <v>349</v>
      </c>
      <c r="K67" s="18" t="n">
        <v>0.41815504</v>
      </c>
      <c r="L67" s="20" t="n">
        <v>0.33663682</v>
      </c>
      <c r="M67" s="18" t="n">
        <v>0</v>
      </c>
      <c r="N67" s="20" t="n">
        <v>0</v>
      </c>
      <c r="O67" s="18" t="n">
        <v>0</v>
      </c>
      <c r="P67" s="20" t="n">
        <v>0</v>
      </c>
      <c r="Q67" s="18" t="n">
        <v>32.45145678</v>
      </c>
      <c r="R67" s="20" t="n">
        <v>1.86317237</v>
      </c>
    </row>
    <row r="68" spans="1:18">
      <c r="A68" s="15" t="s">
        <v>410</v>
      </c>
      <c r="B68" s="17" t="n">
        <v>12083</v>
      </c>
      <c r="C68" s="18">
        <f>(10094.0/B68*100)</f>
        <v/>
      </c>
      <c r="D68" s="19" t="n">
        <v>1989</v>
      </c>
      <c r="E68" s="18" t="n">
        <v>71.41113473999999</v>
      </c>
      <c r="F68" s="20" t="n">
        <v>0.97958849</v>
      </c>
      <c r="G68" s="18" t="n">
        <v>2.34416612</v>
      </c>
      <c r="H68" s="20" t="n">
        <v>0.31290332</v>
      </c>
      <c r="I68" s="18" t="s">
        <v>349</v>
      </c>
      <c r="J68" s="20" t="s">
        <v>349</v>
      </c>
      <c r="K68" s="18" t="n">
        <v>1.84422821</v>
      </c>
      <c r="L68" s="20" t="n">
        <v>0.27630842</v>
      </c>
      <c r="M68" s="18" t="n">
        <v>0.05658312</v>
      </c>
      <c r="N68" s="20" t="n">
        <v>0.0566193</v>
      </c>
      <c r="O68" s="18" t="n">
        <v>0</v>
      </c>
      <c r="P68" s="20" t="n">
        <v>0</v>
      </c>
      <c r="Q68" s="18" t="n">
        <v>24.34388781</v>
      </c>
      <c r="R68" s="20" t="n">
        <v>0.9957293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(5323.0/B70*100)</f>
        <v/>
      </c>
      <c r="D70" s="19" t="n">
        <v>713</v>
      </c>
      <c r="E70" s="18" t="n">
        <v>67.84458892000001</v>
      </c>
      <c r="F70" s="20" t="n">
        <v>2.2337955</v>
      </c>
      <c r="G70" s="18" t="n">
        <v>8.35345235</v>
      </c>
      <c r="H70" s="20" t="n">
        <v>1.18958626</v>
      </c>
      <c r="I70" s="18" t="s">
        <v>349</v>
      </c>
      <c r="J70" s="20" t="s">
        <v>349</v>
      </c>
      <c r="K70" s="18" t="n">
        <v>0.25983519</v>
      </c>
      <c r="L70" s="20" t="n">
        <v>0.14938065</v>
      </c>
      <c r="M70" s="18" t="n">
        <v>1.84901995</v>
      </c>
      <c r="N70" s="20" t="n">
        <v>0.48918368</v>
      </c>
      <c r="O70" s="18" t="n">
        <v>0</v>
      </c>
      <c r="P70" s="20" t="n">
        <v>0</v>
      </c>
      <c r="Q70" s="18" t="n">
        <v>21.69310359</v>
      </c>
      <c r="R70" s="20" t="n">
        <v>2.06915035</v>
      </c>
    </row>
    <row r="71" spans="1:18">
      <c r="A71" s="15" t="s">
        <v>413</v>
      </c>
      <c r="B71" s="17" t="n">
        <v>6115</v>
      </c>
      <c r="C71" s="18">
        <f>(5378.0/B71*100)</f>
        <v/>
      </c>
      <c r="D71" s="19" t="n">
        <v>737</v>
      </c>
      <c r="E71" s="18" t="n">
        <v>57.94523829</v>
      </c>
      <c r="F71" s="20" t="n">
        <v>1.95049762</v>
      </c>
      <c r="G71" s="18" t="n">
        <v>33.99050755</v>
      </c>
      <c r="H71" s="20" t="n">
        <v>1.87468342</v>
      </c>
      <c r="I71" s="18" t="s">
        <v>349</v>
      </c>
      <c r="J71" s="20" t="s">
        <v>349</v>
      </c>
      <c r="K71" s="18" t="n">
        <v>0.16091157</v>
      </c>
      <c r="L71" s="20" t="n">
        <v>0.16076994</v>
      </c>
      <c r="M71" s="18" t="n">
        <v>0</v>
      </c>
      <c r="N71" s="20" t="n">
        <v>0</v>
      </c>
      <c r="O71" s="18" t="n">
        <v>0</v>
      </c>
      <c r="P71" s="20" t="n">
        <v>0</v>
      </c>
      <c r="Q71" s="18" t="n">
        <v>7.9033426</v>
      </c>
      <c r="R71" s="20" t="n">
        <v>0.98259783</v>
      </c>
    </row>
    <row r="72" spans="1:18">
      <c r="A72" s="15" t="s">
        <v>414</v>
      </c>
      <c r="B72" s="17" t="n">
        <v>7708</v>
      </c>
      <c r="C72" s="18">
        <f>(6752.0/B72*100)</f>
        <v/>
      </c>
      <c r="D72" s="19" t="n">
        <v>956</v>
      </c>
      <c r="E72" s="18" t="n">
        <v>64.48182143</v>
      </c>
      <c r="F72" s="20" t="n">
        <v>1.48730491</v>
      </c>
      <c r="G72" s="18" t="n">
        <v>18.40307295</v>
      </c>
      <c r="H72" s="20" t="n">
        <v>1.41499103</v>
      </c>
      <c r="I72" s="18" t="s">
        <v>349</v>
      </c>
      <c r="J72" s="20" t="s">
        <v>349</v>
      </c>
      <c r="K72" s="18" t="n">
        <v>0</v>
      </c>
      <c r="L72" s="20" t="n">
        <v>0</v>
      </c>
      <c r="M72" s="18" t="n">
        <v>0</v>
      </c>
      <c r="N72" s="20" t="n">
        <v>0</v>
      </c>
      <c r="O72" s="18" t="n">
        <v>0</v>
      </c>
      <c r="P72" s="20" t="n">
        <v>0</v>
      </c>
      <c r="Q72" s="18" t="n">
        <v>17.11510561</v>
      </c>
      <c r="R72" s="20" t="n">
        <v>1.14898551</v>
      </c>
    </row>
    <row r="73" spans="1:18">
      <c r="A73" s="15" t="s">
        <v>415</v>
      </c>
      <c r="B73" s="17" t="n">
        <v>8249</v>
      </c>
      <c r="C73" s="18">
        <f>(7246.0/B73*100)</f>
        <v/>
      </c>
      <c r="D73" s="19" t="n">
        <v>1003</v>
      </c>
      <c r="E73" s="18" t="n">
        <v>88.62752261</v>
      </c>
      <c r="F73" s="20" t="n">
        <v>1.28324479</v>
      </c>
      <c r="G73" s="18" t="n">
        <v>2.12756241</v>
      </c>
      <c r="H73" s="20" t="n">
        <v>0.73105679</v>
      </c>
      <c r="I73" s="18" t="s">
        <v>349</v>
      </c>
      <c r="J73" s="20" t="s">
        <v>349</v>
      </c>
      <c r="K73" s="18" t="n">
        <v>0</v>
      </c>
      <c r="L73" s="20" t="n">
        <v>0</v>
      </c>
      <c r="M73" s="18" t="n">
        <v>0.06243157</v>
      </c>
      <c r="N73" s="20" t="n">
        <v>0.06247719</v>
      </c>
      <c r="O73" s="18" t="n">
        <v>0</v>
      </c>
      <c r="P73" s="20" t="n">
        <v>0</v>
      </c>
      <c r="Q73" s="18" t="n">
        <v>9.18248341</v>
      </c>
      <c r="R73" s="20" t="n">
        <v>1.0760659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(4757.0/B75*100)</f>
        <v/>
      </c>
      <c r="D75" s="19" t="n">
        <v>618</v>
      </c>
      <c r="E75" s="18" t="n">
        <v>61.69300701</v>
      </c>
      <c r="F75" s="20" t="n">
        <v>2.1237025</v>
      </c>
      <c r="G75" s="18" t="n">
        <v>1.04867388</v>
      </c>
      <c r="H75" s="20" t="n">
        <v>0.53929753</v>
      </c>
      <c r="I75" s="18" t="s">
        <v>349</v>
      </c>
      <c r="J75" s="20" t="s">
        <v>349</v>
      </c>
      <c r="K75" s="18" t="n">
        <v>2.09103168</v>
      </c>
      <c r="L75" s="20" t="n">
        <v>0.72615094</v>
      </c>
      <c r="M75" s="18" t="n">
        <v>0</v>
      </c>
      <c r="N75" s="20" t="n">
        <v>0</v>
      </c>
      <c r="O75" s="18" t="n">
        <v>0</v>
      </c>
      <c r="P75" s="20" t="n">
        <v>0</v>
      </c>
      <c r="Q75" s="18" t="n">
        <v>35.16728742</v>
      </c>
      <c r="R75" s="20" t="n">
        <v>2.23787369</v>
      </c>
    </row>
    <row r="76" spans="1:18">
      <c r="A76" s="15" t="s">
        <v>418</v>
      </c>
      <c r="B76" s="17" t="n">
        <v>14167</v>
      </c>
      <c r="C76" s="18">
        <f>(12477.0/B76*100)</f>
        <v/>
      </c>
      <c r="D76" s="19" t="n">
        <v>1690</v>
      </c>
      <c r="E76" s="18" t="n">
        <v>79.30464322</v>
      </c>
      <c r="F76" s="20" t="n">
        <v>1.2479632</v>
      </c>
      <c r="G76" s="18" t="n">
        <v>4.56647982</v>
      </c>
      <c r="H76" s="20" t="n">
        <v>0.6028926</v>
      </c>
      <c r="I76" s="18" t="s">
        <v>349</v>
      </c>
      <c r="J76" s="20" t="s">
        <v>349</v>
      </c>
      <c r="K76" s="18" t="n">
        <v>0.71967077</v>
      </c>
      <c r="L76" s="20" t="n">
        <v>0.24690076</v>
      </c>
      <c r="M76" s="18" t="n">
        <v>0.06803571</v>
      </c>
      <c r="N76" s="20" t="n">
        <v>0.05015413</v>
      </c>
      <c r="O76" s="18" t="n">
        <v>0</v>
      </c>
      <c r="P76" s="20" t="n">
        <v>0</v>
      </c>
      <c r="Q76" s="18" t="n">
        <v>15.34117047</v>
      </c>
      <c r="R76" s="20" t="n">
        <v>1.14888721</v>
      </c>
    </row>
    <row r="77" spans="1:18">
      <c r="A77" s="15" t="s">
        <v>419</v>
      </c>
      <c r="B77" s="17" t="n">
        <v>6062</v>
      </c>
      <c r="C77" s="18">
        <f>(5337.0/B77*100)</f>
        <v/>
      </c>
      <c r="D77" s="19" t="n">
        <v>725</v>
      </c>
      <c r="E77" s="18" t="n">
        <v>55.38048364</v>
      </c>
      <c r="F77" s="20" t="n">
        <v>1.87269744</v>
      </c>
      <c r="G77" s="18" t="n">
        <v>1.8373597</v>
      </c>
      <c r="H77" s="20" t="n">
        <v>0.50954845</v>
      </c>
      <c r="I77" s="18" t="s">
        <v>349</v>
      </c>
      <c r="J77" s="20" t="s">
        <v>349</v>
      </c>
      <c r="K77" s="18" t="n">
        <v>1.26835776</v>
      </c>
      <c r="L77" s="20" t="n">
        <v>0.51054476</v>
      </c>
      <c r="M77" s="18" t="n">
        <v>2.72708189</v>
      </c>
      <c r="N77" s="20" t="n">
        <v>0.52610995</v>
      </c>
      <c r="O77" s="18" t="n">
        <v>0</v>
      </c>
      <c r="P77" s="20" t="n">
        <v>0</v>
      </c>
      <c r="Q77" s="18" t="n">
        <v>38.786717</v>
      </c>
      <c r="R77" s="20" t="n">
        <v>2.12398853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(7768.0/B81*100)</f>
        <v/>
      </c>
      <c r="D81" s="19" t="n">
        <v>1093</v>
      </c>
      <c r="E81" s="18" t="n">
        <v>88.54389003999999</v>
      </c>
      <c r="F81" s="20" t="n">
        <v>1.30276546</v>
      </c>
      <c r="G81" s="18" t="n">
        <v>1.37011189</v>
      </c>
      <c r="H81" s="20" t="n">
        <v>0.44876921</v>
      </c>
      <c r="I81" s="18" t="s">
        <v>349</v>
      </c>
      <c r="J81" s="20" t="s">
        <v>349</v>
      </c>
      <c r="K81" s="18" t="n">
        <v>0.14373519</v>
      </c>
      <c r="L81" s="20" t="n">
        <v>0.14297044</v>
      </c>
      <c r="M81" s="18" t="n">
        <v>0</v>
      </c>
      <c r="N81" s="20" t="n">
        <v>0</v>
      </c>
      <c r="O81" s="18" t="n">
        <v>0</v>
      </c>
      <c r="P81" s="20" t="n">
        <v>0</v>
      </c>
      <c r="Q81" s="18" t="n">
        <v>9.942262879999999</v>
      </c>
      <c r="R81" s="20" t="n">
        <v>1.16874434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(12753.0/B7*100)</f>
        <v/>
      </c>
      <c r="D7" s="19" t="n">
        <v>1777</v>
      </c>
      <c r="E7" s="18" t="n">
        <v>39.58614385</v>
      </c>
      <c r="F7" s="20" t="n">
        <v>1.37227576</v>
      </c>
      <c r="G7" s="18" t="n">
        <v>58.91788008</v>
      </c>
      <c r="H7" s="20" t="n">
        <v>1.37099595</v>
      </c>
      <c r="I7" s="18" t="s">
        <v>349</v>
      </c>
      <c r="J7" s="20" t="s">
        <v>349</v>
      </c>
      <c r="K7" s="18" t="n">
        <v>0.47838511</v>
      </c>
      <c r="L7" s="20" t="n">
        <v>0.19653786</v>
      </c>
      <c r="M7" s="18" t="n">
        <v>0</v>
      </c>
      <c r="N7" s="20" t="n">
        <v>0</v>
      </c>
      <c r="O7" s="18" t="n">
        <v>0</v>
      </c>
      <c r="P7" s="20" t="n">
        <v>0</v>
      </c>
      <c r="Q7" s="18" t="n">
        <v>1.01759095</v>
      </c>
      <c r="R7" s="20" t="n">
        <v>0.32797651</v>
      </c>
    </row>
    <row r="8" spans="1:18">
      <c r="A8" s="15" t="s">
        <v>350</v>
      </c>
      <c r="B8" s="17" t="n">
        <v>7007</v>
      </c>
      <c r="C8" s="18">
        <f>(6158.0/B8*100)</f>
        <v/>
      </c>
      <c r="D8" s="19" t="n">
        <v>849</v>
      </c>
      <c r="E8" s="18" t="n">
        <v>41.29785464</v>
      </c>
      <c r="F8" s="20" t="n">
        <v>1.88980038</v>
      </c>
      <c r="G8" s="18" t="n">
        <v>57.57636516</v>
      </c>
      <c r="H8" s="20" t="n">
        <v>1.89993105</v>
      </c>
      <c r="I8" s="18" t="s">
        <v>349</v>
      </c>
      <c r="J8" s="20" t="s">
        <v>349</v>
      </c>
      <c r="K8" s="18" t="n">
        <v>0</v>
      </c>
      <c r="L8" s="20" t="n">
        <v>0</v>
      </c>
      <c r="M8" s="18" t="n">
        <v>0</v>
      </c>
      <c r="N8" s="20" t="n">
        <v>0</v>
      </c>
      <c r="O8" s="18" t="n">
        <v>0</v>
      </c>
      <c r="P8" s="20" t="n">
        <v>0</v>
      </c>
      <c r="Q8" s="18" t="n">
        <v>1.12578019</v>
      </c>
      <c r="R8" s="20" t="n">
        <v>0.34483768</v>
      </c>
    </row>
    <row r="9" spans="1:18">
      <c r="A9" s="15" t="s">
        <v>351</v>
      </c>
      <c r="B9" s="17" t="n">
        <v>9651</v>
      </c>
      <c r="C9" s="18">
        <f>(8514.0/B9*100)</f>
        <v/>
      </c>
      <c r="D9" s="19" t="n">
        <v>1137</v>
      </c>
      <c r="E9" s="18" t="n">
        <v>38.02095449</v>
      </c>
      <c r="F9" s="20" t="n">
        <v>1.50542302</v>
      </c>
      <c r="G9" s="18" t="n">
        <v>60.42013578</v>
      </c>
      <c r="H9" s="20" t="n">
        <v>1.57513678</v>
      </c>
      <c r="I9" s="18" t="s">
        <v>349</v>
      </c>
      <c r="J9" s="20" t="s">
        <v>349</v>
      </c>
      <c r="K9" s="18" t="n">
        <v>0.35801189</v>
      </c>
      <c r="L9" s="20" t="n">
        <v>0.20042953</v>
      </c>
      <c r="M9" s="18" t="n">
        <v>0</v>
      </c>
      <c r="N9" s="20" t="n">
        <v>0</v>
      </c>
      <c r="O9" s="18" t="n">
        <v>0</v>
      </c>
      <c r="P9" s="20" t="n">
        <v>0</v>
      </c>
      <c r="Q9" s="18" t="n">
        <v>1.20089784</v>
      </c>
      <c r="R9" s="20" t="n">
        <v>0.32645535</v>
      </c>
    </row>
    <row r="10" spans="1:18">
      <c r="A10" s="15" t="s">
        <v>352</v>
      </c>
      <c r="B10" s="17" t="n">
        <v>20058</v>
      </c>
      <c r="C10" s="18">
        <f>(17605.0/B10*100)</f>
        <v/>
      </c>
      <c r="D10" s="19" t="n">
        <v>2453</v>
      </c>
      <c r="E10" s="18" t="n">
        <v>35.14883446</v>
      </c>
      <c r="F10" s="20" t="n">
        <v>1.28823269</v>
      </c>
      <c r="G10" s="18" t="n">
        <v>64.18392562</v>
      </c>
      <c r="H10" s="20" t="n">
        <v>1.2863161</v>
      </c>
      <c r="I10" s="18" t="s">
        <v>349</v>
      </c>
      <c r="J10" s="20" t="s">
        <v>349</v>
      </c>
      <c r="K10" s="18" t="n">
        <v>0.36386892</v>
      </c>
      <c r="L10" s="20" t="n">
        <v>0.11861169</v>
      </c>
      <c r="M10" s="18" t="n">
        <v>0</v>
      </c>
      <c r="N10" s="20" t="n">
        <v>0</v>
      </c>
      <c r="O10" s="18" t="n">
        <v>0</v>
      </c>
      <c r="P10" s="20" t="n">
        <v>0</v>
      </c>
      <c r="Q10" s="18" t="n">
        <v>0.30337099</v>
      </c>
      <c r="R10" s="20" t="n">
        <v>0.13726043</v>
      </c>
    </row>
    <row r="11" spans="1:18">
      <c r="A11" s="15" t="s">
        <v>353</v>
      </c>
      <c r="B11" s="17" t="n">
        <v>7053</v>
      </c>
      <c r="C11" s="18">
        <f>(6214.0/B11*100)</f>
        <v/>
      </c>
      <c r="D11" s="19" t="n">
        <v>839</v>
      </c>
      <c r="E11" s="18" t="n">
        <v>48.19449499</v>
      </c>
      <c r="F11" s="20" t="n">
        <v>1.60930827</v>
      </c>
      <c r="G11" s="18" t="n">
        <v>50.23073326</v>
      </c>
      <c r="H11" s="20" t="n">
        <v>1.51467102</v>
      </c>
      <c r="I11" s="18" t="s">
        <v>349</v>
      </c>
      <c r="J11" s="20" t="s">
        <v>349</v>
      </c>
      <c r="K11" s="18" t="n">
        <v>0.50803606</v>
      </c>
      <c r="L11" s="20" t="n">
        <v>0.26730121</v>
      </c>
      <c r="M11" s="18" t="n">
        <v>0</v>
      </c>
      <c r="N11" s="20" t="n">
        <v>0</v>
      </c>
      <c r="O11" s="18" t="n">
        <v>0</v>
      </c>
      <c r="P11" s="20" t="n">
        <v>0</v>
      </c>
      <c r="Q11" s="18" t="n">
        <v>1.06673569</v>
      </c>
      <c r="R11" s="20" t="n">
        <v>0.37686163</v>
      </c>
    </row>
    <row r="12" spans="1:18">
      <c r="A12" s="15" t="s">
        <v>354</v>
      </c>
      <c r="B12" s="17" t="n">
        <v>6894</v>
      </c>
      <c r="C12" s="18">
        <f>(6030.0/B12*100)</f>
        <v/>
      </c>
      <c r="D12" s="19" t="n">
        <v>864</v>
      </c>
      <c r="E12" s="18" t="n">
        <v>41.00107672</v>
      </c>
      <c r="F12" s="20" t="n">
        <v>2.05370822</v>
      </c>
      <c r="G12" s="18" t="n">
        <v>58.17719904</v>
      </c>
      <c r="H12" s="20" t="n">
        <v>2.02273836</v>
      </c>
      <c r="I12" s="18" t="s">
        <v>349</v>
      </c>
      <c r="J12" s="20" t="s">
        <v>349</v>
      </c>
      <c r="K12" s="18" t="n">
        <v>0.04514384</v>
      </c>
      <c r="L12" s="20" t="n">
        <v>0.04503692</v>
      </c>
      <c r="M12" s="18" t="n">
        <v>0</v>
      </c>
      <c r="N12" s="20" t="n">
        <v>0</v>
      </c>
      <c r="O12" s="18" t="n">
        <v>0</v>
      </c>
      <c r="P12" s="20" t="n">
        <v>0</v>
      </c>
      <c r="Q12" s="18" t="n">
        <v>0.7765803999999999</v>
      </c>
      <c r="R12" s="20" t="n">
        <v>0.39754628</v>
      </c>
    </row>
    <row r="13" spans="1:18">
      <c r="A13" s="15" t="s">
        <v>355</v>
      </c>
      <c r="B13" s="17" t="n">
        <v>7161</v>
      </c>
      <c r="C13" s="18">
        <f>(6297.0/B13*100)</f>
        <v/>
      </c>
      <c r="D13" s="19" t="n">
        <v>864</v>
      </c>
      <c r="E13" s="18" t="n">
        <v>30.7652971</v>
      </c>
      <c r="F13" s="20" t="n">
        <v>1.68223055</v>
      </c>
      <c r="G13" s="18" t="n">
        <v>67.96095603000001</v>
      </c>
      <c r="H13" s="20" t="n">
        <v>1.6617708</v>
      </c>
      <c r="I13" s="18" t="s">
        <v>349</v>
      </c>
      <c r="J13" s="20" t="s">
        <v>349</v>
      </c>
      <c r="K13" s="18" t="n">
        <v>0.76383389</v>
      </c>
      <c r="L13" s="20" t="n">
        <v>0.41204124</v>
      </c>
      <c r="M13" s="18" t="n">
        <v>0</v>
      </c>
      <c r="N13" s="20" t="n">
        <v>0</v>
      </c>
      <c r="O13" s="18" t="n">
        <v>0</v>
      </c>
      <c r="P13" s="20" t="n">
        <v>0</v>
      </c>
      <c r="Q13" s="18" t="n">
        <v>0.50991298</v>
      </c>
      <c r="R13" s="20" t="n">
        <v>0.28237713</v>
      </c>
    </row>
    <row r="14" spans="1:18">
      <c r="A14" s="15" t="s">
        <v>356</v>
      </c>
      <c r="B14" s="17" t="n">
        <v>5587</v>
      </c>
      <c r="C14" s="18">
        <f>(4900.0/B14*100)</f>
        <v/>
      </c>
      <c r="D14" s="19" t="n">
        <v>687</v>
      </c>
      <c r="E14" s="18" t="n">
        <v>36.77970444</v>
      </c>
      <c r="F14" s="20" t="n">
        <v>1.84691007</v>
      </c>
      <c r="G14" s="18" t="n">
        <v>62.66375815</v>
      </c>
      <c r="H14" s="20" t="n">
        <v>1.82656529</v>
      </c>
      <c r="I14" s="18" t="s">
        <v>349</v>
      </c>
      <c r="J14" s="20" t="s">
        <v>349</v>
      </c>
      <c r="K14" s="18" t="n">
        <v>0.15814262</v>
      </c>
      <c r="L14" s="20" t="n">
        <v>0.16023323</v>
      </c>
      <c r="M14" s="18" t="n">
        <v>0</v>
      </c>
      <c r="N14" s="20" t="n">
        <v>0</v>
      </c>
      <c r="O14" s="18" t="n">
        <v>0</v>
      </c>
      <c r="P14" s="20" t="n">
        <v>0</v>
      </c>
      <c r="Q14" s="18" t="n">
        <v>0.39839478</v>
      </c>
      <c r="R14" s="20" t="n">
        <v>0.23120814</v>
      </c>
    </row>
    <row r="15" spans="1:18">
      <c r="A15" s="15" t="s">
        <v>357</v>
      </c>
      <c r="B15" s="17" t="n">
        <v>5882</v>
      </c>
      <c r="C15" s="18">
        <f>(5164.0/B15*100)</f>
        <v/>
      </c>
      <c r="D15" s="19" t="n">
        <v>718</v>
      </c>
      <c r="E15" s="18" t="n">
        <v>23.82134423</v>
      </c>
      <c r="F15" s="20" t="n">
        <v>1.52112326</v>
      </c>
      <c r="G15" s="18" t="n">
        <v>75.34371274</v>
      </c>
      <c r="H15" s="20" t="n">
        <v>1.53366198</v>
      </c>
      <c r="I15" s="18" t="s">
        <v>349</v>
      </c>
      <c r="J15" s="20" t="s">
        <v>349</v>
      </c>
      <c r="K15" s="18" t="n">
        <v>0.12681323</v>
      </c>
      <c r="L15" s="20" t="n">
        <v>0.1269224</v>
      </c>
      <c r="M15" s="18" t="n">
        <v>0</v>
      </c>
      <c r="N15" s="20" t="n">
        <v>0</v>
      </c>
      <c r="O15" s="18" t="n">
        <v>0</v>
      </c>
      <c r="P15" s="20" t="n">
        <v>0</v>
      </c>
      <c r="Q15" s="18" t="n">
        <v>0.7081298</v>
      </c>
      <c r="R15" s="20" t="n">
        <v>0.31573785</v>
      </c>
    </row>
    <row r="16" spans="1:18">
      <c r="A16" s="15" t="s">
        <v>358</v>
      </c>
      <c r="B16" s="17" t="n">
        <v>6108</v>
      </c>
      <c r="C16" s="18">
        <f>(5381.0/B16*100)</f>
        <v/>
      </c>
      <c r="D16" s="19" t="n">
        <v>727</v>
      </c>
      <c r="E16" s="18" t="n">
        <v>39.40797351</v>
      </c>
      <c r="F16" s="20" t="n">
        <v>1.90795442</v>
      </c>
      <c r="G16" s="18" t="n">
        <v>58.18101463</v>
      </c>
      <c r="H16" s="20" t="n">
        <v>1.84948477</v>
      </c>
      <c r="I16" s="18" t="s">
        <v>349</v>
      </c>
      <c r="J16" s="20" t="s">
        <v>349</v>
      </c>
      <c r="K16" s="18" t="n">
        <v>0.85940532</v>
      </c>
      <c r="L16" s="20" t="n">
        <v>0.37263631</v>
      </c>
      <c r="M16" s="18" t="n">
        <v>0</v>
      </c>
      <c r="N16" s="20" t="n">
        <v>0</v>
      </c>
      <c r="O16" s="18" t="n">
        <v>0</v>
      </c>
      <c r="P16" s="20" t="n">
        <v>0</v>
      </c>
      <c r="Q16" s="18" t="n">
        <v>1.55160654</v>
      </c>
      <c r="R16" s="20" t="n">
        <v>0.5697144200000001</v>
      </c>
    </row>
    <row r="17" spans="1:18">
      <c r="A17" s="15" t="s">
        <v>359</v>
      </c>
      <c r="B17" s="17" t="n">
        <v>6504</v>
      </c>
      <c r="C17" s="18">
        <f>(5710.0/B17*100)</f>
        <v/>
      </c>
      <c r="D17" s="19" t="n">
        <v>794</v>
      </c>
      <c r="E17" s="18" t="n">
        <v>37.04306812</v>
      </c>
      <c r="F17" s="20" t="n">
        <v>1.66842643</v>
      </c>
      <c r="G17" s="18" t="n">
        <v>62.03789836</v>
      </c>
      <c r="H17" s="20" t="n">
        <v>1.70613476</v>
      </c>
      <c r="I17" s="18" t="s">
        <v>349</v>
      </c>
      <c r="J17" s="20" t="s">
        <v>349</v>
      </c>
      <c r="K17" s="18" t="n">
        <v>0.37201537</v>
      </c>
      <c r="L17" s="20" t="n">
        <v>0.23355517</v>
      </c>
      <c r="M17" s="18" t="n">
        <v>0</v>
      </c>
      <c r="N17" s="20" t="n">
        <v>0</v>
      </c>
      <c r="O17" s="18" t="n">
        <v>0</v>
      </c>
      <c r="P17" s="20" t="n">
        <v>0</v>
      </c>
      <c r="Q17" s="18" t="n">
        <v>0.54701815</v>
      </c>
      <c r="R17" s="20" t="n">
        <v>0.26854982</v>
      </c>
    </row>
    <row r="18" spans="1:18">
      <c r="A18" s="15" t="s">
        <v>360</v>
      </c>
      <c r="B18" s="17" t="n">
        <v>5532</v>
      </c>
      <c r="C18" s="18">
        <f>(4851.0/B18*100)</f>
        <v/>
      </c>
      <c r="D18" s="19" t="n">
        <v>681</v>
      </c>
      <c r="E18" s="18" t="n">
        <v>38.4078794</v>
      </c>
      <c r="F18" s="20" t="n">
        <v>2.04570244</v>
      </c>
      <c r="G18" s="18" t="n">
        <v>60.3686485</v>
      </c>
      <c r="H18" s="20" t="n">
        <v>1.98350307</v>
      </c>
      <c r="I18" s="18" t="s">
        <v>349</v>
      </c>
      <c r="J18" s="20" t="s">
        <v>349</v>
      </c>
      <c r="K18" s="18" t="n">
        <v>0.53645402</v>
      </c>
      <c r="L18" s="20" t="n">
        <v>0.31153978</v>
      </c>
      <c r="M18" s="18" t="n">
        <v>0</v>
      </c>
      <c r="N18" s="20" t="n">
        <v>0</v>
      </c>
      <c r="O18" s="18" t="n">
        <v>0</v>
      </c>
      <c r="P18" s="20" t="n">
        <v>0</v>
      </c>
      <c r="Q18" s="18" t="n">
        <v>0.68701809</v>
      </c>
      <c r="R18" s="20" t="n">
        <v>0.3102876</v>
      </c>
    </row>
    <row r="19" spans="1:18">
      <c r="A19" s="15" t="s">
        <v>361</v>
      </c>
      <c r="B19" s="17" t="n">
        <v>5658</v>
      </c>
      <c r="C19" s="18">
        <f>(4955.0/B19*100)</f>
        <v/>
      </c>
      <c r="D19" s="19" t="n">
        <v>703</v>
      </c>
      <c r="E19" s="18" t="n">
        <v>48.32369919</v>
      </c>
      <c r="F19" s="20" t="n">
        <v>1.96961384</v>
      </c>
      <c r="G19" s="18" t="n">
        <v>51.14744932</v>
      </c>
      <c r="H19" s="20" t="n">
        <v>1.95952791</v>
      </c>
      <c r="I19" s="18" t="s">
        <v>349</v>
      </c>
      <c r="J19" s="20" t="s">
        <v>349</v>
      </c>
      <c r="K19" s="18" t="n">
        <v>0.14712508</v>
      </c>
      <c r="L19" s="20" t="n">
        <v>0.14681894</v>
      </c>
      <c r="M19" s="18" t="n">
        <v>0</v>
      </c>
      <c r="N19" s="20" t="n">
        <v>0</v>
      </c>
      <c r="O19" s="18" t="n">
        <v>0</v>
      </c>
      <c r="P19" s="20" t="n">
        <v>0</v>
      </c>
      <c r="Q19" s="18" t="n">
        <v>0.38172641</v>
      </c>
      <c r="R19" s="20" t="n">
        <v>0.21220956</v>
      </c>
    </row>
    <row r="20" spans="1:18">
      <c r="A20" s="15" t="s">
        <v>362</v>
      </c>
      <c r="B20" s="17" t="n">
        <v>3371</v>
      </c>
      <c r="C20" s="18">
        <f>(2970.0/B20*100)</f>
        <v/>
      </c>
      <c r="D20" s="19" t="n">
        <v>401</v>
      </c>
      <c r="E20" s="18" t="n">
        <v>35.66144834</v>
      </c>
      <c r="F20" s="20" t="n">
        <v>2.04872318</v>
      </c>
      <c r="G20" s="18" t="n">
        <v>62.67235439</v>
      </c>
      <c r="H20" s="20" t="n">
        <v>2.12103684</v>
      </c>
      <c r="I20" s="18" t="s">
        <v>349</v>
      </c>
      <c r="J20" s="20" t="s">
        <v>349</v>
      </c>
      <c r="K20" s="18" t="n">
        <v>0.48311544</v>
      </c>
      <c r="L20" s="20" t="n">
        <v>0.34831442</v>
      </c>
      <c r="M20" s="18" t="n">
        <v>0</v>
      </c>
      <c r="N20" s="20" t="n">
        <v>0</v>
      </c>
      <c r="O20" s="18" t="n">
        <v>0</v>
      </c>
      <c r="P20" s="20" t="n">
        <v>0</v>
      </c>
      <c r="Q20" s="18" t="n">
        <v>1.18308184</v>
      </c>
      <c r="R20" s="20" t="n">
        <v>0.51208087</v>
      </c>
    </row>
    <row r="21" spans="1:18">
      <c r="A21" s="15" t="s">
        <v>363</v>
      </c>
      <c r="B21" s="17" t="n">
        <v>5741</v>
      </c>
      <c r="C21" s="18">
        <f>(4773.0/B21*100)</f>
        <v/>
      </c>
      <c r="D21" s="19" t="n">
        <v>968</v>
      </c>
      <c r="E21" s="18" t="n">
        <v>35.31666276</v>
      </c>
      <c r="F21" s="20" t="n">
        <v>1.67856248</v>
      </c>
      <c r="G21" s="18" t="n">
        <v>64.14589223999999</v>
      </c>
      <c r="H21" s="20" t="n">
        <v>1.68311048</v>
      </c>
      <c r="I21" s="18" t="s">
        <v>349</v>
      </c>
      <c r="J21" s="20" t="s">
        <v>349</v>
      </c>
      <c r="K21" s="18" t="n">
        <v>0.09840718</v>
      </c>
      <c r="L21" s="20" t="n">
        <v>0.09830342</v>
      </c>
      <c r="M21" s="18" t="n">
        <v>0</v>
      </c>
      <c r="N21" s="20" t="n">
        <v>0</v>
      </c>
      <c r="O21" s="18" t="n">
        <v>0</v>
      </c>
      <c r="P21" s="20" t="n">
        <v>0</v>
      </c>
      <c r="Q21" s="18" t="n">
        <v>0.43903782</v>
      </c>
      <c r="R21" s="20" t="n">
        <v>0.23316036</v>
      </c>
    </row>
    <row r="22" spans="1:18">
      <c r="A22" s="15" t="s">
        <v>364</v>
      </c>
      <c r="B22" s="17" t="n">
        <v>6598</v>
      </c>
      <c r="C22" s="18">
        <f>(5778.0/B22*100)</f>
        <v/>
      </c>
      <c r="D22" s="19" t="n">
        <v>820</v>
      </c>
      <c r="E22" s="18" t="n">
        <v>38.245432</v>
      </c>
      <c r="F22" s="20" t="n">
        <v>2.03154683</v>
      </c>
      <c r="G22" s="18" t="n">
        <v>59.48013951</v>
      </c>
      <c r="H22" s="20" t="n">
        <v>2.01343725</v>
      </c>
      <c r="I22" s="18" t="s">
        <v>349</v>
      </c>
      <c r="J22" s="20" t="s">
        <v>349</v>
      </c>
      <c r="K22" s="18" t="n">
        <v>0.65543886</v>
      </c>
      <c r="L22" s="20" t="n">
        <v>0.32868936</v>
      </c>
      <c r="M22" s="18" t="n">
        <v>0</v>
      </c>
      <c r="N22" s="20" t="n">
        <v>0</v>
      </c>
      <c r="O22" s="18" t="n">
        <v>0</v>
      </c>
      <c r="P22" s="20" t="n">
        <v>0</v>
      </c>
      <c r="Q22" s="18" t="n">
        <v>1.61898963</v>
      </c>
      <c r="R22" s="20" t="n">
        <v>0.62555702</v>
      </c>
    </row>
    <row r="23" spans="1:18">
      <c r="A23" s="15" t="s">
        <v>365</v>
      </c>
      <c r="B23" s="17" t="n">
        <v>11583</v>
      </c>
      <c r="C23" s="18">
        <f>(10164.0/B23*100)</f>
        <v/>
      </c>
      <c r="D23" s="19" t="n">
        <v>1419</v>
      </c>
      <c r="E23" s="18" t="n">
        <v>36.20667963</v>
      </c>
      <c r="F23" s="20" t="n">
        <v>1.55338867</v>
      </c>
      <c r="G23" s="18" t="n">
        <v>63.06453703</v>
      </c>
      <c r="H23" s="20" t="n">
        <v>1.60175302</v>
      </c>
      <c r="I23" s="18" t="s">
        <v>349</v>
      </c>
      <c r="J23" s="20" t="s">
        <v>349</v>
      </c>
      <c r="K23" s="18" t="n">
        <v>0.20604088</v>
      </c>
      <c r="L23" s="20" t="n">
        <v>0.14313661</v>
      </c>
      <c r="M23" s="18" t="n">
        <v>0</v>
      </c>
      <c r="N23" s="20" t="n">
        <v>0</v>
      </c>
      <c r="O23" s="18" t="n">
        <v>0</v>
      </c>
      <c r="P23" s="20" t="n">
        <v>0</v>
      </c>
      <c r="Q23" s="18" t="n">
        <v>0.52274246</v>
      </c>
      <c r="R23" s="20" t="n">
        <v>0.30719731</v>
      </c>
    </row>
    <row r="24" spans="1:18">
      <c r="A24" s="15" t="s">
        <v>366</v>
      </c>
      <c r="B24" s="17" t="n">
        <v>6647</v>
      </c>
      <c r="C24" s="18">
        <f>(5824.0/B24*100)</f>
        <v/>
      </c>
      <c r="D24" s="19" t="n">
        <v>823</v>
      </c>
      <c r="E24" s="18" t="n">
        <v>33.99759405</v>
      </c>
      <c r="F24" s="20" t="n">
        <v>1.72498783</v>
      </c>
      <c r="G24" s="18" t="n">
        <v>65.43538071</v>
      </c>
      <c r="H24" s="20" t="n">
        <v>1.73275842</v>
      </c>
      <c r="I24" s="18" t="s">
        <v>349</v>
      </c>
      <c r="J24" s="20" t="s">
        <v>349</v>
      </c>
      <c r="K24" s="18" t="n">
        <v>0.08640636</v>
      </c>
      <c r="L24" s="20" t="n">
        <v>0.08656612</v>
      </c>
      <c r="M24" s="18" t="n">
        <v>0</v>
      </c>
      <c r="N24" s="20" t="n">
        <v>0</v>
      </c>
      <c r="O24" s="18" t="n">
        <v>0</v>
      </c>
      <c r="P24" s="20" t="n">
        <v>0</v>
      </c>
      <c r="Q24" s="18" t="n">
        <v>0.48061889</v>
      </c>
      <c r="R24" s="20" t="n">
        <v>0.22086301</v>
      </c>
    </row>
    <row r="25" spans="1:18">
      <c r="A25" s="15" t="s">
        <v>367</v>
      </c>
      <c r="B25" s="17" t="n">
        <v>5581</v>
      </c>
      <c r="C25" s="18">
        <f>(4904.0/B25*100)</f>
        <v/>
      </c>
      <c r="D25" s="19" t="n">
        <v>677</v>
      </c>
      <c r="E25" s="18" t="n">
        <v>24.26224653</v>
      </c>
      <c r="F25" s="20" t="n">
        <v>1.68945252</v>
      </c>
      <c r="G25" s="18" t="n">
        <v>74.74686604</v>
      </c>
      <c r="H25" s="20" t="n">
        <v>1.74593586</v>
      </c>
      <c r="I25" s="18" t="s">
        <v>349</v>
      </c>
      <c r="J25" s="20" t="s">
        <v>349</v>
      </c>
      <c r="K25" s="18" t="n">
        <v>0.44904833</v>
      </c>
      <c r="L25" s="20" t="n">
        <v>0.25828071</v>
      </c>
      <c r="M25" s="18" t="n">
        <v>0</v>
      </c>
      <c r="N25" s="20" t="n">
        <v>0</v>
      </c>
      <c r="O25" s="18" t="n">
        <v>0</v>
      </c>
      <c r="P25" s="20" t="n">
        <v>0</v>
      </c>
      <c r="Q25" s="18" t="n">
        <v>0.5418391</v>
      </c>
      <c r="R25" s="20" t="n">
        <v>0.2770916</v>
      </c>
    </row>
    <row r="26" spans="1:18">
      <c r="A26" s="15" t="s">
        <v>368</v>
      </c>
      <c r="B26" s="17" t="n">
        <v>4869</v>
      </c>
      <c r="C26" s="18">
        <f>(4262.0/B26*100)</f>
        <v/>
      </c>
      <c r="D26" s="19" t="n">
        <v>607</v>
      </c>
      <c r="E26" s="18" t="n">
        <v>42.52385132</v>
      </c>
      <c r="F26" s="20" t="n">
        <v>2.32025348</v>
      </c>
      <c r="G26" s="18" t="n">
        <v>57.22303553</v>
      </c>
      <c r="H26" s="20" t="n">
        <v>2.31504832</v>
      </c>
      <c r="I26" s="18" t="s">
        <v>349</v>
      </c>
      <c r="J26" s="20" t="s">
        <v>349</v>
      </c>
      <c r="K26" s="18" t="n">
        <v>0.12686584</v>
      </c>
      <c r="L26" s="20" t="n">
        <v>0.12912976</v>
      </c>
      <c r="M26" s="18" t="n">
        <v>0</v>
      </c>
      <c r="N26" s="20" t="n">
        <v>0</v>
      </c>
      <c r="O26" s="18" t="n">
        <v>0</v>
      </c>
      <c r="P26" s="20" t="n">
        <v>0</v>
      </c>
      <c r="Q26" s="18" t="n">
        <v>0.12624731</v>
      </c>
      <c r="R26" s="20" t="n">
        <v>0.12636268</v>
      </c>
    </row>
    <row r="27" spans="1:18">
      <c r="A27" s="15" t="s">
        <v>369</v>
      </c>
      <c r="B27" s="17" t="n">
        <v>5299</v>
      </c>
      <c r="C27" s="18">
        <f>(4663.0/B27*100)</f>
        <v/>
      </c>
      <c r="D27" s="19" t="n">
        <v>636</v>
      </c>
      <c r="E27" s="18" t="n">
        <v>41.10954097</v>
      </c>
      <c r="F27" s="20" t="n">
        <v>1.83802306</v>
      </c>
      <c r="G27" s="18" t="n">
        <v>57.61057958</v>
      </c>
      <c r="H27" s="20" t="n">
        <v>1.83080335</v>
      </c>
      <c r="I27" s="18" t="s">
        <v>349</v>
      </c>
      <c r="J27" s="20" t="s">
        <v>349</v>
      </c>
      <c r="K27" s="18" t="n">
        <v>0.15616596</v>
      </c>
      <c r="L27" s="20" t="n">
        <v>0.15552834</v>
      </c>
      <c r="M27" s="18" t="n">
        <v>0</v>
      </c>
      <c r="N27" s="20" t="n">
        <v>0</v>
      </c>
      <c r="O27" s="18" t="n">
        <v>0</v>
      </c>
      <c r="P27" s="20" t="n">
        <v>0</v>
      </c>
      <c r="Q27" s="18" t="n">
        <v>1.12371349</v>
      </c>
      <c r="R27" s="20" t="n">
        <v>0.42272804</v>
      </c>
    </row>
    <row r="28" spans="1:18">
      <c r="A28" s="15" t="s">
        <v>370</v>
      </c>
      <c r="B28" s="17" t="n">
        <v>7568</v>
      </c>
      <c r="C28" s="18">
        <f>(6663.0/B28*100)</f>
        <v/>
      </c>
      <c r="D28" s="19" t="n">
        <v>905</v>
      </c>
      <c r="E28" s="18" t="n">
        <v>53.10155683</v>
      </c>
      <c r="F28" s="20" t="n">
        <v>1.93032065</v>
      </c>
      <c r="G28" s="18" t="n">
        <v>45.54140097</v>
      </c>
      <c r="H28" s="20" t="n">
        <v>1.88134683</v>
      </c>
      <c r="I28" s="18" t="s">
        <v>349</v>
      </c>
      <c r="J28" s="20" t="s">
        <v>349</v>
      </c>
      <c r="K28" s="18" t="n">
        <v>0.5096103400000001</v>
      </c>
      <c r="L28" s="20" t="n">
        <v>0.29379051</v>
      </c>
      <c r="M28" s="18" t="n">
        <v>0</v>
      </c>
      <c r="N28" s="20" t="n">
        <v>0</v>
      </c>
      <c r="O28" s="18" t="n">
        <v>0</v>
      </c>
      <c r="P28" s="20" t="n">
        <v>0</v>
      </c>
      <c r="Q28" s="18" t="n">
        <v>0.84743186</v>
      </c>
      <c r="R28" s="20" t="n">
        <v>0.27161377</v>
      </c>
    </row>
    <row r="29" spans="1:18">
      <c r="A29" s="15" t="s">
        <v>371</v>
      </c>
      <c r="B29" s="17" t="n">
        <v>5385</v>
      </c>
      <c r="C29" s="18">
        <f>(4735.0/B29*100)</f>
        <v/>
      </c>
      <c r="D29" s="19" t="n">
        <v>650</v>
      </c>
      <c r="E29" s="18" t="n">
        <v>38.77332347</v>
      </c>
      <c r="F29" s="20" t="n">
        <v>2.27115955</v>
      </c>
      <c r="G29" s="18" t="n">
        <v>60.55310314</v>
      </c>
      <c r="H29" s="20" t="n">
        <v>2.26909435</v>
      </c>
      <c r="I29" s="18" t="s">
        <v>349</v>
      </c>
      <c r="J29" s="20" t="s">
        <v>349</v>
      </c>
      <c r="K29" s="18" t="n">
        <v>0.19972311</v>
      </c>
      <c r="L29" s="20" t="n">
        <v>0.15347317</v>
      </c>
      <c r="M29" s="18" t="n">
        <v>0</v>
      </c>
      <c r="N29" s="20" t="n">
        <v>0</v>
      </c>
      <c r="O29" s="18" t="n">
        <v>0</v>
      </c>
      <c r="P29" s="20" t="n">
        <v>0</v>
      </c>
      <c r="Q29" s="18" t="n">
        <v>0.47385028</v>
      </c>
      <c r="R29" s="20" t="n">
        <v>0.32354596</v>
      </c>
    </row>
    <row r="30" spans="1:18">
      <c r="A30" s="15" t="s">
        <v>372</v>
      </c>
      <c r="B30" s="17" t="n">
        <v>4520</v>
      </c>
      <c r="C30" s="18">
        <f>(3947.0/B30*100)</f>
        <v/>
      </c>
      <c r="D30" s="19" t="n">
        <v>573</v>
      </c>
      <c r="E30" s="18" t="n">
        <v>38.30823468</v>
      </c>
      <c r="F30" s="20" t="n">
        <v>1.83863194</v>
      </c>
      <c r="G30" s="18" t="n">
        <v>60.74683239</v>
      </c>
      <c r="H30" s="20" t="n">
        <v>1.93789103</v>
      </c>
      <c r="I30" s="18" t="s">
        <v>349</v>
      </c>
      <c r="J30" s="20" t="s">
        <v>349</v>
      </c>
      <c r="K30" s="18" t="n">
        <v>0.1583649</v>
      </c>
      <c r="L30" s="20" t="n">
        <v>0.16082575</v>
      </c>
      <c r="M30" s="18" t="n">
        <v>0</v>
      </c>
      <c r="N30" s="20" t="n">
        <v>0</v>
      </c>
      <c r="O30" s="18" t="n">
        <v>0</v>
      </c>
      <c r="P30" s="20" t="n">
        <v>0</v>
      </c>
      <c r="Q30" s="18" t="n">
        <v>0.78656803</v>
      </c>
      <c r="R30" s="20" t="n">
        <v>0.39268346</v>
      </c>
    </row>
    <row r="31" spans="1:18">
      <c r="A31" s="15" t="s">
        <v>373</v>
      </c>
      <c r="B31" s="17" t="n">
        <v>5456</v>
      </c>
      <c r="C31" s="18">
        <f>(4810.0/B31*100)</f>
        <v/>
      </c>
      <c r="D31" s="19" t="n">
        <v>646</v>
      </c>
      <c r="E31" s="18" t="n">
        <v>35.74656987</v>
      </c>
      <c r="F31" s="20" t="n">
        <v>1.97101054</v>
      </c>
      <c r="G31" s="18" t="n">
        <v>62.56186374</v>
      </c>
      <c r="H31" s="20" t="n">
        <v>1.96865035</v>
      </c>
      <c r="I31" s="18" t="s">
        <v>349</v>
      </c>
      <c r="J31" s="20" t="s">
        <v>349</v>
      </c>
      <c r="K31" s="18" t="n">
        <v>0.5849579499999999</v>
      </c>
      <c r="L31" s="20" t="n">
        <v>0.28529303</v>
      </c>
      <c r="M31" s="18" t="n">
        <v>0</v>
      </c>
      <c r="N31" s="20" t="n">
        <v>0</v>
      </c>
      <c r="O31" s="18" t="n">
        <v>0</v>
      </c>
      <c r="P31" s="20" t="n">
        <v>0</v>
      </c>
      <c r="Q31" s="18" t="n">
        <v>1.10660844</v>
      </c>
      <c r="R31" s="20" t="n">
        <v>0.4172297</v>
      </c>
    </row>
    <row r="32" spans="1:18">
      <c r="A32" s="15" t="s">
        <v>374</v>
      </c>
      <c r="B32" s="17" t="n">
        <v>4478</v>
      </c>
      <c r="C32" s="18">
        <f>(3744.0/B32*100)</f>
        <v/>
      </c>
      <c r="D32" s="19" t="n">
        <v>734</v>
      </c>
      <c r="E32" s="18" t="n">
        <v>49.57703839</v>
      </c>
      <c r="F32" s="20" t="n">
        <v>2.25442348</v>
      </c>
      <c r="G32" s="18" t="n">
        <v>49.64836484</v>
      </c>
      <c r="H32" s="20" t="n">
        <v>2.23142166</v>
      </c>
      <c r="I32" s="18" t="s">
        <v>349</v>
      </c>
      <c r="J32" s="20" t="s">
        <v>349</v>
      </c>
      <c r="K32" s="18" t="n">
        <v>0.1297017</v>
      </c>
      <c r="L32" s="20" t="n">
        <v>0.13529634</v>
      </c>
      <c r="M32" s="18" t="n">
        <v>0</v>
      </c>
      <c r="N32" s="20" t="n">
        <v>0</v>
      </c>
      <c r="O32" s="18" t="n">
        <v>0</v>
      </c>
      <c r="P32" s="20" t="n">
        <v>0</v>
      </c>
      <c r="Q32" s="18" t="n">
        <v>0.64489507</v>
      </c>
      <c r="R32" s="20" t="n">
        <v>0.32643813</v>
      </c>
    </row>
    <row r="33" spans="1:18">
      <c r="A33" s="15" t="s">
        <v>375</v>
      </c>
      <c r="B33" s="17" t="n">
        <v>7325</v>
      </c>
      <c r="C33" s="18">
        <f>(6439.0/B33*100)</f>
        <v/>
      </c>
      <c r="D33" s="19" t="n">
        <v>886</v>
      </c>
      <c r="E33" s="18" t="n">
        <v>29.88835527</v>
      </c>
      <c r="F33" s="20" t="n">
        <v>1.87951727</v>
      </c>
      <c r="G33" s="18" t="n">
        <v>69.23361857</v>
      </c>
      <c r="H33" s="20" t="n">
        <v>1.81886822</v>
      </c>
      <c r="I33" s="18" t="s">
        <v>349</v>
      </c>
      <c r="J33" s="20" t="s">
        <v>349</v>
      </c>
      <c r="K33" s="18" t="n">
        <v>0.8509403</v>
      </c>
      <c r="L33" s="20" t="n">
        <v>0.63507468</v>
      </c>
      <c r="M33" s="18" t="n">
        <v>0</v>
      </c>
      <c r="N33" s="20" t="n">
        <v>0</v>
      </c>
      <c r="O33" s="18" t="n">
        <v>0</v>
      </c>
      <c r="P33" s="20" t="n">
        <v>0</v>
      </c>
      <c r="Q33" s="18" t="n">
        <v>0.02708587</v>
      </c>
      <c r="R33" s="20" t="n">
        <v>0.02728097</v>
      </c>
    </row>
    <row r="34" spans="1:18">
      <c r="A34" s="15" t="s">
        <v>376</v>
      </c>
      <c r="B34" s="17" t="n">
        <v>6350</v>
      </c>
      <c r="C34" s="18">
        <f>(5576.0/B34*100)</f>
        <v/>
      </c>
      <c r="D34" s="19" t="n">
        <v>774</v>
      </c>
      <c r="E34" s="18" t="n">
        <v>47.11182498</v>
      </c>
      <c r="F34" s="20" t="n">
        <v>1.98670417</v>
      </c>
      <c r="G34" s="18" t="n">
        <v>51.86191793</v>
      </c>
      <c r="H34" s="20" t="n">
        <v>1.94194917</v>
      </c>
      <c r="I34" s="18" t="s">
        <v>349</v>
      </c>
      <c r="J34" s="20" t="s">
        <v>349</v>
      </c>
      <c r="K34" s="18" t="n">
        <v>0</v>
      </c>
      <c r="L34" s="20" t="n">
        <v>0</v>
      </c>
      <c r="M34" s="18" t="n">
        <v>0</v>
      </c>
      <c r="N34" s="20" t="n">
        <v>0</v>
      </c>
      <c r="O34" s="18" t="n">
        <v>0</v>
      </c>
      <c r="P34" s="20" t="n">
        <v>0</v>
      </c>
      <c r="Q34" s="18" t="n">
        <v>1.02625709</v>
      </c>
      <c r="R34" s="20" t="n">
        <v>0.42154421</v>
      </c>
    </row>
    <row r="35" spans="1:18">
      <c r="A35" s="15" t="s">
        <v>377</v>
      </c>
      <c r="B35" s="17" t="n">
        <v>6406</v>
      </c>
      <c r="C35" s="18">
        <f>(5618.0/B35*100)</f>
        <v/>
      </c>
      <c r="D35" s="19" t="n">
        <v>788</v>
      </c>
      <c r="E35" s="18" t="n">
        <v>36.5252189</v>
      </c>
      <c r="F35" s="20" t="n">
        <v>2.12220559</v>
      </c>
      <c r="G35" s="18" t="n">
        <v>62.98882564</v>
      </c>
      <c r="H35" s="20" t="n">
        <v>2.12832996</v>
      </c>
      <c r="I35" s="18" t="s">
        <v>349</v>
      </c>
      <c r="J35" s="20" t="s">
        <v>349</v>
      </c>
      <c r="K35" s="18" t="n">
        <v>0.05100437</v>
      </c>
      <c r="L35" s="20" t="n">
        <v>0.05136589</v>
      </c>
      <c r="M35" s="18" t="n">
        <v>0</v>
      </c>
      <c r="N35" s="20" t="n">
        <v>0</v>
      </c>
      <c r="O35" s="18" t="n">
        <v>0</v>
      </c>
      <c r="P35" s="20" t="n">
        <v>0</v>
      </c>
      <c r="Q35" s="18" t="n">
        <v>0.43495108</v>
      </c>
      <c r="R35" s="20" t="n">
        <v>0.26519254</v>
      </c>
    </row>
    <row r="36" spans="1:18">
      <c r="A36" s="15" t="s">
        <v>378</v>
      </c>
      <c r="B36" s="17" t="n">
        <v>6736</v>
      </c>
      <c r="C36" s="18">
        <f>(5912.0/B36*100)</f>
        <v/>
      </c>
      <c r="D36" s="19" t="n">
        <v>824</v>
      </c>
      <c r="E36" s="18" t="n">
        <v>35.5004442</v>
      </c>
      <c r="F36" s="20" t="n">
        <v>1.76813739</v>
      </c>
      <c r="G36" s="18" t="n">
        <v>63.67953366</v>
      </c>
      <c r="H36" s="20" t="n">
        <v>1.75196351</v>
      </c>
      <c r="I36" s="18" t="s">
        <v>349</v>
      </c>
      <c r="J36" s="20" t="s">
        <v>349</v>
      </c>
      <c r="K36" s="18" t="n">
        <v>0.32522404</v>
      </c>
      <c r="L36" s="20" t="n">
        <v>0.21914449</v>
      </c>
      <c r="M36" s="18" t="n">
        <v>0</v>
      </c>
      <c r="N36" s="20" t="n">
        <v>0</v>
      </c>
      <c r="O36" s="18" t="n">
        <v>0</v>
      </c>
      <c r="P36" s="20" t="n">
        <v>0</v>
      </c>
      <c r="Q36" s="18" t="n">
        <v>0.49479809</v>
      </c>
      <c r="R36" s="20" t="n">
        <v>0.22822759</v>
      </c>
    </row>
    <row r="37" spans="1:18">
      <c r="A37" s="15" t="s">
        <v>379</v>
      </c>
      <c r="B37" s="17" t="n">
        <v>5458</v>
      </c>
      <c r="C37" s="18">
        <f>(4779.0/B37*100)</f>
        <v/>
      </c>
      <c r="D37" s="19" t="n">
        <v>679</v>
      </c>
      <c r="E37" s="18" t="n">
        <v>34.30897115</v>
      </c>
      <c r="F37" s="20" t="n">
        <v>1.83051035</v>
      </c>
      <c r="G37" s="18" t="n">
        <v>63.76377556</v>
      </c>
      <c r="H37" s="20" t="n">
        <v>1.92631435</v>
      </c>
      <c r="I37" s="18" t="s">
        <v>349</v>
      </c>
      <c r="J37" s="20" t="s">
        <v>349</v>
      </c>
      <c r="K37" s="18" t="n">
        <v>0.28082153</v>
      </c>
      <c r="L37" s="20" t="n">
        <v>0.19746843</v>
      </c>
      <c r="M37" s="18" t="n">
        <v>0</v>
      </c>
      <c r="N37" s="20" t="n">
        <v>0</v>
      </c>
      <c r="O37" s="18" t="n">
        <v>0</v>
      </c>
      <c r="P37" s="20" t="n">
        <v>0</v>
      </c>
      <c r="Q37" s="18" t="n">
        <v>1.64643177</v>
      </c>
      <c r="R37" s="20" t="n">
        <v>0.56910846</v>
      </c>
    </row>
    <row r="38" spans="1:18">
      <c r="A38" s="15" t="s">
        <v>380</v>
      </c>
      <c r="B38" s="17" t="n">
        <v>5860</v>
      </c>
      <c r="C38" s="18">
        <f>(4877.0/B38*100)</f>
        <v/>
      </c>
      <c r="D38" s="19" t="n">
        <v>983</v>
      </c>
      <c r="E38" s="18" t="n">
        <v>37.81004498</v>
      </c>
      <c r="F38" s="20" t="n">
        <v>1.72261523</v>
      </c>
      <c r="G38" s="18" t="n">
        <v>61.01469215</v>
      </c>
      <c r="H38" s="20" t="n">
        <v>1.75277616</v>
      </c>
      <c r="I38" s="18" t="s">
        <v>349</v>
      </c>
      <c r="J38" s="20" t="s">
        <v>349</v>
      </c>
      <c r="K38" s="18" t="n">
        <v>0.32982428</v>
      </c>
      <c r="L38" s="20" t="n">
        <v>0.17593466</v>
      </c>
      <c r="M38" s="18" t="n">
        <v>0</v>
      </c>
      <c r="N38" s="20" t="n">
        <v>0</v>
      </c>
      <c r="O38" s="18" t="n">
        <v>0</v>
      </c>
      <c r="P38" s="20" t="n">
        <v>0</v>
      </c>
      <c r="Q38" s="18" t="n">
        <v>0.8454385800000001</v>
      </c>
      <c r="R38" s="20" t="n">
        <v>0.4069688</v>
      </c>
    </row>
    <row r="39" spans="1:18">
      <c r="A39" s="15" t="s">
        <v>381</v>
      </c>
      <c r="B39" s="17" t="n">
        <v>5895</v>
      </c>
      <c r="C39" s="18">
        <f>(5199.0/B39*100)</f>
        <v/>
      </c>
      <c r="D39" s="19" t="n">
        <v>696</v>
      </c>
      <c r="E39" s="18" t="n">
        <v>48.16081635</v>
      </c>
      <c r="F39" s="20" t="n">
        <v>2.18175249</v>
      </c>
      <c r="G39" s="18" t="n">
        <v>49.99393562</v>
      </c>
      <c r="H39" s="20" t="n">
        <v>2.28187919</v>
      </c>
      <c r="I39" s="18" t="s">
        <v>349</v>
      </c>
      <c r="J39" s="20" t="s">
        <v>349</v>
      </c>
      <c r="K39" s="18" t="n">
        <v>0.86736754</v>
      </c>
      <c r="L39" s="20" t="n">
        <v>0.33393223</v>
      </c>
      <c r="M39" s="18" t="n">
        <v>0</v>
      </c>
      <c r="N39" s="20" t="n">
        <v>0</v>
      </c>
      <c r="O39" s="18" t="n">
        <v>0</v>
      </c>
      <c r="P39" s="20" t="n">
        <v>0</v>
      </c>
      <c r="Q39" s="18" t="n">
        <v>0.9778805</v>
      </c>
      <c r="R39" s="20" t="n">
        <v>0.30959664</v>
      </c>
    </row>
    <row r="40" spans="1:18">
      <c r="A40" s="15" t="s">
        <v>382</v>
      </c>
      <c r="B40" s="17" t="n">
        <v>14157</v>
      </c>
      <c r="C40" s="18">
        <f>(12421.0/B40*100)</f>
        <v/>
      </c>
      <c r="D40" s="19" t="n">
        <v>1736</v>
      </c>
      <c r="E40" s="18" t="n">
        <v>38.38652172</v>
      </c>
      <c r="F40" s="20" t="n">
        <v>1.80889848</v>
      </c>
      <c r="G40" s="18" t="n">
        <v>60.19125879</v>
      </c>
      <c r="H40" s="20" t="n">
        <v>1.77275373</v>
      </c>
      <c r="I40" s="18" t="s">
        <v>349</v>
      </c>
      <c r="J40" s="20" t="s">
        <v>349</v>
      </c>
      <c r="K40" s="18" t="n">
        <v>0.2953258</v>
      </c>
      <c r="L40" s="20" t="n">
        <v>0.16663821</v>
      </c>
      <c r="M40" s="18" t="n">
        <v>0</v>
      </c>
      <c r="N40" s="20" t="n">
        <v>0</v>
      </c>
      <c r="O40" s="18" t="n">
        <v>0</v>
      </c>
      <c r="P40" s="20" t="n">
        <v>0</v>
      </c>
      <c r="Q40" s="18" t="n">
        <v>1.12689368</v>
      </c>
      <c r="R40" s="20" t="n">
        <v>0.42805101</v>
      </c>
    </row>
    <row r="41" spans="1:18">
      <c r="A41" s="15" t="s">
        <v>383</v>
      </c>
      <c r="B41" s="17" t="n">
        <v>5712</v>
      </c>
      <c r="C41" s="18">
        <f>(4987.0/B41*100)</f>
        <v/>
      </c>
      <c r="D41" s="19" t="n">
        <v>725</v>
      </c>
      <c r="E41" s="18" t="n">
        <v>49.22399161</v>
      </c>
      <c r="F41" s="20" t="n">
        <v>1.61844861</v>
      </c>
      <c r="G41" s="18" t="n">
        <v>49.94162235</v>
      </c>
      <c r="H41" s="20" t="n">
        <v>1.56106982</v>
      </c>
      <c r="I41" s="18" t="s">
        <v>349</v>
      </c>
      <c r="J41" s="20" t="s">
        <v>349</v>
      </c>
      <c r="K41" s="18" t="n">
        <v>0.1058204</v>
      </c>
      <c r="L41" s="20" t="n">
        <v>0.10962398</v>
      </c>
      <c r="M41" s="18" t="n">
        <v>0</v>
      </c>
      <c r="N41" s="20" t="n">
        <v>0</v>
      </c>
      <c r="O41" s="18" t="n">
        <v>0</v>
      </c>
      <c r="P41" s="20" t="n">
        <v>0</v>
      </c>
      <c r="Q41" s="18" t="n">
        <v>0.72856565</v>
      </c>
      <c r="R41" s="20" t="n">
        <v>0.5106522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(20642.0/B46*100)</f>
        <v/>
      </c>
      <c r="D46" s="19" t="n">
        <v>2499</v>
      </c>
      <c r="E46" s="18" t="n">
        <v>54.26148764</v>
      </c>
      <c r="F46" s="20" t="n">
        <v>1.31519472</v>
      </c>
      <c r="G46" s="18" t="n">
        <v>43.12343362</v>
      </c>
      <c r="H46" s="20" t="n">
        <v>1.38476721</v>
      </c>
      <c r="I46" s="18" t="s">
        <v>349</v>
      </c>
      <c r="J46" s="20" t="s">
        <v>349</v>
      </c>
      <c r="K46" s="18" t="n">
        <v>0.9972226</v>
      </c>
      <c r="L46" s="20" t="n">
        <v>0.32656051</v>
      </c>
      <c r="M46" s="18" t="n">
        <v>0</v>
      </c>
      <c r="N46" s="20" t="n">
        <v>0</v>
      </c>
      <c r="O46" s="18" t="n">
        <v>0</v>
      </c>
      <c r="P46" s="20" t="n">
        <v>0</v>
      </c>
      <c r="Q46" s="18" t="n">
        <v>1.61785614</v>
      </c>
      <c r="R46" s="20" t="n">
        <v>0.33468773</v>
      </c>
    </row>
    <row r="47" spans="1:18">
      <c r="A47" s="15" t="s">
        <v>389</v>
      </c>
      <c r="B47" s="17" t="n">
        <v>5928</v>
      </c>
      <c r="C47" s="18">
        <f>(5187.0/B47*100)</f>
        <v/>
      </c>
      <c r="D47" s="19" t="n">
        <v>741</v>
      </c>
      <c r="E47" s="18" t="n">
        <v>43.67706501</v>
      </c>
      <c r="F47" s="20" t="n">
        <v>1.93885457</v>
      </c>
      <c r="G47" s="18" t="n">
        <v>54.9541536</v>
      </c>
      <c r="H47" s="20" t="n">
        <v>2.04305391</v>
      </c>
      <c r="I47" s="18" t="s">
        <v>349</v>
      </c>
      <c r="J47" s="20" t="s">
        <v>349</v>
      </c>
      <c r="K47" s="18" t="n">
        <v>0.41064953</v>
      </c>
      <c r="L47" s="20" t="n">
        <v>0.22350281</v>
      </c>
      <c r="M47" s="18" t="n">
        <v>0</v>
      </c>
      <c r="N47" s="20" t="n">
        <v>0</v>
      </c>
      <c r="O47" s="18" t="n">
        <v>0</v>
      </c>
      <c r="P47" s="20" t="n">
        <v>0</v>
      </c>
      <c r="Q47" s="18" t="n">
        <v>0.9581318599999999</v>
      </c>
      <c r="R47" s="20" t="n">
        <v>0.48864651</v>
      </c>
    </row>
    <row r="48" spans="1:18">
      <c r="A48" s="15" t="s">
        <v>390</v>
      </c>
      <c r="B48" s="17" t="n">
        <v>9841</v>
      </c>
      <c r="C48" s="18">
        <f>(8647.0/B48*100)</f>
        <v/>
      </c>
      <c r="D48" s="19" t="n">
        <v>1194</v>
      </c>
      <c r="E48" s="18" t="n">
        <v>20.58753953</v>
      </c>
      <c r="F48" s="20" t="n">
        <v>1.43720416</v>
      </c>
      <c r="G48" s="18" t="n">
        <v>78.58785066999999</v>
      </c>
      <c r="H48" s="20" t="n">
        <v>1.44094836</v>
      </c>
      <c r="I48" s="18" t="s">
        <v>349</v>
      </c>
      <c r="J48" s="20" t="s">
        <v>349</v>
      </c>
      <c r="K48" s="18" t="n">
        <v>0.42409579</v>
      </c>
      <c r="L48" s="20" t="n">
        <v>0.25762066</v>
      </c>
      <c r="M48" s="18" t="n">
        <v>0</v>
      </c>
      <c r="N48" s="20" t="n">
        <v>0</v>
      </c>
      <c r="O48" s="18" t="n">
        <v>0</v>
      </c>
      <c r="P48" s="20" t="n">
        <v>0</v>
      </c>
      <c r="Q48" s="18" t="n">
        <v>0.400514</v>
      </c>
      <c r="R48" s="20" t="n">
        <v>0.27387306</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(10404.0/B50*100)</f>
        <v/>
      </c>
      <c r="D50" s="19" t="n">
        <v>1391</v>
      </c>
      <c r="E50" s="18" t="n">
        <v>49.20753267</v>
      </c>
      <c r="F50" s="20" t="n">
        <v>1.93919291</v>
      </c>
      <c r="G50" s="18" t="n">
        <v>49.11946659</v>
      </c>
      <c r="H50" s="20" t="n">
        <v>1.99295106</v>
      </c>
      <c r="I50" s="18" t="s">
        <v>349</v>
      </c>
      <c r="J50" s="20" t="s">
        <v>349</v>
      </c>
      <c r="K50" s="18" t="n">
        <v>1.24259357</v>
      </c>
      <c r="L50" s="20" t="n">
        <v>0.37784091</v>
      </c>
      <c r="M50" s="18" t="n">
        <v>0</v>
      </c>
      <c r="N50" s="20" t="n">
        <v>0</v>
      </c>
      <c r="O50" s="18" t="n">
        <v>0</v>
      </c>
      <c r="P50" s="20" t="n">
        <v>0</v>
      </c>
      <c r="Q50" s="18" t="n">
        <v>0.43040718</v>
      </c>
      <c r="R50" s="20" t="n">
        <v>0.25062706</v>
      </c>
    </row>
    <row r="51" spans="1:18">
      <c r="A51" s="15" t="s">
        <v>393</v>
      </c>
      <c r="B51" s="17" t="n">
        <v>6866</v>
      </c>
      <c r="C51" s="18">
        <f>(6134.0/B51*100)</f>
        <v/>
      </c>
      <c r="D51" s="19" t="n">
        <v>732</v>
      </c>
      <c r="E51" s="18" t="n">
        <v>53.40373389</v>
      </c>
      <c r="F51" s="20" t="n">
        <v>2.31526186</v>
      </c>
      <c r="G51" s="18" t="n">
        <v>45.50261389</v>
      </c>
      <c r="H51" s="20" t="n">
        <v>2.30273352</v>
      </c>
      <c r="I51" s="18" t="s">
        <v>349</v>
      </c>
      <c r="J51" s="20" t="s">
        <v>349</v>
      </c>
      <c r="K51" s="18" t="n">
        <v>0.5739117</v>
      </c>
      <c r="L51" s="20" t="n">
        <v>0.34583314</v>
      </c>
      <c r="M51" s="18" t="n">
        <v>0</v>
      </c>
      <c r="N51" s="20" t="n">
        <v>0</v>
      </c>
      <c r="O51" s="18" t="n">
        <v>0</v>
      </c>
      <c r="P51" s="20" t="n">
        <v>0</v>
      </c>
      <c r="Q51" s="18" t="n">
        <v>0.51974052</v>
      </c>
      <c r="R51" s="20" t="n">
        <v>0.32643229</v>
      </c>
    </row>
    <row r="52" spans="1:18">
      <c r="A52" s="15" t="s">
        <v>394</v>
      </c>
      <c r="B52" s="17" t="n">
        <v>5809</v>
      </c>
      <c r="C52" s="18">
        <f>(5083.0/B52*100)</f>
        <v/>
      </c>
      <c r="D52" s="19" t="n">
        <v>726</v>
      </c>
      <c r="E52" s="18" t="n">
        <v>45.98425657</v>
      </c>
      <c r="F52" s="20" t="n">
        <v>2.33066572</v>
      </c>
      <c r="G52" s="18" t="n">
        <v>53.10505231</v>
      </c>
      <c r="H52" s="20" t="n">
        <v>2.32366526</v>
      </c>
      <c r="I52" s="18" t="s">
        <v>349</v>
      </c>
      <c r="J52" s="20" t="s">
        <v>349</v>
      </c>
      <c r="K52" s="18" t="n">
        <v>0.28297319</v>
      </c>
      <c r="L52" s="20" t="n">
        <v>0.22097953</v>
      </c>
      <c r="M52" s="18" t="n">
        <v>0</v>
      </c>
      <c r="N52" s="20" t="n">
        <v>0</v>
      </c>
      <c r="O52" s="18" t="n">
        <v>0</v>
      </c>
      <c r="P52" s="20" t="n">
        <v>0</v>
      </c>
      <c r="Q52" s="18" t="n">
        <v>0.62771793</v>
      </c>
      <c r="R52" s="20" t="n">
        <v>0.27677977</v>
      </c>
    </row>
    <row r="53" spans="1:18">
      <c r="A53" s="15" t="s">
        <v>395</v>
      </c>
      <c r="B53" s="17" t="n">
        <v>5571</v>
      </c>
      <c r="C53" s="18">
        <f>(4887.0/B53*100)</f>
        <v/>
      </c>
      <c r="D53" s="19" t="n">
        <v>684</v>
      </c>
      <c r="E53" s="18" t="n">
        <v>49.66423639</v>
      </c>
      <c r="F53" s="20" t="n">
        <v>2.06216768</v>
      </c>
      <c r="G53" s="18" t="n">
        <v>49.29397568</v>
      </c>
      <c r="H53" s="20" t="n">
        <v>2.02954098</v>
      </c>
      <c r="I53" s="18" t="s">
        <v>349</v>
      </c>
      <c r="J53" s="20" t="s">
        <v>349</v>
      </c>
      <c r="K53" s="18" t="n">
        <v>0.09715368000000001</v>
      </c>
      <c r="L53" s="20" t="n">
        <v>0.0976421</v>
      </c>
      <c r="M53" s="18" t="n">
        <v>0</v>
      </c>
      <c r="N53" s="20" t="n">
        <v>0</v>
      </c>
      <c r="O53" s="18" t="n">
        <v>0</v>
      </c>
      <c r="P53" s="20" t="n">
        <v>0</v>
      </c>
      <c r="Q53" s="18" t="n">
        <v>0.94463425</v>
      </c>
      <c r="R53" s="20" t="n">
        <v>0.3526222</v>
      </c>
    </row>
    <row r="54" spans="1:18">
      <c r="A54" s="15" t="s">
        <v>396</v>
      </c>
      <c r="B54" s="17" t="n">
        <v>4740</v>
      </c>
      <c r="C54" s="18">
        <f>(3954.0/B54*100)</f>
        <v/>
      </c>
      <c r="D54" s="19" t="n">
        <v>786</v>
      </c>
      <c r="E54" s="18" t="n">
        <v>56.25664241</v>
      </c>
      <c r="F54" s="20" t="n">
        <v>1.96574606</v>
      </c>
      <c r="G54" s="18" t="n">
        <v>32.93445788</v>
      </c>
      <c r="H54" s="20" t="n">
        <v>2.01260532</v>
      </c>
      <c r="I54" s="18" t="s">
        <v>349</v>
      </c>
      <c r="J54" s="20" t="s">
        <v>349</v>
      </c>
      <c r="K54" s="18" t="n">
        <v>9.07018822</v>
      </c>
      <c r="L54" s="20" t="n">
        <v>1.10415453</v>
      </c>
      <c r="M54" s="18" t="n">
        <v>0</v>
      </c>
      <c r="N54" s="20" t="n">
        <v>0</v>
      </c>
      <c r="O54" s="18" t="n">
        <v>0</v>
      </c>
      <c r="P54" s="20" t="n">
        <v>0</v>
      </c>
      <c r="Q54" s="18" t="n">
        <v>1.73871149</v>
      </c>
      <c r="R54" s="20" t="n">
        <v>0.75574814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(4703.0/B56*100)</f>
        <v/>
      </c>
      <c r="D56" s="19" t="n">
        <v>656</v>
      </c>
      <c r="E56" s="18" t="n">
        <v>19.50006935</v>
      </c>
      <c r="F56" s="20" t="n">
        <v>1.40191249</v>
      </c>
      <c r="G56" s="18" t="n">
        <v>80.21132039</v>
      </c>
      <c r="H56" s="20" t="n">
        <v>1.44907058</v>
      </c>
      <c r="I56" s="18" t="s">
        <v>349</v>
      </c>
      <c r="J56" s="20" t="s">
        <v>349</v>
      </c>
      <c r="K56" s="18" t="n">
        <v>0.12683422</v>
      </c>
      <c r="L56" s="20" t="n">
        <v>0.12908809</v>
      </c>
      <c r="M56" s="18" t="n">
        <v>0</v>
      </c>
      <c r="N56" s="20" t="n">
        <v>0</v>
      </c>
      <c r="O56" s="18" t="n">
        <v>0</v>
      </c>
      <c r="P56" s="20" t="n">
        <v>0</v>
      </c>
      <c r="Q56" s="18" t="n">
        <v>0.16177604</v>
      </c>
      <c r="R56" s="20" t="n">
        <v>0.16904465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(5716.0/B61*100)</f>
        <v/>
      </c>
      <c r="D61" s="19" t="n">
        <v>809</v>
      </c>
      <c r="E61" s="18" t="n">
        <v>46.18039563</v>
      </c>
      <c r="F61" s="20" t="n">
        <v>1.91116071</v>
      </c>
      <c r="G61" s="18" t="n">
        <v>52.96224803</v>
      </c>
      <c r="H61" s="20" t="n">
        <v>1.97883405</v>
      </c>
      <c r="I61" s="18" t="s">
        <v>349</v>
      </c>
      <c r="J61" s="20" t="s">
        <v>349</v>
      </c>
      <c r="K61" s="18" t="n">
        <v>0.36157536</v>
      </c>
      <c r="L61" s="20" t="n">
        <v>0.35413116</v>
      </c>
      <c r="M61" s="18" t="n">
        <v>0</v>
      </c>
      <c r="N61" s="20" t="n">
        <v>0</v>
      </c>
      <c r="O61" s="18" t="n">
        <v>0</v>
      </c>
      <c r="P61" s="20" t="n">
        <v>0</v>
      </c>
      <c r="Q61" s="18" t="n">
        <v>0.49578099</v>
      </c>
      <c r="R61" s="20" t="n">
        <v>0.29694071</v>
      </c>
    </row>
    <row r="62" spans="1:18">
      <c r="A62" s="15" t="s">
        <v>404</v>
      </c>
      <c r="B62" s="17" t="n">
        <v>4476</v>
      </c>
      <c r="C62" s="18">
        <f>(3925.0/B62*100)</f>
        <v/>
      </c>
      <c r="D62" s="19" t="n">
        <v>551</v>
      </c>
      <c r="E62" s="18" t="n">
        <v>16.18003818</v>
      </c>
      <c r="F62" s="20" t="n">
        <v>1.78046075</v>
      </c>
      <c r="G62" s="18" t="n">
        <v>83.81996182</v>
      </c>
      <c r="H62" s="20" t="n">
        <v>1.78046075</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(4980.0/B66*100)</f>
        <v/>
      </c>
      <c r="D66" s="19" t="n">
        <v>685</v>
      </c>
      <c r="E66" s="18" t="n">
        <v>53.68822692</v>
      </c>
      <c r="F66" s="20" t="n">
        <v>2.1476619</v>
      </c>
      <c r="G66" s="18" t="n">
        <v>42.9159031</v>
      </c>
      <c r="H66" s="20" t="n">
        <v>2.04588193</v>
      </c>
      <c r="I66" s="18" t="s">
        <v>349</v>
      </c>
      <c r="J66" s="20" t="s">
        <v>349</v>
      </c>
      <c r="K66" s="18" t="n">
        <v>0.53643695</v>
      </c>
      <c r="L66" s="20" t="n">
        <v>0.26880672</v>
      </c>
      <c r="M66" s="18" t="n">
        <v>0</v>
      </c>
      <c r="N66" s="20" t="n">
        <v>0</v>
      </c>
      <c r="O66" s="18" t="n">
        <v>0</v>
      </c>
      <c r="P66" s="20" t="n">
        <v>0</v>
      </c>
      <c r="Q66" s="18" t="n">
        <v>2.85943303</v>
      </c>
      <c r="R66" s="20" t="n">
        <v>0.66715554</v>
      </c>
    </row>
    <row r="67" spans="1:18">
      <c r="A67" s="15" t="s">
        <v>409</v>
      </c>
      <c r="B67" s="17" t="n">
        <v>6971</v>
      </c>
      <c r="C67" s="18">
        <f>(6162.0/B67*100)</f>
        <v/>
      </c>
      <c r="D67" s="19" t="n">
        <v>809</v>
      </c>
      <c r="E67" s="18" t="n">
        <v>55.85987895</v>
      </c>
      <c r="F67" s="20" t="n">
        <v>1.71412004</v>
      </c>
      <c r="G67" s="18" t="n">
        <v>43.01769496</v>
      </c>
      <c r="H67" s="20" t="n">
        <v>1.77633224</v>
      </c>
      <c r="I67" s="18" t="s">
        <v>349</v>
      </c>
      <c r="J67" s="20" t="s">
        <v>349</v>
      </c>
      <c r="K67" s="18" t="n">
        <v>0.42136248</v>
      </c>
      <c r="L67" s="20" t="n">
        <v>0.33924409</v>
      </c>
      <c r="M67" s="18" t="n">
        <v>0</v>
      </c>
      <c r="N67" s="20" t="n">
        <v>0</v>
      </c>
      <c r="O67" s="18" t="n">
        <v>0</v>
      </c>
      <c r="P67" s="20" t="n">
        <v>0</v>
      </c>
      <c r="Q67" s="18" t="n">
        <v>0.70106362</v>
      </c>
      <c r="R67" s="20" t="n">
        <v>0.30189166</v>
      </c>
    </row>
    <row r="68" spans="1:18">
      <c r="A68" s="15" t="s">
        <v>410</v>
      </c>
      <c r="B68" s="17" t="n">
        <v>12083</v>
      </c>
      <c r="C68" s="18">
        <f>(10100.0/B68*100)</f>
        <v/>
      </c>
      <c r="D68" s="19" t="n">
        <v>1983</v>
      </c>
      <c r="E68" s="18" t="n">
        <v>52.17787107</v>
      </c>
      <c r="F68" s="20" t="n">
        <v>1.10102849</v>
      </c>
      <c r="G68" s="18" t="n">
        <v>44.52581868</v>
      </c>
      <c r="H68" s="20" t="n">
        <v>1.13662051</v>
      </c>
      <c r="I68" s="18" t="s">
        <v>349</v>
      </c>
      <c r="J68" s="20" t="s">
        <v>349</v>
      </c>
      <c r="K68" s="18" t="n">
        <v>1.89821096</v>
      </c>
      <c r="L68" s="20" t="n">
        <v>0.28175572</v>
      </c>
      <c r="M68" s="18" t="n">
        <v>0</v>
      </c>
      <c r="N68" s="20" t="n">
        <v>0</v>
      </c>
      <c r="O68" s="18" t="n">
        <v>0</v>
      </c>
      <c r="P68" s="20" t="n">
        <v>0</v>
      </c>
      <c r="Q68" s="18" t="n">
        <v>1.39809929</v>
      </c>
      <c r="R68" s="20" t="n">
        <v>0.23692777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(5324.0/B70*100)</f>
        <v/>
      </c>
      <c r="D70" s="19" t="n">
        <v>712</v>
      </c>
      <c r="E70" s="18" t="n">
        <v>39.04125648</v>
      </c>
      <c r="F70" s="20" t="n">
        <v>2.0644019</v>
      </c>
      <c r="G70" s="18" t="n">
        <v>60.12599929</v>
      </c>
      <c r="H70" s="20" t="n">
        <v>2.05022843</v>
      </c>
      <c r="I70" s="18" t="s">
        <v>349</v>
      </c>
      <c r="J70" s="20" t="s">
        <v>349</v>
      </c>
      <c r="K70" s="18" t="n">
        <v>0.26001825</v>
      </c>
      <c r="L70" s="20" t="n">
        <v>0.14950456</v>
      </c>
      <c r="M70" s="18" t="n">
        <v>0</v>
      </c>
      <c r="N70" s="20" t="n">
        <v>0</v>
      </c>
      <c r="O70" s="18" t="n">
        <v>0</v>
      </c>
      <c r="P70" s="20" t="n">
        <v>0</v>
      </c>
      <c r="Q70" s="18" t="n">
        <v>0.57272597</v>
      </c>
      <c r="R70" s="20" t="n">
        <v>0.23985125</v>
      </c>
    </row>
    <row r="71" spans="1:18">
      <c r="A71" s="15" t="s">
        <v>413</v>
      </c>
      <c r="B71" s="17" t="n">
        <v>6115</v>
      </c>
      <c r="C71" s="18">
        <f>(5379.0/B71*100)</f>
        <v/>
      </c>
      <c r="D71" s="19" t="n">
        <v>736</v>
      </c>
      <c r="E71" s="18" t="n">
        <v>26.05254859</v>
      </c>
      <c r="F71" s="20" t="n">
        <v>1.46765681</v>
      </c>
      <c r="G71" s="18" t="n">
        <v>73.69152153</v>
      </c>
      <c r="H71" s="20" t="n">
        <v>1.44156949</v>
      </c>
      <c r="I71" s="18" t="s">
        <v>349</v>
      </c>
      <c r="J71" s="20" t="s">
        <v>349</v>
      </c>
      <c r="K71" s="18" t="n">
        <v>0.16111958</v>
      </c>
      <c r="L71" s="20" t="n">
        <v>0.16096991</v>
      </c>
      <c r="M71" s="18" t="n">
        <v>0</v>
      </c>
      <c r="N71" s="20" t="n">
        <v>0</v>
      </c>
      <c r="O71" s="18" t="n">
        <v>0</v>
      </c>
      <c r="P71" s="20" t="n">
        <v>0</v>
      </c>
      <c r="Q71" s="18" t="n">
        <v>0.09481029000000001</v>
      </c>
      <c r="R71" s="20" t="n">
        <v>0.09556637</v>
      </c>
    </row>
    <row r="72" spans="1:18">
      <c r="A72" s="15" t="s">
        <v>414</v>
      </c>
      <c r="B72" s="17" t="n">
        <v>7708</v>
      </c>
      <c r="C72" s="18">
        <f>(6752.0/B72*100)</f>
        <v/>
      </c>
      <c r="D72" s="19" t="n">
        <v>956</v>
      </c>
      <c r="E72" s="18" t="n">
        <v>18.05202705</v>
      </c>
      <c r="F72" s="20" t="n">
        <v>1.44951082</v>
      </c>
      <c r="G72" s="18" t="n">
        <v>81.61693981000001</v>
      </c>
      <c r="H72" s="20" t="n">
        <v>1.45921815</v>
      </c>
      <c r="I72" s="18" t="s">
        <v>349</v>
      </c>
      <c r="J72" s="20" t="s">
        <v>349</v>
      </c>
      <c r="K72" s="18" t="n">
        <v>0</v>
      </c>
      <c r="L72" s="20" t="n">
        <v>0</v>
      </c>
      <c r="M72" s="18" t="n">
        <v>0</v>
      </c>
      <c r="N72" s="20" t="n">
        <v>0</v>
      </c>
      <c r="O72" s="18" t="n">
        <v>0</v>
      </c>
      <c r="P72" s="20" t="n">
        <v>0</v>
      </c>
      <c r="Q72" s="18" t="n">
        <v>0.33103314</v>
      </c>
      <c r="R72" s="20" t="n">
        <v>0.17987022</v>
      </c>
    </row>
    <row r="73" spans="1:18">
      <c r="A73" s="15" t="s">
        <v>415</v>
      </c>
      <c r="B73" s="17" t="n">
        <v>8249</v>
      </c>
      <c r="C73" s="18">
        <f>(7251.0/B73*100)</f>
        <v/>
      </c>
      <c r="D73" s="19" t="n">
        <v>998</v>
      </c>
      <c r="E73" s="18" t="n">
        <v>46.54222466</v>
      </c>
      <c r="F73" s="20" t="n">
        <v>2.11611288</v>
      </c>
      <c r="G73" s="18" t="n">
        <v>53.31056099</v>
      </c>
      <c r="H73" s="20" t="n">
        <v>2.09732931</v>
      </c>
      <c r="I73" s="18" t="s">
        <v>349</v>
      </c>
      <c r="J73" s="20" t="s">
        <v>349</v>
      </c>
      <c r="K73" s="18" t="n">
        <v>0</v>
      </c>
      <c r="L73" s="20" t="n">
        <v>0</v>
      </c>
      <c r="M73" s="18" t="n">
        <v>0</v>
      </c>
      <c r="N73" s="20" t="n">
        <v>0</v>
      </c>
      <c r="O73" s="18" t="n">
        <v>0</v>
      </c>
      <c r="P73" s="20" t="n">
        <v>0</v>
      </c>
      <c r="Q73" s="18" t="n">
        <v>0.14721436</v>
      </c>
      <c r="R73" s="20" t="n">
        <v>0.14336709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(4761.0/B75*100)</f>
        <v/>
      </c>
      <c r="D75" s="19" t="n">
        <v>614</v>
      </c>
      <c r="E75" s="18" t="n">
        <v>50.09672385</v>
      </c>
      <c r="F75" s="20" t="n">
        <v>2.32838961</v>
      </c>
      <c r="G75" s="18" t="n">
        <v>46.05954369</v>
      </c>
      <c r="H75" s="20" t="n">
        <v>2.14570422</v>
      </c>
      <c r="I75" s="18" t="s">
        <v>349</v>
      </c>
      <c r="J75" s="20" t="s">
        <v>349</v>
      </c>
      <c r="K75" s="18" t="n">
        <v>2.42129941</v>
      </c>
      <c r="L75" s="20" t="n">
        <v>0.73519614</v>
      </c>
      <c r="M75" s="18" t="n">
        <v>0</v>
      </c>
      <c r="N75" s="20" t="n">
        <v>0</v>
      </c>
      <c r="O75" s="18" t="n">
        <v>0</v>
      </c>
      <c r="P75" s="20" t="n">
        <v>0</v>
      </c>
      <c r="Q75" s="18" t="n">
        <v>1.42243305</v>
      </c>
      <c r="R75" s="20" t="n">
        <v>0.56313284</v>
      </c>
    </row>
    <row r="76" spans="1:18">
      <c r="A76" s="15" t="s">
        <v>418</v>
      </c>
      <c r="B76" s="17" t="n">
        <v>14167</v>
      </c>
      <c r="C76" s="18">
        <f>(12478.0/B76*100)</f>
        <v/>
      </c>
      <c r="D76" s="19" t="n">
        <v>1689</v>
      </c>
      <c r="E76" s="18" t="n">
        <v>44.14456592</v>
      </c>
      <c r="F76" s="20" t="n">
        <v>1.63259634</v>
      </c>
      <c r="G76" s="18" t="n">
        <v>54.32482085</v>
      </c>
      <c r="H76" s="20" t="n">
        <v>1.70692124</v>
      </c>
      <c r="I76" s="18" t="s">
        <v>349</v>
      </c>
      <c r="J76" s="20" t="s">
        <v>349</v>
      </c>
      <c r="K76" s="18" t="n">
        <v>0.74610204</v>
      </c>
      <c r="L76" s="20" t="n">
        <v>0.24877167</v>
      </c>
      <c r="M76" s="18" t="n">
        <v>0</v>
      </c>
      <c r="N76" s="20" t="n">
        <v>0</v>
      </c>
      <c r="O76" s="18" t="n">
        <v>0</v>
      </c>
      <c r="P76" s="20" t="n">
        <v>0</v>
      </c>
      <c r="Q76" s="18" t="n">
        <v>0.7845112</v>
      </c>
      <c r="R76" s="20" t="n">
        <v>0.31224131</v>
      </c>
    </row>
    <row r="77" spans="1:18">
      <c r="A77" s="15" t="s">
        <v>419</v>
      </c>
      <c r="B77" s="17" t="n">
        <v>6062</v>
      </c>
      <c r="C77" s="18">
        <f>(5338.0/B77*100)</f>
        <v/>
      </c>
      <c r="D77" s="19" t="n">
        <v>724</v>
      </c>
      <c r="E77" s="18" t="n">
        <v>51.21132097</v>
      </c>
      <c r="F77" s="20" t="n">
        <v>1.89054337</v>
      </c>
      <c r="G77" s="18" t="n">
        <v>46.42900257</v>
      </c>
      <c r="H77" s="20" t="n">
        <v>1.97344331</v>
      </c>
      <c r="I77" s="18" t="s">
        <v>349</v>
      </c>
      <c r="J77" s="20" t="s">
        <v>349</v>
      </c>
      <c r="K77" s="18" t="n">
        <v>1.27002501</v>
      </c>
      <c r="L77" s="20" t="n">
        <v>0.51116097</v>
      </c>
      <c r="M77" s="18" t="n">
        <v>0</v>
      </c>
      <c r="N77" s="20" t="n">
        <v>0</v>
      </c>
      <c r="O77" s="18" t="n">
        <v>0</v>
      </c>
      <c r="P77" s="20" t="n">
        <v>0</v>
      </c>
      <c r="Q77" s="18" t="n">
        <v>1.08965145</v>
      </c>
      <c r="R77" s="20" t="n">
        <v>0.42768555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(7768.0/B81*100)</f>
        <v/>
      </c>
      <c r="D81" s="19" t="n">
        <v>1093</v>
      </c>
      <c r="E81" s="18" t="n">
        <v>41.7771105</v>
      </c>
      <c r="F81" s="20" t="n">
        <v>1.60974607</v>
      </c>
      <c r="G81" s="18" t="n">
        <v>58.0791543</v>
      </c>
      <c r="H81" s="20" t="n">
        <v>1.60616658</v>
      </c>
      <c r="I81" s="18" t="s">
        <v>349</v>
      </c>
      <c r="J81" s="20" t="s">
        <v>349</v>
      </c>
      <c r="K81" s="18" t="n">
        <v>0.14373519</v>
      </c>
      <c r="L81" s="20" t="n">
        <v>0.14297044</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(12765.0/B7*100)</f>
        <v/>
      </c>
      <c r="D7" s="19" t="n">
        <v>1765</v>
      </c>
      <c r="E7" s="18" t="n">
        <v>31.27806216</v>
      </c>
      <c r="F7" s="20" t="n">
        <v>1.39231829</v>
      </c>
      <c r="G7" s="18" t="n">
        <v>62.26632458</v>
      </c>
      <c r="H7" s="20" t="n">
        <v>1.47344342</v>
      </c>
      <c r="I7" s="18" t="s">
        <v>349</v>
      </c>
      <c r="J7" s="20" t="s">
        <v>349</v>
      </c>
      <c r="K7" s="18" t="n">
        <v>0.5966782</v>
      </c>
      <c r="L7" s="20" t="n">
        <v>0.21815465</v>
      </c>
      <c r="M7" s="18" t="n">
        <v>0</v>
      </c>
      <c r="N7" s="20" t="n">
        <v>0</v>
      </c>
      <c r="O7" s="18" t="n">
        <v>0</v>
      </c>
      <c r="P7" s="20" t="n">
        <v>0</v>
      </c>
      <c r="Q7" s="18" t="n">
        <v>5.85893507</v>
      </c>
      <c r="R7" s="20" t="n">
        <v>0.54723256</v>
      </c>
    </row>
    <row r="8" spans="1:18">
      <c r="A8" s="15" t="s">
        <v>350</v>
      </c>
      <c r="B8" s="17" t="n">
        <v>7007</v>
      </c>
      <c r="C8" s="18">
        <f>(6162.0/B8*100)</f>
        <v/>
      </c>
      <c r="D8" s="19" t="n">
        <v>845</v>
      </c>
      <c r="E8" s="18" t="n">
        <v>23.187028</v>
      </c>
      <c r="F8" s="20" t="n">
        <v>1.66200234</v>
      </c>
      <c r="G8" s="18" t="n">
        <v>67.57741717</v>
      </c>
      <c r="H8" s="20" t="n">
        <v>1.79575467</v>
      </c>
      <c r="I8" s="18" t="s">
        <v>349</v>
      </c>
      <c r="J8" s="20" t="s">
        <v>349</v>
      </c>
      <c r="K8" s="18" t="n">
        <v>0</v>
      </c>
      <c r="L8" s="20" t="n">
        <v>0</v>
      </c>
      <c r="M8" s="18" t="n">
        <v>0</v>
      </c>
      <c r="N8" s="20" t="n">
        <v>0</v>
      </c>
      <c r="O8" s="18" t="n">
        <v>0</v>
      </c>
      <c r="P8" s="20" t="n">
        <v>0</v>
      </c>
      <c r="Q8" s="18" t="n">
        <v>9.23555483</v>
      </c>
      <c r="R8" s="20" t="n">
        <v>1.24744721</v>
      </c>
    </row>
    <row r="9" spans="1:18">
      <c r="A9" s="15" t="s">
        <v>351</v>
      </c>
      <c r="B9" s="17" t="n">
        <v>9651</v>
      </c>
      <c r="C9" s="18">
        <f>(8523.0/B9*100)</f>
        <v/>
      </c>
      <c r="D9" s="19" t="n">
        <v>1128</v>
      </c>
      <c r="E9" s="18" t="n">
        <v>26.4238503</v>
      </c>
      <c r="F9" s="20" t="n">
        <v>1.40468556</v>
      </c>
      <c r="G9" s="18" t="n">
        <v>66.02696991000001</v>
      </c>
      <c r="H9" s="20" t="n">
        <v>1.4881523</v>
      </c>
      <c r="I9" s="18" t="s">
        <v>349</v>
      </c>
      <c r="J9" s="20" t="s">
        <v>349</v>
      </c>
      <c r="K9" s="18" t="n">
        <v>0.44000733</v>
      </c>
      <c r="L9" s="20" t="n">
        <v>0.22673227</v>
      </c>
      <c r="M9" s="18" t="n">
        <v>0.26805325</v>
      </c>
      <c r="N9" s="20" t="n">
        <v>0.17008604</v>
      </c>
      <c r="O9" s="18" t="n">
        <v>0</v>
      </c>
      <c r="P9" s="20" t="n">
        <v>0</v>
      </c>
      <c r="Q9" s="18" t="n">
        <v>6.8411192</v>
      </c>
      <c r="R9" s="20" t="n">
        <v>0.73487431</v>
      </c>
    </row>
    <row r="10" spans="1:18">
      <c r="A10" s="15" t="s">
        <v>352</v>
      </c>
      <c r="B10" s="17" t="n">
        <v>20058</v>
      </c>
      <c r="C10" s="18">
        <f>(17616.0/B10*100)</f>
        <v/>
      </c>
      <c r="D10" s="19" t="n">
        <v>2442</v>
      </c>
      <c r="E10" s="18" t="n">
        <v>25.43219005</v>
      </c>
      <c r="F10" s="20" t="n">
        <v>1.18222099</v>
      </c>
      <c r="G10" s="18" t="n">
        <v>70.49462846</v>
      </c>
      <c r="H10" s="20" t="n">
        <v>1.25011433</v>
      </c>
      <c r="I10" s="18" t="s">
        <v>349</v>
      </c>
      <c r="J10" s="20" t="s">
        <v>349</v>
      </c>
      <c r="K10" s="18" t="n">
        <v>0.47054928</v>
      </c>
      <c r="L10" s="20" t="n">
        <v>0.15564732</v>
      </c>
      <c r="M10" s="18" t="n">
        <v>0.30334475</v>
      </c>
      <c r="N10" s="20" t="n">
        <v>0.17013117</v>
      </c>
      <c r="O10" s="18" t="n">
        <v>0</v>
      </c>
      <c r="P10" s="20" t="n">
        <v>0</v>
      </c>
      <c r="Q10" s="18" t="n">
        <v>3.29928746</v>
      </c>
      <c r="R10" s="20" t="n">
        <v>0.55482958</v>
      </c>
    </row>
    <row r="11" spans="1:18">
      <c r="A11" s="15" t="s">
        <v>353</v>
      </c>
      <c r="B11" s="17" t="n">
        <v>7053</v>
      </c>
      <c r="C11" s="18">
        <f>(6220.0/B11*100)</f>
        <v/>
      </c>
      <c r="D11" s="19" t="n">
        <v>833</v>
      </c>
      <c r="E11" s="18" t="n">
        <v>31.98522601</v>
      </c>
      <c r="F11" s="20" t="n">
        <v>1.59309548</v>
      </c>
      <c r="G11" s="18" t="n">
        <v>51.92358035</v>
      </c>
      <c r="H11" s="20" t="n">
        <v>1.84879323</v>
      </c>
      <c r="I11" s="18" t="s">
        <v>349</v>
      </c>
      <c r="J11" s="20" t="s">
        <v>349</v>
      </c>
      <c r="K11" s="18" t="n">
        <v>1.37702039</v>
      </c>
      <c r="L11" s="20" t="n">
        <v>0.51264854</v>
      </c>
      <c r="M11" s="18" t="n">
        <v>0</v>
      </c>
      <c r="N11" s="20" t="n">
        <v>0</v>
      </c>
      <c r="O11" s="18" t="n">
        <v>0</v>
      </c>
      <c r="P11" s="20" t="n">
        <v>0</v>
      </c>
      <c r="Q11" s="18" t="n">
        <v>14.71417325</v>
      </c>
      <c r="R11" s="20" t="n">
        <v>1.38302726</v>
      </c>
    </row>
    <row r="12" spans="1:18">
      <c r="A12" s="15" t="s">
        <v>354</v>
      </c>
      <c r="B12" s="17" t="n">
        <v>6894</v>
      </c>
      <c r="C12" s="18">
        <f>(6041.0/B12*100)</f>
        <v/>
      </c>
      <c r="D12" s="19" t="n">
        <v>853</v>
      </c>
      <c r="E12" s="18" t="n">
        <v>26.96503881</v>
      </c>
      <c r="F12" s="20" t="n">
        <v>1.73642909</v>
      </c>
      <c r="G12" s="18" t="n">
        <v>64.40625918000001</v>
      </c>
      <c r="H12" s="20" t="n">
        <v>1.98527765</v>
      </c>
      <c r="I12" s="18" t="s">
        <v>349</v>
      </c>
      <c r="J12" s="20" t="s">
        <v>349</v>
      </c>
      <c r="K12" s="18" t="n">
        <v>0.04593584</v>
      </c>
      <c r="L12" s="20" t="n">
        <v>0.04593341</v>
      </c>
      <c r="M12" s="18" t="n">
        <v>0</v>
      </c>
      <c r="N12" s="20" t="n">
        <v>0</v>
      </c>
      <c r="O12" s="18" t="n">
        <v>0</v>
      </c>
      <c r="P12" s="20" t="n">
        <v>0</v>
      </c>
      <c r="Q12" s="18" t="n">
        <v>8.58276616</v>
      </c>
      <c r="R12" s="20" t="n">
        <v>1.03522882</v>
      </c>
    </row>
    <row r="13" spans="1:18">
      <c r="A13" s="15" t="s">
        <v>355</v>
      </c>
      <c r="B13" s="17" t="n">
        <v>7161</v>
      </c>
      <c r="C13" s="18">
        <f>(6305.0/B13*100)</f>
        <v/>
      </c>
      <c r="D13" s="19" t="n">
        <v>856</v>
      </c>
      <c r="E13" s="18" t="n">
        <v>25.04879537</v>
      </c>
      <c r="F13" s="20" t="n">
        <v>1.46874677</v>
      </c>
      <c r="G13" s="18" t="n">
        <v>70.30734969</v>
      </c>
      <c r="H13" s="20" t="n">
        <v>1.52928286</v>
      </c>
      <c r="I13" s="18" t="s">
        <v>349</v>
      </c>
      <c r="J13" s="20" t="s">
        <v>349</v>
      </c>
      <c r="K13" s="18" t="n">
        <v>0.83303803</v>
      </c>
      <c r="L13" s="20" t="n">
        <v>0.41795671</v>
      </c>
      <c r="M13" s="18" t="n">
        <v>0.16663636</v>
      </c>
      <c r="N13" s="20" t="n">
        <v>0.17585422</v>
      </c>
      <c r="O13" s="18" t="n">
        <v>0</v>
      </c>
      <c r="P13" s="20" t="n">
        <v>0</v>
      </c>
      <c r="Q13" s="18" t="n">
        <v>3.64418055</v>
      </c>
      <c r="R13" s="20" t="n">
        <v>0.67935196</v>
      </c>
    </row>
    <row r="14" spans="1:18">
      <c r="A14" s="15" t="s">
        <v>356</v>
      </c>
      <c r="B14" s="17" t="n">
        <v>5587</v>
      </c>
      <c r="C14" s="18">
        <f>(4906.0/B14*100)</f>
        <v/>
      </c>
      <c r="D14" s="19" t="n">
        <v>681</v>
      </c>
      <c r="E14" s="18" t="n">
        <v>22.09669877</v>
      </c>
      <c r="F14" s="20" t="n">
        <v>1.59088027</v>
      </c>
      <c r="G14" s="18" t="n">
        <v>73.81395834999999</v>
      </c>
      <c r="H14" s="20" t="n">
        <v>1.88057405</v>
      </c>
      <c r="I14" s="18" t="s">
        <v>349</v>
      </c>
      <c r="J14" s="20" t="s">
        <v>349</v>
      </c>
      <c r="K14" s="18" t="n">
        <v>0.26902553</v>
      </c>
      <c r="L14" s="20" t="n">
        <v>0.19256058</v>
      </c>
      <c r="M14" s="18" t="n">
        <v>0</v>
      </c>
      <c r="N14" s="20" t="n">
        <v>0</v>
      </c>
      <c r="O14" s="18" t="n">
        <v>0</v>
      </c>
      <c r="P14" s="20" t="n">
        <v>0</v>
      </c>
      <c r="Q14" s="18" t="n">
        <v>3.82031735</v>
      </c>
      <c r="R14" s="20" t="n">
        <v>0.99579175</v>
      </c>
    </row>
    <row r="15" spans="1:18">
      <c r="A15" s="15" t="s">
        <v>357</v>
      </c>
      <c r="B15" s="17" t="n">
        <v>5882</v>
      </c>
      <c r="C15" s="18">
        <f>(5167.0/B15*100)</f>
        <v/>
      </c>
      <c r="D15" s="19" t="n">
        <v>715</v>
      </c>
      <c r="E15" s="18" t="n">
        <v>24.34879972</v>
      </c>
      <c r="F15" s="20" t="n">
        <v>1.75838583</v>
      </c>
      <c r="G15" s="18" t="n">
        <v>70.68170554</v>
      </c>
      <c r="H15" s="20" t="n">
        <v>1.97862121</v>
      </c>
      <c r="I15" s="18" t="s">
        <v>349</v>
      </c>
      <c r="J15" s="20" t="s">
        <v>349</v>
      </c>
      <c r="K15" s="18" t="n">
        <v>0.12738941</v>
      </c>
      <c r="L15" s="20" t="n">
        <v>0.12749571</v>
      </c>
      <c r="M15" s="18" t="n">
        <v>0</v>
      </c>
      <c r="N15" s="20" t="n">
        <v>0</v>
      </c>
      <c r="O15" s="18" t="n">
        <v>0</v>
      </c>
      <c r="P15" s="20" t="n">
        <v>0</v>
      </c>
      <c r="Q15" s="18" t="n">
        <v>4.84210533</v>
      </c>
      <c r="R15" s="20" t="n">
        <v>0.81188874</v>
      </c>
    </row>
    <row r="16" spans="1:18">
      <c r="A16" s="15" t="s">
        <v>358</v>
      </c>
      <c r="B16" s="17" t="n">
        <v>6108</v>
      </c>
      <c r="C16" s="18">
        <f>(5387.0/B16*100)</f>
        <v/>
      </c>
      <c r="D16" s="19" t="n">
        <v>721</v>
      </c>
      <c r="E16" s="18" t="n">
        <v>32.62498558</v>
      </c>
      <c r="F16" s="20" t="n">
        <v>1.78238846</v>
      </c>
      <c r="G16" s="18" t="n">
        <v>57.35361164</v>
      </c>
      <c r="H16" s="20" t="n">
        <v>1.94129907</v>
      </c>
      <c r="I16" s="18" t="s">
        <v>349</v>
      </c>
      <c r="J16" s="20" t="s">
        <v>349</v>
      </c>
      <c r="K16" s="18" t="n">
        <v>1.17874867</v>
      </c>
      <c r="L16" s="20" t="n">
        <v>0.44393984</v>
      </c>
      <c r="M16" s="18" t="n">
        <v>0</v>
      </c>
      <c r="N16" s="20" t="n">
        <v>0</v>
      </c>
      <c r="O16" s="18" t="n">
        <v>0</v>
      </c>
      <c r="P16" s="20" t="n">
        <v>0</v>
      </c>
      <c r="Q16" s="18" t="n">
        <v>8.84265411</v>
      </c>
      <c r="R16" s="20" t="n">
        <v>1.14538931</v>
      </c>
    </row>
    <row r="17" spans="1:18">
      <c r="A17" s="15" t="s">
        <v>359</v>
      </c>
      <c r="B17" s="17" t="n">
        <v>6504</v>
      </c>
      <c r="C17" s="18">
        <f>(5715.0/B17*100)</f>
        <v/>
      </c>
      <c r="D17" s="19" t="n">
        <v>789</v>
      </c>
      <c r="E17" s="18" t="n">
        <v>26.85706382</v>
      </c>
      <c r="F17" s="20" t="n">
        <v>1.43042187</v>
      </c>
      <c r="G17" s="18" t="n">
        <v>65.35167755000001</v>
      </c>
      <c r="H17" s="20" t="n">
        <v>1.53825769</v>
      </c>
      <c r="I17" s="18" t="s">
        <v>349</v>
      </c>
      <c r="J17" s="20" t="s">
        <v>349</v>
      </c>
      <c r="K17" s="18" t="n">
        <v>0.37450273</v>
      </c>
      <c r="L17" s="20" t="n">
        <v>0.23512384</v>
      </c>
      <c r="M17" s="18" t="n">
        <v>0</v>
      </c>
      <c r="N17" s="20" t="n">
        <v>0</v>
      </c>
      <c r="O17" s="18" t="n">
        <v>0</v>
      </c>
      <c r="P17" s="20" t="n">
        <v>0</v>
      </c>
      <c r="Q17" s="18" t="n">
        <v>7.4167559</v>
      </c>
      <c r="R17" s="20" t="n">
        <v>0.82065374</v>
      </c>
    </row>
    <row r="18" spans="1:18">
      <c r="A18" s="15" t="s">
        <v>360</v>
      </c>
      <c r="B18" s="17" t="n">
        <v>5532</v>
      </c>
      <c r="C18" s="18">
        <f>(4853.0/B18*100)</f>
        <v/>
      </c>
      <c r="D18" s="19" t="n">
        <v>679</v>
      </c>
      <c r="E18" s="18" t="n">
        <v>34.67625494</v>
      </c>
      <c r="F18" s="20" t="n">
        <v>1.86289022</v>
      </c>
      <c r="G18" s="18" t="n">
        <v>51.28471781</v>
      </c>
      <c r="H18" s="20" t="n">
        <v>1.97164081</v>
      </c>
      <c r="I18" s="18" t="s">
        <v>349</v>
      </c>
      <c r="J18" s="20" t="s">
        <v>349</v>
      </c>
      <c r="K18" s="18" t="n">
        <v>1.11892007</v>
      </c>
      <c r="L18" s="20" t="n">
        <v>0.46512794</v>
      </c>
      <c r="M18" s="18" t="n">
        <v>0</v>
      </c>
      <c r="N18" s="20" t="n">
        <v>0</v>
      </c>
      <c r="O18" s="18" t="n">
        <v>0</v>
      </c>
      <c r="P18" s="20" t="n">
        <v>0</v>
      </c>
      <c r="Q18" s="18" t="n">
        <v>12.92010719</v>
      </c>
      <c r="R18" s="20" t="n">
        <v>1.48499801</v>
      </c>
    </row>
    <row r="19" spans="1:18">
      <c r="A19" s="15" t="s">
        <v>361</v>
      </c>
      <c r="B19" s="17" t="n">
        <v>5658</v>
      </c>
      <c r="C19" s="18">
        <f>(4953.0/B19*100)</f>
        <v/>
      </c>
      <c r="D19" s="19" t="n">
        <v>705</v>
      </c>
      <c r="E19" s="18" t="n">
        <v>29.99872501</v>
      </c>
      <c r="F19" s="20" t="n">
        <v>1.77982924</v>
      </c>
      <c r="G19" s="18" t="n">
        <v>60.63652379</v>
      </c>
      <c r="H19" s="20" t="n">
        <v>2.18162292</v>
      </c>
      <c r="I19" s="18" t="s">
        <v>349</v>
      </c>
      <c r="J19" s="20" t="s">
        <v>349</v>
      </c>
      <c r="K19" s="18" t="n">
        <v>0.1467113</v>
      </c>
      <c r="L19" s="20" t="n">
        <v>0.14640973</v>
      </c>
      <c r="M19" s="18" t="n">
        <v>0</v>
      </c>
      <c r="N19" s="20" t="n">
        <v>0</v>
      </c>
      <c r="O19" s="18" t="n">
        <v>0</v>
      </c>
      <c r="P19" s="20" t="n">
        <v>0</v>
      </c>
      <c r="Q19" s="18" t="n">
        <v>9.218039900000001</v>
      </c>
      <c r="R19" s="20" t="n">
        <v>1.62728346</v>
      </c>
    </row>
    <row r="20" spans="1:18">
      <c r="A20" s="15" t="s">
        <v>362</v>
      </c>
      <c r="B20" s="17" t="n">
        <v>3371</v>
      </c>
      <c r="C20" s="18">
        <f>(2970.0/B20*100)</f>
        <v/>
      </c>
      <c r="D20" s="19" t="n">
        <v>401</v>
      </c>
      <c r="E20" s="18" t="n">
        <v>40.09603082</v>
      </c>
      <c r="F20" s="20" t="n">
        <v>2.24104778</v>
      </c>
      <c r="G20" s="18" t="n">
        <v>51.43837624</v>
      </c>
      <c r="H20" s="20" t="n">
        <v>2.40928911</v>
      </c>
      <c r="I20" s="18" t="s">
        <v>349</v>
      </c>
      <c r="J20" s="20" t="s">
        <v>349</v>
      </c>
      <c r="K20" s="18" t="n">
        <v>0.48311544</v>
      </c>
      <c r="L20" s="20" t="n">
        <v>0.34831442</v>
      </c>
      <c r="M20" s="18" t="n">
        <v>0.38299505</v>
      </c>
      <c r="N20" s="20" t="n">
        <v>0.37147434</v>
      </c>
      <c r="O20" s="18" t="n">
        <v>0</v>
      </c>
      <c r="P20" s="20" t="n">
        <v>0</v>
      </c>
      <c r="Q20" s="18" t="n">
        <v>7.59948245</v>
      </c>
      <c r="R20" s="20" t="n">
        <v>1.6049077</v>
      </c>
    </row>
    <row r="21" spans="1:18">
      <c r="A21" s="15" t="s">
        <v>363</v>
      </c>
      <c r="B21" s="17" t="n">
        <v>5741</v>
      </c>
      <c r="C21" s="18">
        <f>(4775.0/B21*100)</f>
        <v/>
      </c>
      <c r="D21" s="19" t="n">
        <v>966</v>
      </c>
      <c r="E21" s="18" t="n">
        <v>29.42201462</v>
      </c>
      <c r="F21" s="20" t="n">
        <v>1.48285225</v>
      </c>
      <c r="G21" s="18" t="n">
        <v>67.02547478</v>
      </c>
      <c r="H21" s="20" t="n">
        <v>1.56852841</v>
      </c>
      <c r="I21" s="18" t="s">
        <v>349</v>
      </c>
      <c r="J21" s="20" t="s">
        <v>349</v>
      </c>
      <c r="K21" s="18" t="n">
        <v>0.09861022</v>
      </c>
      <c r="L21" s="20" t="n">
        <v>0.09850681999999999</v>
      </c>
      <c r="M21" s="18" t="n">
        <v>0</v>
      </c>
      <c r="N21" s="20" t="n">
        <v>0</v>
      </c>
      <c r="O21" s="18" t="n">
        <v>0</v>
      </c>
      <c r="P21" s="20" t="n">
        <v>0</v>
      </c>
      <c r="Q21" s="18" t="n">
        <v>3.45390038</v>
      </c>
      <c r="R21" s="20" t="n">
        <v>0.6577081</v>
      </c>
    </row>
    <row r="22" spans="1:18">
      <c r="A22" s="15" t="s">
        <v>364</v>
      </c>
      <c r="B22" s="17" t="n">
        <v>6598</v>
      </c>
      <c r="C22" s="18">
        <f>(5784.0/B22*100)</f>
        <v/>
      </c>
      <c r="D22" s="19" t="n">
        <v>814</v>
      </c>
      <c r="E22" s="18" t="n">
        <v>33.7301295</v>
      </c>
      <c r="F22" s="20" t="n">
        <v>1.63521454</v>
      </c>
      <c r="G22" s="18" t="n">
        <v>55.46732</v>
      </c>
      <c r="H22" s="20" t="n">
        <v>1.92904203</v>
      </c>
      <c r="I22" s="18" t="s">
        <v>349</v>
      </c>
      <c r="J22" s="20" t="s">
        <v>349</v>
      </c>
      <c r="K22" s="18" t="n">
        <v>0.91063394</v>
      </c>
      <c r="L22" s="20" t="n">
        <v>0.37591401</v>
      </c>
      <c r="M22" s="18" t="n">
        <v>0</v>
      </c>
      <c r="N22" s="20" t="n">
        <v>0</v>
      </c>
      <c r="O22" s="18" t="n">
        <v>0</v>
      </c>
      <c r="P22" s="20" t="n">
        <v>0</v>
      </c>
      <c r="Q22" s="18" t="n">
        <v>9.89191656</v>
      </c>
      <c r="R22" s="20" t="n">
        <v>1.24595669</v>
      </c>
    </row>
    <row r="23" spans="1:18">
      <c r="A23" s="15" t="s">
        <v>365</v>
      </c>
      <c r="B23" s="17" t="n">
        <v>11583</v>
      </c>
      <c r="C23" s="18">
        <f>(10171.0/B23*100)</f>
        <v/>
      </c>
      <c r="D23" s="19" t="n">
        <v>1412</v>
      </c>
      <c r="E23" s="18" t="n">
        <v>28.82035533</v>
      </c>
      <c r="F23" s="20" t="n">
        <v>2.3994316</v>
      </c>
      <c r="G23" s="18" t="n">
        <v>57.37731848</v>
      </c>
      <c r="H23" s="20" t="n">
        <v>2.4012358</v>
      </c>
      <c r="I23" s="18" t="s">
        <v>349</v>
      </c>
      <c r="J23" s="20" t="s">
        <v>349</v>
      </c>
      <c r="K23" s="18" t="n">
        <v>0.35070685</v>
      </c>
      <c r="L23" s="20" t="n">
        <v>0.20297724</v>
      </c>
      <c r="M23" s="18" t="n">
        <v>0.29684556</v>
      </c>
      <c r="N23" s="20" t="n">
        <v>0.21015583</v>
      </c>
      <c r="O23" s="18" t="n">
        <v>0</v>
      </c>
      <c r="P23" s="20" t="n">
        <v>0</v>
      </c>
      <c r="Q23" s="18" t="n">
        <v>13.15477379</v>
      </c>
      <c r="R23" s="20" t="n">
        <v>1.35487566</v>
      </c>
    </row>
    <row r="24" spans="1:18">
      <c r="A24" s="15" t="s">
        <v>366</v>
      </c>
      <c r="B24" s="17" t="n">
        <v>6647</v>
      </c>
      <c r="C24" s="18">
        <f>(5828.0/B24*100)</f>
        <v/>
      </c>
      <c r="D24" s="19" t="n">
        <v>819</v>
      </c>
      <c r="E24" s="18" t="n">
        <v>21.94569144</v>
      </c>
      <c r="F24" s="20" t="n">
        <v>1.64782815</v>
      </c>
      <c r="G24" s="18" t="n">
        <v>71.59854455</v>
      </c>
      <c r="H24" s="20" t="n">
        <v>1.79656163</v>
      </c>
      <c r="I24" s="18" t="s">
        <v>349</v>
      </c>
      <c r="J24" s="20" t="s">
        <v>349</v>
      </c>
      <c r="K24" s="18" t="n">
        <v>0.20057001</v>
      </c>
      <c r="L24" s="20" t="n">
        <v>0.14457024</v>
      </c>
      <c r="M24" s="18" t="n">
        <v>0.12025358</v>
      </c>
      <c r="N24" s="20" t="n">
        <v>0.12070825</v>
      </c>
      <c r="O24" s="18" t="n">
        <v>0</v>
      </c>
      <c r="P24" s="20" t="n">
        <v>0</v>
      </c>
      <c r="Q24" s="18" t="n">
        <v>6.13494041</v>
      </c>
      <c r="R24" s="20" t="n">
        <v>0.76951505</v>
      </c>
    </row>
    <row r="25" spans="1:18">
      <c r="A25" s="15" t="s">
        <v>367</v>
      </c>
      <c r="B25" s="17" t="n">
        <v>5581</v>
      </c>
      <c r="C25" s="18">
        <f>(4904.0/B25*100)</f>
        <v/>
      </c>
      <c r="D25" s="19" t="n">
        <v>677</v>
      </c>
      <c r="E25" s="18" t="n">
        <v>26.9530441</v>
      </c>
      <c r="F25" s="20" t="n">
        <v>1.88984506</v>
      </c>
      <c r="G25" s="18" t="n">
        <v>66.76992267999999</v>
      </c>
      <c r="H25" s="20" t="n">
        <v>2.20875246</v>
      </c>
      <c r="I25" s="18" t="s">
        <v>349</v>
      </c>
      <c r="J25" s="20" t="s">
        <v>349</v>
      </c>
      <c r="K25" s="18" t="n">
        <v>0.44904833</v>
      </c>
      <c r="L25" s="20" t="n">
        <v>0.25828071</v>
      </c>
      <c r="M25" s="18" t="n">
        <v>0</v>
      </c>
      <c r="N25" s="20" t="n">
        <v>0</v>
      </c>
      <c r="O25" s="18" t="n">
        <v>0</v>
      </c>
      <c r="P25" s="20" t="n">
        <v>0</v>
      </c>
      <c r="Q25" s="18" t="n">
        <v>5.82798488</v>
      </c>
      <c r="R25" s="20" t="n">
        <v>1.00349673</v>
      </c>
    </row>
    <row r="26" spans="1:18">
      <c r="A26" s="15" t="s">
        <v>368</v>
      </c>
      <c r="B26" s="17" t="n">
        <v>4869</v>
      </c>
      <c r="C26" s="18">
        <f>(4266.0/B26*100)</f>
        <v/>
      </c>
      <c r="D26" s="19" t="n">
        <v>603</v>
      </c>
      <c r="E26" s="18" t="n">
        <v>68.1764191</v>
      </c>
      <c r="F26" s="20" t="n">
        <v>2.17211864</v>
      </c>
      <c r="G26" s="18" t="n">
        <v>25.03666761</v>
      </c>
      <c r="H26" s="20" t="n">
        <v>1.84999913</v>
      </c>
      <c r="I26" s="18" t="s">
        <v>349</v>
      </c>
      <c r="J26" s="20" t="s">
        <v>349</v>
      </c>
      <c r="K26" s="18" t="n">
        <v>0.1275657</v>
      </c>
      <c r="L26" s="20" t="n">
        <v>0.12986265</v>
      </c>
      <c r="M26" s="18" t="n">
        <v>0</v>
      </c>
      <c r="N26" s="20" t="n">
        <v>0</v>
      </c>
      <c r="O26" s="18" t="n">
        <v>0</v>
      </c>
      <c r="P26" s="20" t="n">
        <v>0</v>
      </c>
      <c r="Q26" s="18" t="n">
        <v>6.65934759</v>
      </c>
      <c r="R26" s="20" t="n">
        <v>1.20415518</v>
      </c>
    </row>
    <row r="27" spans="1:18">
      <c r="A27" s="15" t="s">
        <v>369</v>
      </c>
      <c r="B27" s="17" t="n">
        <v>5299</v>
      </c>
      <c r="C27" s="18">
        <f>(4669.0/B27*100)</f>
        <v/>
      </c>
      <c r="D27" s="19" t="n">
        <v>630</v>
      </c>
      <c r="E27" s="18" t="n">
        <v>27.55458196</v>
      </c>
      <c r="F27" s="20" t="n">
        <v>1.63428486</v>
      </c>
      <c r="G27" s="18" t="n">
        <v>62.2949825</v>
      </c>
      <c r="H27" s="20" t="n">
        <v>1.79773372</v>
      </c>
      <c r="I27" s="18" t="s">
        <v>349</v>
      </c>
      <c r="J27" s="20" t="s">
        <v>349</v>
      </c>
      <c r="K27" s="18" t="n">
        <v>0.31259439</v>
      </c>
      <c r="L27" s="20" t="n">
        <v>0.22164263</v>
      </c>
      <c r="M27" s="18" t="n">
        <v>0</v>
      </c>
      <c r="N27" s="20" t="n">
        <v>0</v>
      </c>
      <c r="O27" s="18" t="n">
        <v>0</v>
      </c>
      <c r="P27" s="20" t="n">
        <v>0</v>
      </c>
      <c r="Q27" s="18" t="n">
        <v>9.837841149999999</v>
      </c>
      <c r="R27" s="20" t="n">
        <v>1.01828382</v>
      </c>
    </row>
    <row r="28" spans="1:18">
      <c r="A28" s="15" t="s">
        <v>370</v>
      </c>
      <c r="B28" s="17" t="n">
        <v>7568</v>
      </c>
      <c r="C28" s="18">
        <f>(6692.0/B28*100)</f>
        <v/>
      </c>
      <c r="D28" s="19" t="n">
        <v>876</v>
      </c>
      <c r="E28" s="18" t="n">
        <v>49.95332068</v>
      </c>
      <c r="F28" s="20" t="n">
        <v>2.13875808</v>
      </c>
      <c r="G28" s="18" t="n">
        <v>44.48738236</v>
      </c>
      <c r="H28" s="20" t="n">
        <v>2.05303233</v>
      </c>
      <c r="I28" s="18" t="s">
        <v>349</v>
      </c>
      <c r="J28" s="20" t="s">
        <v>349</v>
      </c>
      <c r="K28" s="18" t="n">
        <v>0.75443872</v>
      </c>
      <c r="L28" s="20" t="n">
        <v>0.38512689</v>
      </c>
      <c r="M28" s="18" t="n">
        <v>0.10664683</v>
      </c>
      <c r="N28" s="20" t="n">
        <v>0.09566311</v>
      </c>
      <c r="O28" s="18" t="n">
        <v>0</v>
      </c>
      <c r="P28" s="20" t="n">
        <v>0</v>
      </c>
      <c r="Q28" s="18" t="n">
        <v>4.6982114</v>
      </c>
      <c r="R28" s="20" t="n">
        <v>0.75632548</v>
      </c>
    </row>
    <row r="29" spans="1:18">
      <c r="A29" s="15" t="s">
        <v>371</v>
      </c>
      <c r="B29" s="17" t="n">
        <v>5385</v>
      </c>
      <c r="C29" s="18">
        <f>(4735.0/B29*100)</f>
        <v/>
      </c>
      <c r="D29" s="19" t="n">
        <v>650</v>
      </c>
      <c r="E29" s="18" t="n">
        <v>28.39799149</v>
      </c>
      <c r="F29" s="20" t="n">
        <v>1.64295571</v>
      </c>
      <c r="G29" s="18" t="n">
        <v>69.10066067</v>
      </c>
      <c r="H29" s="20" t="n">
        <v>1.73146463</v>
      </c>
      <c r="I29" s="18" t="s">
        <v>349</v>
      </c>
      <c r="J29" s="20" t="s">
        <v>349</v>
      </c>
      <c r="K29" s="18" t="n">
        <v>0.19972311</v>
      </c>
      <c r="L29" s="20" t="n">
        <v>0.15347317</v>
      </c>
      <c r="M29" s="18" t="n">
        <v>0</v>
      </c>
      <c r="N29" s="20" t="n">
        <v>0</v>
      </c>
      <c r="O29" s="18" t="n">
        <v>0</v>
      </c>
      <c r="P29" s="20" t="n">
        <v>0</v>
      </c>
      <c r="Q29" s="18" t="n">
        <v>2.30162474</v>
      </c>
      <c r="R29" s="20" t="n">
        <v>0.66554599</v>
      </c>
    </row>
    <row r="30" spans="1:18">
      <c r="A30" s="15" t="s">
        <v>372</v>
      </c>
      <c r="B30" s="17" t="n">
        <v>4520</v>
      </c>
      <c r="C30" s="18">
        <f>(3952.0/B30*100)</f>
        <v/>
      </c>
      <c r="D30" s="19" t="n">
        <v>568</v>
      </c>
      <c r="E30" s="18" t="n">
        <v>28.97133334</v>
      </c>
      <c r="F30" s="20" t="n">
        <v>1.99928917</v>
      </c>
      <c r="G30" s="18" t="n">
        <v>62.85315328</v>
      </c>
      <c r="H30" s="20" t="n">
        <v>2.29005842</v>
      </c>
      <c r="I30" s="18" t="s">
        <v>349</v>
      </c>
      <c r="J30" s="20" t="s">
        <v>349</v>
      </c>
      <c r="K30" s="18" t="n">
        <v>0.15990921</v>
      </c>
      <c r="L30" s="20" t="n">
        <v>0.16241378</v>
      </c>
      <c r="M30" s="18" t="n">
        <v>0.11491978</v>
      </c>
      <c r="N30" s="20" t="n">
        <v>0.11868128</v>
      </c>
      <c r="O30" s="18" t="n">
        <v>0</v>
      </c>
      <c r="P30" s="20" t="n">
        <v>0</v>
      </c>
      <c r="Q30" s="18" t="n">
        <v>7.90068439</v>
      </c>
      <c r="R30" s="20" t="n">
        <v>1.15250397</v>
      </c>
    </row>
    <row r="31" spans="1:18">
      <c r="A31" s="15" t="s">
        <v>373</v>
      </c>
      <c r="B31" s="17" t="n">
        <v>5456</v>
      </c>
      <c r="C31" s="18">
        <f>(4812.0/B31*100)</f>
        <v/>
      </c>
      <c r="D31" s="19" t="n">
        <v>644</v>
      </c>
      <c r="E31" s="18" t="n">
        <v>29.1171399</v>
      </c>
      <c r="F31" s="20" t="n">
        <v>1.70283026</v>
      </c>
      <c r="G31" s="18" t="n">
        <v>63.28197179</v>
      </c>
      <c r="H31" s="20" t="n">
        <v>1.70343241</v>
      </c>
      <c r="I31" s="18" t="s">
        <v>349</v>
      </c>
      <c r="J31" s="20" t="s">
        <v>349</v>
      </c>
      <c r="K31" s="18" t="n">
        <v>0.58695173</v>
      </c>
      <c r="L31" s="20" t="n">
        <v>0.28635431</v>
      </c>
      <c r="M31" s="18" t="n">
        <v>0.16643576</v>
      </c>
      <c r="N31" s="20" t="n">
        <v>0.16590642</v>
      </c>
      <c r="O31" s="18" t="n">
        <v>0</v>
      </c>
      <c r="P31" s="20" t="n">
        <v>0</v>
      </c>
      <c r="Q31" s="18" t="n">
        <v>6.84750082</v>
      </c>
      <c r="R31" s="20" t="n">
        <v>1.04540648</v>
      </c>
    </row>
    <row r="32" spans="1:18">
      <c r="A32" s="15" t="s">
        <v>374</v>
      </c>
      <c r="B32" s="17" t="n">
        <v>4478</v>
      </c>
      <c r="C32" s="18">
        <f>(3744.0/B32*100)</f>
        <v/>
      </c>
      <c r="D32" s="19" t="n">
        <v>734</v>
      </c>
      <c r="E32" s="18" t="n">
        <v>24.14441458</v>
      </c>
      <c r="F32" s="20" t="n">
        <v>1.64908136</v>
      </c>
      <c r="G32" s="18" t="n">
        <v>68.71639159</v>
      </c>
      <c r="H32" s="20" t="n">
        <v>1.91139102</v>
      </c>
      <c r="I32" s="18" t="s">
        <v>349</v>
      </c>
      <c r="J32" s="20" t="s">
        <v>349</v>
      </c>
      <c r="K32" s="18" t="n">
        <v>0.1297017</v>
      </c>
      <c r="L32" s="20" t="n">
        <v>0.13529634</v>
      </c>
      <c r="M32" s="18" t="n">
        <v>0.57728357</v>
      </c>
      <c r="N32" s="20" t="n">
        <v>0.6141915100000001</v>
      </c>
      <c r="O32" s="18" t="n">
        <v>0</v>
      </c>
      <c r="P32" s="20" t="n">
        <v>0</v>
      </c>
      <c r="Q32" s="18" t="n">
        <v>6.43220857</v>
      </c>
      <c r="R32" s="20" t="n">
        <v>0.92999965</v>
      </c>
    </row>
    <row r="33" spans="1:18">
      <c r="A33" s="15" t="s">
        <v>375</v>
      </c>
      <c r="B33" s="17" t="n">
        <v>7325</v>
      </c>
      <c r="C33" s="18">
        <f>(6449.0/B33*100)</f>
        <v/>
      </c>
      <c r="D33" s="19" t="n">
        <v>876</v>
      </c>
      <c r="E33" s="18" t="n">
        <v>28.93512676</v>
      </c>
      <c r="F33" s="20" t="n">
        <v>2.10975963</v>
      </c>
      <c r="G33" s="18" t="n">
        <v>64.44339755999999</v>
      </c>
      <c r="H33" s="20" t="n">
        <v>1.76104839</v>
      </c>
      <c r="I33" s="18" t="s">
        <v>349</v>
      </c>
      <c r="J33" s="20" t="s">
        <v>349</v>
      </c>
      <c r="K33" s="18" t="n">
        <v>0.85920253</v>
      </c>
      <c r="L33" s="20" t="n">
        <v>0.64107729</v>
      </c>
      <c r="M33" s="18" t="n">
        <v>0</v>
      </c>
      <c r="N33" s="20" t="n">
        <v>0</v>
      </c>
      <c r="O33" s="18" t="n">
        <v>0</v>
      </c>
      <c r="P33" s="20" t="n">
        <v>0</v>
      </c>
      <c r="Q33" s="18" t="n">
        <v>5.76227314</v>
      </c>
      <c r="R33" s="20" t="n">
        <v>1.02162654</v>
      </c>
    </row>
    <row r="34" spans="1:18">
      <c r="A34" s="15" t="s">
        <v>376</v>
      </c>
      <c r="B34" s="17" t="n">
        <v>6350</v>
      </c>
      <c r="C34" s="18">
        <f>(5578.0/B34*100)</f>
        <v/>
      </c>
      <c r="D34" s="19" t="n">
        <v>772</v>
      </c>
      <c r="E34" s="18" t="n">
        <v>37.36751507</v>
      </c>
      <c r="F34" s="20" t="n">
        <v>1.65359153</v>
      </c>
      <c r="G34" s="18" t="n">
        <v>53.89543053</v>
      </c>
      <c r="H34" s="20" t="n">
        <v>1.59223433</v>
      </c>
      <c r="I34" s="18" t="s">
        <v>349</v>
      </c>
      <c r="J34" s="20" t="s">
        <v>349</v>
      </c>
      <c r="K34" s="18" t="n">
        <v>0.10195381</v>
      </c>
      <c r="L34" s="20" t="n">
        <v>0.10145737</v>
      </c>
      <c r="M34" s="18" t="n">
        <v>0</v>
      </c>
      <c r="N34" s="20" t="n">
        <v>0</v>
      </c>
      <c r="O34" s="18" t="n">
        <v>0</v>
      </c>
      <c r="P34" s="20" t="n">
        <v>0</v>
      </c>
      <c r="Q34" s="18" t="n">
        <v>8.63510059</v>
      </c>
      <c r="R34" s="20" t="n">
        <v>0.8436081600000001</v>
      </c>
    </row>
    <row r="35" spans="1:18">
      <c r="A35" s="15" t="s">
        <v>377</v>
      </c>
      <c r="B35" s="17" t="n">
        <v>6406</v>
      </c>
      <c r="C35" s="18">
        <f>(5618.0/B35*100)</f>
        <v/>
      </c>
      <c r="D35" s="19" t="n">
        <v>788</v>
      </c>
      <c r="E35" s="18" t="n">
        <v>26.38681849</v>
      </c>
      <c r="F35" s="20" t="n">
        <v>1.85292063</v>
      </c>
      <c r="G35" s="18" t="n">
        <v>64.76176451000001</v>
      </c>
      <c r="H35" s="20" t="n">
        <v>1.94449719</v>
      </c>
      <c r="I35" s="18" t="s">
        <v>349</v>
      </c>
      <c r="J35" s="20" t="s">
        <v>349</v>
      </c>
      <c r="K35" s="18" t="n">
        <v>0.12171637</v>
      </c>
      <c r="L35" s="20" t="n">
        <v>0.08758796000000001</v>
      </c>
      <c r="M35" s="18" t="n">
        <v>0.21920717</v>
      </c>
      <c r="N35" s="20" t="n">
        <v>0.22195064</v>
      </c>
      <c r="O35" s="18" t="n">
        <v>0</v>
      </c>
      <c r="P35" s="20" t="n">
        <v>0</v>
      </c>
      <c r="Q35" s="18" t="n">
        <v>8.51049347</v>
      </c>
      <c r="R35" s="20" t="n">
        <v>1.08889781</v>
      </c>
    </row>
    <row r="36" spans="1:18">
      <c r="A36" s="15" t="s">
        <v>378</v>
      </c>
      <c r="B36" s="17" t="n">
        <v>6736</v>
      </c>
      <c r="C36" s="18">
        <f>(5920.0/B36*100)</f>
        <v/>
      </c>
      <c r="D36" s="19" t="n">
        <v>816</v>
      </c>
      <c r="E36" s="18" t="n">
        <v>28.75224034</v>
      </c>
      <c r="F36" s="20" t="n">
        <v>1.65942759</v>
      </c>
      <c r="G36" s="18" t="n">
        <v>62.4716047</v>
      </c>
      <c r="H36" s="20" t="n">
        <v>1.64132937</v>
      </c>
      <c r="I36" s="18" t="s">
        <v>349</v>
      </c>
      <c r="J36" s="20" t="s">
        <v>349</v>
      </c>
      <c r="K36" s="18" t="n">
        <v>0.45556595</v>
      </c>
      <c r="L36" s="20" t="n">
        <v>0.26296629</v>
      </c>
      <c r="M36" s="18" t="n">
        <v>0</v>
      </c>
      <c r="N36" s="20" t="n">
        <v>0</v>
      </c>
      <c r="O36" s="18" t="n">
        <v>0</v>
      </c>
      <c r="P36" s="20" t="n">
        <v>0</v>
      </c>
      <c r="Q36" s="18" t="n">
        <v>8.320589010000001</v>
      </c>
      <c r="R36" s="20" t="n">
        <v>1.20318169</v>
      </c>
    </row>
    <row r="37" spans="1:18">
      <c r="A37" s="15" t="s">
        <v>379</v>
      </c>
      <c r="B37" s="17" t="n">
        <v>5458</v>
      </c>
      <c r="C37" s="18">
        <f>(4795.0/B37*100)</f>
        <v/>
      </c>
      <c r="D37" s="19" t="n">
        <v>663</v>
      </c>
      <c r="E37" s="18" t="n">
        <v>27.43463011</v>
      </c>
      <c r="F37" s="20" t="n">
        <v>2.05523416</v>
      </c>
      <c r="G37" s="18" t="n">
        <v>65.90451186</v>
      </c>
      <c r="H37" s="20" t="n">
        <v>2.17440836</v>
      </c>
      <c r="I37" s="18" t="s">
        <v>349</v>
      </c>
      <c r="J37" s="20" t="s">
        <v>349</v>
      </c>
      <c r="K37" s="18" t="n">
        <v>0.42292681</v>
      </c>
      <c r="L37" s="20" t="n">
        <v>0.24289981</v>
      </c>
      <c r="M37" s="18" t="n">
        <v>0.1521096</v>
      </c>
      <c r="N37" s="20" t="n">
        <v>0.10758983</v>
      </c>
      <c r="O37" s="18" t="n">
        <v>0</v>
      </c>
      <c r="P37" s="20" t="n">
        <v>0</v>
      </c>
      <c r="Q37" s="18" t="n">
        <v>6.08582162</v>
      </c>
      <c r="R37" s="20" t="n">
        <v>0.99444224</v>
      </c>
    </row>
    <row r="38" spans="1:18">
      <c r="A38" s="15" t="s">
        <v>380</v>
      </c>
      <c r="B38" s="17" t="n">
        <v>5860</v>
      </c>
      <c r="C38" s="18">
        <f>(4883.0/B38*100)</f>
        <v/>
      </c>
      <c r="D38" s="19" t="n">
        <v>977</v>
      </c>
      <c r="E38" s="18" t="n">
        <v>29.16435918</v>
      </c>
      <c r="F38" s="20" t="n">
        <v>1.67757515</v>
      </c>
      <c r="G38" s="18" t="n">
        <v>62.94280207</v>
      </c>
      <c r="H38" s="20" t="n">
        <v>1.88344945</v>
      </c>
      <c r="I38" s="18" t="s">
        <v>349</v>
      </c>
      <c r="J38" s="20" t="s">
        <v>349</v>
      </c>
      <c r="K38" s="18" t="n">
        <v>0.6236147</v>
      </c>
      <c r="L38" s="20" t="n">
        <v>0.24845417</v>
      </c>
      <c r="M38" s="18" t="n">
        <v>0</v>
      </c>
      <c r="N38" s="20" t="n">
        <v>0</v>
      </c>
      <c r="O38" s="18" t="n">
        <v>0</v>
      </c>
      <c r="P38" s="20" t="n">
        <v>0</v>
      </c>
      <c r="Q38" s="18" t="n">
        <v>7.26922404</v>
      </c>
      <c r="R38" s="20" t="n">
        <v>1.11041698</v>
      </c>
    </row>
    <row r="39" spans="1:18">
      <c r="A39" s="15" t="s">
        <v>381</v>
      </c>
      <c r="B39" s="17" t="n">
        <v>5895</v>
      </c>
      <c r="C39" s="18">
        <f>(5199.0/B39*100)</f>
        <v/>
      </c>
      <c r="D39" s="19" t="n">
        <v>696</v>
      </c>
      <c r="E39" s="18" t="n">
        <v>38.5796694</v>
      </c>
      <c r="F39" s="20" t="n">
        <v>1.63682961</v>
      </c>
      <c r="G39" s="18" t="n">
        <v>48.16138946</v>
      </c>
      <c r="H39" s="20" t="n">
        <v>1.86296432</v>
      </c>
      <c r="I39" s="18" t="s">
        <v>349</v>
      </c>
      <c r="J39" s="20" t="s">
        <v>349</v>
      </c>
      <c r="K39" s="18" t="n">
        <v>0.86736754</v>
      </c>
      <c r="L39" s="20" t="n">
        <v>0.33393223</v>
      </c>
      <c r="M39" s="18" t="n">
        <v>0.1731924</v>
      </c>
      <c r="N39" s="20" t="n">
        <v>0.18457506</v>
      </c>
      <c r="O39" s="18" t="n">
        <v>0</v>
      </c>
      <c r="P39" s="20" t="n">
        <v>0</v>
      </c>
      <c r="Q39" s="18" t="n">
        <v>12.2183812</v>
      </c>
      <c r="R39" s="20" t="n">
        <v>1.45419168</v>
      </c>
    </row>
    <row r="40" spans="1:18">
      <c r="A40" s="15" t="s">
        <v>382</v>
      </c>
      <c r="B40" s="17" t="n">
        <v>14157</v>
      </c>
      <c r="C40" s="18">
        <f>(12424.0/B40*100)</f>
        <v/>
      </c>
      <c r="D40" s="19" t="n">
        <v>1733</v>
      </c>
      <c r="E40" s="18" t="n">
        <v>26.82782519</v>
      </c>
      <c r="F40" s="20" t="n">
        <v>1.47696057</v>
      </c>
      <c r="G40" s="18" t="n">
        <v>65.47359917999999</v>
      </c>
      <c r="H40" s="20" t="n">
        <v>1.62567993</v>
      </c>
      <c r="I40" s="18" t="s">
        <v>349</v>
      </c>
      <c r="J40" s="20" t="s">
        <v>349</v>
      </c>
      <c r="K40" s="18" t="n">
        <v>0.30848124</v>
      </c>
      <c r="L40" s="20" t="n">
        <v>0.16727468</v>
      </c>
      <c r="M40" s="18" t="n">
        <v>0.34607477</v>
      </c>
      <c r="N40" s="20" t="n">
        <v>0.23984517</v>
      </c>
      <c r="O40" s="18" t="n">
        <v>0</v>
      </c>
      <c r="P40" s="20" t="n">
        <v>0</v>
      </c>
      <c r="Q40" s="18" t="n">
        <v>7.04401961</v>
      </c>
      <c r="R40" s="20" t="n">
        <v>1.07130315</v>
      </c>
    </row>
    <row r="41" spans="1:18">
      <c r="A41" s="15" t="s">
        <v>383</v>
      </c>
      <c r="B41" s="17" t="n">
        <v>5712</v>
      </c>
      <c r="C41" s="18">
        <f>(4992.0/B41*100)</f>
        <v/>
      </c>
      <c r="D41" s="19" t="n">
        <v>720</v>
      </c>
      <c r="E41" s="18" t="n">
        <v>40.26831005</v>
      </c>
      <c r="F41" s="20" t="n">
        <v>2.20967625</v>
      </c>
      <c r="G41" s="18" t="n">
        <v>56.1094136</v>
      </c>
      <c r="H41" s="20" t="n">
        <v>2.31360866</v>
      </c>
      <c r="I41" s="18" t="s">
        <v>349</v>
      </c>
      <c r="J41" s="20" t="s">
        <v>349</v>
      </c>
      <c r="K41" s="18" t="n">
        <v>0.10654466</v>
      </c>
      <c r="L41" s="20" t="n">
        <v>0.11037462</v>
      </c>
      <c r="M41" s="18" t="n">
        <v>0</v>
      </c>
      <c r="N41" s="20" t="n">
        <v>0</v>
      </c>
      <c r="O41" s="18" t="n">
        <v>0</v>
      </c>
      <c r="P41" s="20" t="n">
        <v>0</v>
      </c>
      <c r="Q41" s="18" t="n">
        <v>3.51573169</v>
      </c>
      <c r="R41" s="20" t="n">
        <v>1.06400955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(20783.0/B46*100)</f>
        <v/>
      </c>
      <c r="D46" s="19" t="n">
        <v>2358</v>
      </c>
      <c r="E46" s="18" t="n">
        <v>45.95305253</v>
      </c>
      <c r="F46" s="20" t="n">
        <v>1.35711088</v>
      </c>
      <c r="G46" s="18" t="n">
        <v>36.80637402</v>
      </c>
      <c r="H46" s="20" t="n">
        <v>1.36071614</v>
      </c>
      <c r="I46" s="18" t="s">
        <v>349</v>
      </c>
      <c r="J46" s="20" t="s">
        <v>349</v>
      </c>
      <c r="K46" s="18" t="n">
        <v>1.34154526</v>
      </c>
      <c r="L46" s="20" t="n">
        <v>0.37286422</v>
      </c>
      <c r="M46" s="18" t="n">
        <v>0.34014749</v>
      </c>
      <c r="N46" s="20" t="n">
        <v>0.18524928</v>
      </c>
      <c r="O46" s="18" t="n">
        <v>0</v>
      </c>
      <c r="P46" s="20" t="n">
        <v>0</v>
      </c>
      <c r="Q46" s="18" t="n">
        <v>15.5588807</v>
      </c>
      <c r="R46" s="20" t="n">
        <v>1.09873381</v>
      </c>
    </row>
    <row r="47" spans="1:18">
      <c r="A47" s="15" t="s">
        <v>389</v>
      </c>
      <c r="B47" s="17" t="n">
        <v>5928</v>
      </c>
      <c r="C47" s="18">
        <f>(5197.0/B47*100)</f>
        <v/>
      </c>
      <c r="D47" s="19" t="n">
        <v>731</v>
      </c>
      <c r="E47" s="18" t="n">
        <v>37.15130319</v>
      </c>
      <c r="F47" s="20" t="n">
        <v>2.08156514</v>
      </c>
      <c r="G47" s="18" t="n">
        <v>43.53065531</v>
      </c>
      <c r="H47" s="20" t="n">
        <v>2.09041246</v>
      </c>
      <c r="I47" s="18" t="s">
        <v>349</v>
      </c>
      <c r="J47" s="20" t="s">
        <v>349</v>
      </c>
      <c r="K47" s="18" t="n">
        <v>0.55691764</v>
      </c>
      <c r="L47" s="20" t="n">
        <v>0.2669838</v>
      </c>
      <c r="M47" s="18" t="n">
        <v>0</v>
      </c>
      <c r="N47" s="20" t="n">
        <v>0</v>
      </c>
      <c r="O47" s="18" t="n">
        <v>0</v>
      </c>
      <c r="P47" s="20" t="n">
        <v>0</v>
      </c>
      <c r="Q47" s="18" t="n">
        <v>18.76112385</v>
      </c>
      <c r="R47" s="20" t="n">
        <v>1.41238819</v>
      </c>
    </row>
    <row r="48" spans="1:18">
      <c r="A48" s="15" t="s">
        <v>390</v>
      </c>
      <c r="B48" s="17" t="n">
        <v>9841</v>
      </c>
      <c r="C48" s="18">
        <f>(8650.0/B48*100)</f>
        <v/>
      </c>
      <c r="D48" s="19" t="n">
        <v>1191</v>
      </c>
      <c r="E48" s="18" t="n">
        <v>29.79658602</v>
      </c>
      <c r="F48" s="20" t="n">
        <v>1.75470087</v>
      </c>
      <c r="G48" s="18" t="n">
        <v>65.55037846</v>
      </c>
      <c r="H48" s="20" t="n">
        <v>1.85657316</v>
      </c>
      <c r="I48" s="18" t="s">
        <v>349</v>
      </c>
      <c r="J48" s="20" t="s">
        <v>349</v>
      </c>
      <c r="K48" s="18" t="n">
        <v>0.5893211699999999</v>
      </c>
      <c r="L48" s="20" t="n">
        <v>0.30351523</v>
      </c>
      <c r="M48" s="18" t="n">
        <v>0</v>
      </c>
      <c r="N48" s="20" t="n">
        <v>0</v>
      </c>
      <c r="O48" s="18" t="n">
        <v>0</v>
      </c>
      <c r="P48" s="20" t="n">
        <v>0</v>
      </c>
      <c r="Q48" s="18" t="n">
        <v>4.06371435</v>
      </c>
      <c r="R48" s="20" t="n">
        <v>0.80572405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(10418.0/B50*100)</f>
        <v/>
      </c>
      <c r="D50" s="19" t="n">
        <v>1377</v>
      </c>
      <c r="E50" s="18" t="n">
        <v>57.31740678</v>
      </c>
      <c r="F50" s="20" t="n">
        <v>1.83386049</v>
      </c>
      <c r="G50" s="18" t="n">
        <v>36.50528142</v>
      </c>
      <c r="H50" s="20" t="n">
        <v>1.82679223</v>
      </c>
      <c r="I50" s="18" t="s">
        <v>349</v>
      </c>
      <c r="J50" s="20" t="s">
        <v>349</v>
      </c>
      <c r="K50" s="18" t="n">
        <v>1.50637645</v>
      </c>
      <c r="L50" s="20" t="n">
        <v>0.40973461</v>
      </c>
      <c r="M50" s="18" t="n">
        <v>0.07381301999999999</v>
      </c>
      <c r="N50" s="20" t="n">
        <v>0.07347094</v>
      </c>
      <c r="O50" s="18" t="n">
        <v>0</v>
      </c>
      <c r="P50" s="20" t="n">
        <v>0</v>
      </c>
      <c r="Q50" s="18" t="n">
        <v>4.59712232</v>
      </c>
      <c r="R50" s="20" t="n">
        <v>0.71696505</v>
      </c>
    </row>
    <row r="51" spans="1:18">
      <c r="A51" s="15" t="s">
        <v>393</v>
      </c>
      <c r="B51" s="17" t="n">
        <v>6866</v>
      </c>
      <c r="C51" s="18">
        <f>(6140.0/B51*100)</f>
        <v/>
      </c>
      <c r="D51" s="19" t="n">
        <v>726</v>
      </c>
      <c r="E51" s="18" t="n">
        <v>44.01179417</v>
      </c>
      <c r="F51" s="20" t="n">
        <v>2.17192365</v>
      </c>
      <c r="G51" s="18" t="n">
        <v>45.23516062</v>
      </c>
      <c r="H51" s="20" t="n">
        <v>2.30023101</v>
      </c>
      <c r="I51" s="18" t="s">
        <v>349</v>
      </c>
      <c r="J51" s="20" t="s">
        <v>349</v>
      </c>
      <c r="K51" s="18" t="n">
        <v>0.7130681</v>
      </c>
      <c r="L51" s="20" t="n">
        <v>0.37404632</v>
      </c>
      <c r="M51" s="18" t="n">
        <v>0</v>
      </c>
      <c r="N51" s="20" t="n">
        <v>0</v>
      </c>
      <c r="O51" s="18" t="n">
        <v>0</v>
      </c>
      <c r="P51" s="20" t="n">
        <v>0</v>
      </c>
      <c r="Q51" s="18" t="n">
        <v>10.0399771</v>
      </c>
      <c r="R51" s="20" t="n">
        <v>1.2140301</v>
      </c>
    </row>
    <row r="52" spans="1:18">
      <c r="A52" s="15" t="s">
        <v>394</v>
      </c>
      <c r="B52" s="17" t="n">
        <v>5809</v>
      </c>
      <c r="C52" s="18">
        <f>(5085.0/B52*100)</f>
        <v/>
      </c>
      <c r="D52" s="19" t="n">
        <v>724</v>
      </c>
      <c r="E52" s="18" t="n">
        <v>26.36194437</v>
      </c>
      <c r="F52" s="20" t="n">
        <v>1.62913705</v>
      </c>
      <c r="G52" s="18" t="n">
        <v>54.69436533</v>
      </c>
      <c r="H52" s="20" t="n">
        <v>2.01129609</v>
      </c>
      <c r="I52" s="18" t="s">
        <v>349</v>
      </c>
      <c r="J52" s="20" t="s">
        <v>349</v>
      </c>
      <c r="K52" s="18" t="n">
        <v>0.43184999</v>
      </c>
      <c r="L52" s="20" t="n">
        <v>0.26715733</v>
      </c>
      <c r="M52" s="18" t="n">
        <v>0</v>
      </c>
      <c r="N52" s="20" t="n">
        <v>0</v>
      </c>
      <c r="O52" s="18" t="n">
        <v>0</v>
      </c>
      <c r="P52" s="20" t="n">
        <v>0</v>
      </c>
      <c r="Q52" s="18" t="n">
        <v>18.5118403</v>
      </c>
      <c r="R52" s="20" t="n">
        <v>1.46055073</v>
      </c>
    </row>
    <row r="53" spans="1:18">
      <c r="A53" s="15" t="s">
        <v>395</v>
      </c>
      <c r="B53" s="17" t="n">
        <v>5571</v>
      </c>
      <c r="C53" s="18">
        <f>(4889.0/B53*100)</f>
        <v/>
      </c>
      <c r="D53" s="19" t="n">
        <v>682</v>
      </c>
      <c r="E53" s="18" t="n">
        <v>36.22235141</v>
      </c>
      <c r="F53" s="20" t="n">
        <v>1.97237376</v>
      </c>
      <c r="G53" s="18" t="n">
        <v>50.36667485</v>
      </c>
      <c r="H53" s="20" t="n">
        <v>1.93634145</v>
      </c>
      <c r="I53" s="18" t="s">
        <v>349</v>
      </c>
      <c r="J53" s="20" t="s">
        <v>349</v>
      </c>
      <c r="K53" s="18" t="n">
        <v>0.32351687</v>
      </c>
      <c r="L53" s="20" t="n">
        <v>0.18774246</v>
      </c>
      <c r="M53" s="18" t="n">
        <v>0</v>
      </c>
      <c r="N53" s="20" t="n">
        <v>0</v>
      </c>
      <c r="O53" s="18" t="n">
        <v>0</v>
      </c>
      <c r="P53" s="20" t="n">
        <v>0</v>
      </c>
      <c r="Q53" s="18" t="n">
        <v>13.08745686</v>
      </c>
      <c r="R53" s="20" t="n">
        <v>1.2557089</v>
      </c>
    </row>
    <row r="54" spans="1:18">
      <c r="A54" s="15" t="s">
        <v>396</v>
      </c>
      <c r="B54" s="17" t="n">
        <v>4740</v>
      </c>
      <c r="C54" s="18">
        <f>(3954.0/B54*100)</f>
        <v/>
      </c>
      <c r="D54" s="19" t="n">
        <v>786</v>
      </c>
      <c r="E54" s="18" t="n">
        <v>54.61903102</v>
      </c>
      <c r="F54" s="20" t="n">
        <v>2.03872414</v>
      </c>
      <c r="G54" s="18" t="n">
        <v>15.67763247</v>
      </c>
      <c r="H54" s="20" t="n">
        <v>1.3506116</v>
      </c>
      <c r="I54" s="18" t="s">
        <v>349</v>
      </c>
      <c r="J54" s="20" t="s">
        <v>349</v>
      </c>
      <c r="K54" s="18" t="n">
        <v>9.83331066</v>
      </c>
      <c r="L54" s="20" t="n">
        <v>1.09191134</v>
      </c>
      <c r="M54" s="18" t="n">
        <v>1.04667096</v>
      </c>
      <c r="N54" s="20" t="n">
        <v>0.81711333</v>
      </c>
      <c r="O54" s="18" t="n">
        <v>0</v>
      </c>
      <c r="P54" s="20" t="n">
        <v>0</v>
      </c>
      <c r="Q54" s="18" t="n">
        <v>18.82335489</v>
      </c>
      <c r="R54" s="20" t="n">
        <v>1.7973611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(4702.0/B56*100)</f>
        <v/>
      </c>
      <c r="D56" s="19" t="n">
        <v>657</v>
      </c>
      <c r="E56" s="18" t="n">
        <v>26.57239979</v>
      </c>
      <c r="F56" s="20" t="n">
        <v>1.72751327</v>
      </c>
      <c r="G56" s="18" t="n">
        <v>71.2981474</v>
      </c>
      <c r="H56" s="20" t="n">
        <v>1.86487227</v>
      </c>
      <c r="I56" s="18" t="s">
        <v>349</v>
      </c>
      <c r="J56" s="20" t="s">
        <v>349</v>
      </c>
      <c r="K56" s="18" t="n">
        <v>0.12663848</v>
      </c>
      <c r="L56" s="20" t="n">
        <v>0.12889232</v>
      </c>
      <c r="M56" s="18" t="n">
        <v>0</v>
      </c>
      <c r="N56" s="20" t="n">
        <v>0</v>
      </c>
      <c r="O56" s="18" t="n">
        <v>0</v>
      </c>
      <c r="P56" s="20" t="n">
        <v>0</v>
      </c>
      <c r="Q56" s="18" t="n">
        <v>2.00281432</v>
      </c>
      <c r="R56" s="20" t="n">
        <v>0.54408992</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(5718.0/B61*100)</f>
        <v/>
      </c>
      <c r="D61" s="19" t="n">
        <v>807</v>
      </c>
      <c r="E61" s="18" t="n">
        <v>26.60244051</v>
      </c>
      <c r="F61" s="20" t="n">
        <v>2.06254059</v>
      </c>
      <c r="G61" s="18" t="n">
        <v>64.72333080999999</v>
      </c>
      <c r="H61" s="20" t="n">
        <v>2.31430675</v>
      </c>
      <c r="I61" s="18" t="s">
        <v>349</v>
      </c>
      <c r="J61" s="20" t="s">
        <v>349</v>
      </c>
      <c r="K61" s="18" t="n">
        <v>0.51646339</v>
      </c>
      <c r="L61" s="20" t="n">
        <v>0.38680691</v>
      </c>
      <c r="M61" s="18" t="n">
        <v>0.15065334</v>
      </c>
      <c r="N61" s="20" t="n">
        <v>0.14804122</v>
      </c>
      <c r="O61" s="18" t="n">
        <v>0</v>
      </c>
      <c r="P61" s="20" t="n">
        <v>0</v>
      </c>
      <c r="Q61" s="18" t="n">
        <v>8.007111950000001</v>
      </c>
      <c r="R61" s="20" t="n">
        <v>1.14510648</v>
      </c>
    </row>
    <row r="62" spans="1:18">
      <c r="A62" s="15" t="s">
        <v>404</v>
      </c>
      <c r="B62" s="17" t="n">
        <v>4476</v>
      </c>
      <c r="C62" s="18">
        <f>(3928.0/B62*100)</f>
        <v/>
      </c>
      <c r="D62" s="19" t="n">
        <v>548</v>
      </c>
      <c r="E62" s="18" t="n">
        <v>25.87479106</v>
      </c>
      <c r="F62" s="20" t="n">
        <v>1.85005868</v>
      </c>
      <c r="G62" s="18" t="n">
        <v>73.76277927</v>
      </c>
      <c r="H62" s="20" t="n">
        <v>1.89235222</v>
      </c>
      <c r="I62" s="18" t="s">
        <v>349</v>
      </c>
      <c r="J62" s="20" t="s">
        <v>349</v>
      </c>
      <c r="K62" s="18" t="n">
        <v>0</v>
      </c>
      <c r="L62" s="20" t="n">
        <v>0</v>
      </c>
      <c r="M62" s="18" t="n">
        <v>0</v>
      </c>
      <c r="N62" s="20" t="n">
        <v>0</v>
      </c>
      <c r="O62" s="18" t="n">
        <v>0</v>
      </c>
      <c r="P62" s="20" t="n">
        <v>0</v>
      </c>
      <c r="Q62" s="18" t="n">
        <v>0.36242967</v>
      </c>
      <c r="R62" s="20" t="n">
        <v>0.25486527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(4984.0/B66*100)</f>
        <v/>
      </c>
      <c r="D66" s="19" t="n">
        <v>681</v>
      </c>
      <c r="E66" s="18" t="n">
        <v>26.50806691</v>
      </c>
      <c r="F66" s="20" t="n">
        <v>1.70248228</v>
      </c>
      <c r="G66" s="18" t="n">
        <v>42.64947766</v>
      </c>
      <c r="H66" s="20" t="n">
        <v>1.82867247</v>
      </c>
      <c r="I66" s="18" t="s">
        <v>349</v>
      </c>
      <c r="J66" s="20" t="s">
        <v>349</v>
      </c>
      <c r="K66" s="18" t="n">
        <v>0.66596939</v>
      </c>
      <c r="L66" s="20" t="n">
        <v>0.29964257</v>
      </c>
      <c r="M66" s="18" t="n">
        <v>0.1293661</v>
      </c>
      <c r="N66" s="20" t="n">
        <v>0.1296352</v>
      </c>
      <c r="O66" s="18" t="n">
        <v>0</v>
      </c>
      <c r="P66" s="20" t="n">
        <v>0</v>
      </c>
      <c r="Q66" s="18" t="n">
        <v>30.04711994</v>
      </c>
      <c r="R66" s="20" t="n">
        <v>1.64567961</v>
      </c>
    </row>
    <row r="67" spans="1:18">
      <c r="A67" s="15" t="s">
        <v>409</v>
      </c>
      <c r="B67" s="17" t="n">
        <v>6971</v>
      </c>
      <c r="C67" s="18">
        <f>(6193.0/B67*100)</f>
        <v/>
      </c>
      <c r="D67" s="19" t="n">
        <v>778</v>
      </c>
      <c r="E67" s="18" t="n">
        <v>46.81112419</v>
      </c>
      <c r="F67" s="20" t="n">
        <v>1.90827523</v>
      </c>
      <c r="G67" s="18" t="n">
        <v>40.12893236</v>
      </c>
      <c r="H67" s="20" t="n">
        <v>2.04597188</v>
      </c>
      <c r="I67" s="18" t="s">
        <v>349</v>
      </c>
      <c r="J67" s="20" t="s">
        <v>349</v>
      </c>
      <c r="K67" s="18" t="n">
        <v>0.4383469</v>
      </c>
      <c r="L67" s="20" t="n">
        <v>0.35212039</v>
      </c>
      <c r="M67" s="18" t="n">
        <v>0</v>
      </c>
      <c r="N67" s="20" t="n">
        <v>0</v>
      </c>
      <c r="O67" s="18" t="n">
        <v>0</v>
      </c>
      <c r="P67" s="20" t="n">
        <v>0</v>
      </c>
      <c r="Q67" s="18" t="n">
        <v>12.62159655</v>
      </c>
      <c r="R67" s="20" t="n">
        <v>1.29747498</v>
      </c>
    </row>
    <row r="68" spans="1:18">
      <c r="A68" s="15" t="s">
        <v>410</v>
      </c>
      <c r="B68" s="17" t="n">
        <v>12083</v>
      </c>
      <c r="C68" s="18">
        <f>(10097.0/B68*100)</f>
        <v/>
      </c>
      <c r="D68" s="19" t="n">
        <v>1986</v>
      </c>
      <c r="E68" s="18" t="n">
        <v>44.52616498</v>
      </c>
      <c r="F68" s="20" t="n">
        <v>1.21648955</v>
      </c>
      <c r="G68" s="18" t="n">
        <v>43.78811478</v>
      </c>
      <c r="H68" s="20" t="n">
        <v>1.17257558</v>
      </c>
      <c r="I68" s="18" t="s">
        <v>349</v>
      </c>
      <c r="J68" s="20" t="s">
        <v>349</v>
      </c>
      <c r="K68" s="18" t="n">
        <v>2.09525906</v>
      </c>
      <c r="L68" s="20" t="n">
        <v>0.30838253</v>
      </c>
      <c r="M68" s="18" t="n">
        <v>0.10509485</v>
      </c>
      <c r="N68" s="20" t="n">
        <v>0.07481461</v>
      </c>
      <c r="O68" s="18" t="n">
        <v>0</v>
      </c>
      <c r="P68" s="20" t="n">
        <v>0</v>
      </c>
      <c r="Q68" s="18" t="n">
        <v>9.485366340000001</v>
      </c>
      <c r="R68" s="20" t="n">
        <v>0.7164734699999999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(5330.0/B70*100)</f>
        <v/>
      </c>
      <c r="D70" s="19" t="n">
        <v>706</v>
      </c>
      <c r="E70" s="18" t="n">
        <v>28.79953156</v>
      </c>
      <c r="F70" s="20" t="n">
        <v>2.50815634</v>
      </c>
      <c r="G70" s="18" t="n">
        <v>63.44918881</v>
      </c>
      <c r="H70" s="20" t="n">
        <v>2.45621559</v>
      </c>
      <c r="I70" s="18" t="s">
        <v>349</v>
      </c>
      <c r="J70" s="20" t="s">
        <v>349</v>
      </c>
      <c r="K70" s="18" t="n">
        <v>0.69008356</v>
      </c>
      <c r="L70" s="20" t="n">
        <v>0.24221089</v>
      </c>
      <c r="M70" s="18" t="n">
        <v>1.86251621</v>
      </c>
      <c r="N70" s="20" t="n">
        <v>0.49234986</v>
      </c>
      <c r="O70" s="18" t="n">
        <v>0</v>
      </c>
      <c r="P70" s="20" t="n">
        <v>0</v>
      </c>
      <c r="Q70" s="18" t="n">
        <v>5.19867987</v>
      </c>
      <c r="R70" s="20" t="n">
        <v>0.87340922</v>
      </c>
    </row>
    <row r="71" spans="1:18">
      <c r="A71" s="15" t="s">
        <v>413</v>
      </c>
      <c r="B71" s="17" t="n">
        <v>6115</v>
      </c>
      <c r="C71" s="18">
        <f>(5380.0/B71*100)</f>
        <v/>
      </c>
      <c r="D71" s="19" t="n">
        <v>735</v>
      </c>
      <c r="E71" s="18" t="n">
        <v>22.45405418</v>
      </c>
      <c r="F71" s="20" t="n">
        <v>1.60479393</v>
      </c>
      <c r="G71" s="18" t="n">
        <v>75.64409147000001</v>
      </c>
      <c r="H71" s="20" t="n">
        <v>1.58743428</v>
      </c>
      <c r="I71" s="18" t="s">
        <v>349</v>
      </c>
      <c r="J71" s="20" t="s">
        <v>349</v>
      </c>
      <c r="K71" s="18" t="n">
        <v>0.16137771</v>
      </c>
      <c r="L71" s="20" t="n">
        <v>0.16122523</v>
      </c>
      <c r="M71" s="18" t="n">
        <v>0</v>
      </c>
      <c r="N71" s="20" t="n">
        <v>0</v>
      </c>
      <c r="O71" s="18" t="n">
        <v>0</v>
      </c>
      <c r="P71" s="20" t="n">
        <v>0</v>
      </c>
      <c r="Q71" s="18" t="n">
        <v>1.74047664</v>
      </c>
      <c r="R71" s="20" t="n">
        <v>0.42021766</v>
      </c>
    </row>
    <row r="72" spans="1:18">
      <c r="A72" s="15" t="s">
        <v>414</v>
      </c>
      <c r="B72" s="17" t="n">
        <v>7708</v>
      </c>
      <c r="C72" s="18">
        <f>(6752.0/B72*100)</f>
        <v/>
      </c>
      <c r="D72" s="19" t="n">
        <v>956</v>
      </c>
      <c r="E72" s="18" t="n">
        <v>15.35548059</v>
      </c>
      <c r="F72" s="20" t="n">
        <v>1.2356737</v>
      </c>
      <c r="G72" s="18" t="n">
        <v>78.80338967</v>
      </c>
      <c r="H72" s="20" t="n">
        <v>1.40314894</v>
      </c>
      <c r="I72" s="18" t="s">
        <v>349</v>
      </c>
      <c r="J72" s="20" t="s">
        <v>349</v>
      </c>
      <c r="K72" s="18" t="n">
        <v>0.07066324</v>
      </c>
      <c r="L72" s="20" t="n">
        <v>0.07134121</v>
      </c>
      <c r="M72" s="18" t="n">
        <v>0</v>
      </c>
      <c r="N72" s="20" t="n">
        <v>0</v>
      </c>
      <c r="O72" s="18" t="n">
        <v>0</v>
      </c>
      <c r="P72" s="20" t="n">
        <v>0</v>
      </c>
      <c r="Q72" s="18" t="n">
        <v>5.7704665</v>
      </c>
      <c r="R72" s="20" t="n">
        <v>0.82169028</v>
      </c>
    </row>
    <row r="73" spans="1:18">
      <c r="A73" s="15" t="s">
        <v>415</v>
      </c>
      <c r="B73" s="17" t="n">
        <v>8249</v>
      </c>
      <c r="C73" s="18">
        <f>(7261.0/B73*100)</f>
        <v/>
      </c>
      <c r="D73" s="19" t="n">
        <v>988</v>
      </c>
      <c r="E73" s="18" t="n">
        <v>47.47167546</v>
      </c>
      <c r="F73" s="20" t="n">
        <v>2.05735463</v>
      </c>
      <c r="G73" s="18" t="n">
        <v>49.1284319</v>
      </c>
      <c r="H73" s="20" t="n">
        <v>1.99952869</v>
      </c>
      <c r="I73" s="18" t="s">
        <v>349</v>
      </c>
      <c r="J73" s="20" t="s">
        <v>349</v>
      </c>
      <c r="K73" s="18" t="n">
        <v>0</v>
      </c>
      <c r="L73" s="20" t="n">
        <v>0</v>
      </c>
      <c r="M73" s="18" t="n">
        <v>0.0635232</v>
      </c>
      <c r="N73" s="20" t="n">
        <v>0.06357198</v>
      </c>
      <c r="O73" s="18" t="n">
        <v>0</v>
      </c>
      <c r="P73" s="20" t="n">
        <v>0</v>
      </c>
      <c r="Q73" s="18" t="n">
        <v>3.33636943</v>
      </c>
      <c r="R73" s="20" t="n">
        <v>0.66311756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(4766.0/B75*100)</f>
        <v/>
      </c>
      <c r="D75" s="19" t="n">
        <v>609</v>
      </c>
      <c r="E75" s="18" t="n">
        <v>48.65886768</v>
      </c>
      <c r="F75" s="20" t="n">
        <v>2.26220556</v>
      </c>
      <c r="G75" s="18" t="n">
        <v>27.73426704</v>
      </c>
      <c r="H75" s="20" t="n">
        <v>2.00609263</v>
      </c>
      <c r="I75" s="18" t="s">
        <v>349</v>
      </c>
      <c r="J75" s="20" t="s">
        <v>349</v>
      </c>
      <c r="K75" s="18" t="n">
        <v>3.66885062</v>
      </c>
      <c r="L75" s="20" t="n">
        <v>0.94484466</v>
      </c>
      <c r="M75" s="18" t="n">
        <v>0</v>
      </c>
      <c r="N75" s="20" t="n">
        <v>0</v>
      </c>
      <c r="O75" s="18" t="n">
        <v>0</v>
      </c>
      <c r="P75" s="20" t="n">
        <v>0</v>
      </c>
      <c r="Q75" s="18" t="n">
        <v>19.93801466</v>
      </c>
      <c r="R75" s="20" t="n">
        <v>1.69315853</v>
      </c>
    </row>
    <row r="76" spans="1:18">
      <c r="A76" s="15" t="s">
        <v>418</v>
      </c>
      <c r="B76" s="17" t="n">
        <v>14167</v>
      </c>
      <c r="C76" s="18">
        <f>(12483.0/B76*100)</f>
        <v/>
      </c>
      <c r="D76" s="19" t="n">
        <v>1684</v>
      </c>
      <c r="E76" s="18" t="n">
        <v>44.69146992</v>
      </c>
      <c r="F76" s="20" t="n">
        <v>1.63422593</v>
      </c>
      <c r="G76" s="18" t="n">
        <v>49.15851652</v>
      </c>
      <c r="H76" s="20" t="n">
        <v>1.69349578</v>
      </c>
      <c r="I76" s="18" t="s">
        <v>349</v>
      </c>
      <c r="J76" s="20" t="s">
        <v>349</v>
      </c>
      <c r="K76" s="18" t="n">
        <v>0.92659412</v>
      </c>
      <c r="L76" s="20" t="n">
        <v>0.24822554</v>
      </c>
      <c r="M76" s="18" t="n">
        <v>0.10176801</v>
      </c>
      <c r="N76" s="20" t="n">
        <v>0.06100641</v>
      </c>
      <c r="O76" s="18" t="n">
        <v>0</v>
      </c>
      <c r="P76" s="20" t="n">
        <v>0</v>
      </c>
      <c r="Q76" s="18" t="n">
        <v>5.12165144</v>
      </c>
      <c r="R76" s="20" t="n">
        <v>0.63610979</v>
      </c>
    </row>
    <row r="77" spans="1:18">
      <c r="A77" s="15" t="s">
        <v>419</v>
      </c>
      <c r="B77" s="17" t="n">
        <v>6062</v>
      </c>
      <c r="C77" s="18">
        <f>(5349.0/B77*100)</f>
        <v/>
      </c>
      <c r="D77" s="19" t="n">
        <v>713</v>
      </c>
      <c r="E77" s="18" t="n">
        <v>35.56167492</v>
      </c>
      <c r="F77" s="20" t="n">
        <v>1.81691828</v>
      </c>
      <c r="G77" s="18" t="n">
        <v>43.10596942</v>
      </c>
      <c r="H77" s="20" t="n">
        <v>1.75096818</v>
      </c>
      <c r="I77" s="18" t="s">
        <v>349</v>
      </c>
      <c r="J77" s="20" t="s">
        <v>349</v>
      </c>
      <c r="K77" s="18" t="n">
        <v>1.40649518</v>
      </c>
      <c r="L77" s="20" t="n">
        <v>0.55518121</v>
      </c>
      <c r="M77" s="18" t="n">
        <v>2.67930641</v>
      </c>
      <c r="N77" s="20" t="n">
        <v>0.52832537</v>
      </c>
      <c r="O77" s="18" t="n">
        <v>0</v>
      </c>
      <c r="P77" s="20" t="n">
        <v>0</v>
      </c>
      <c r="Q77" s="18" t="n">
        <v>17.24655407</v>
      </c>
      <c r="R77" s="20" t="n">
        <v>1.58868367</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(7771.0/B81*100)</f>
        <v/>
      </c>
      <c r="D81" s="19" t="n">
        <v>1090</v>
      </c>
      <c r="E81" s="18" t="n">
        <v>48.86838709</v>
      </c>
      <c r="F81" s="20" t="n">
        <v>1.52735736</v>
      </c>
      <c r="G81" s="18" t="n">
        <v>49.46505887</v>
      </c>
      <c r="H81" s="20" t="n">
        <v>1.61572293</v>
      </c>
      <c r="I81" s="18" t="s">
        <v>349</v>
      </c>
      <c r="J81" s="20" t="s">
        <v>349</v>
      </c>
      <c r="K81" s="18" t="n">
        <v>0.14405576</v>
      </c>
      <c r="L81" s="20" t="n">
        <v>0.14328368</v>
      </c>
      <c r="M81" s="18" t="n">
        <v>0</v>
      </c>
      <c r="N81" s="20" t="n">
        <v>0</v>
      </c>
      <c r="O81" s="18" t="n">
        <v>0</v>
      </c>
      <c r="P81" s="20" t="n">
        <v>0</v>
      </c>
      <c r="Q81" s="18" t="n">
        <v>1.52249828</v>
      </c>
      <c r="R81" s="20" t="n">
        <v>0.487402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479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(12763.0/B7*100)</f>
        <v/>
      </c>
      <c r="D7" s="19" t="n">
        <v>1767</v>
      </c>
      <c r="E7" s="18" t="n">
        <v>54.71757326</v>
      </c>
      <c r="F7" s="20" t="n">
        <v>1.56190385</v>
      </c>
      <c r="G7" s="18" t="n">
        <v>29.16134888</v>
      </c>
      <c r="H7" s="20" t="n">
        <v>1.36427198</v>
      </c>
      <c r="I7" s="18" t="s">
        <v>349</v>
      </c>
      <c r="J7" s="20" t="s">
        <v>349</v>
      </c>
      <c r="K7" s="18" t="n">
        <v>0.74159735</v>
      </c>
      <c r="L7" s="20" t="n">
        <v>0.25093146</v>
      </c>
      <c r="M7" s="18" t="n">
        <v>0</v>
      </c>
      <c r="N7" s="20" t="n">
        <v>0</v>
      </c>
      <c r="O7" s="18" t="n">
        <v>0</v>
      </c>
      <c r="P7" s="20" t="n">
        <v>0</v>
      </c>
      <c r="Q7" s="18" t="n">
        <v>15.3794805</v>
      </c>
      <c r="R7" s="20" t="n">
        <v>0.92403838</v>
      </c>
    </row>
    <row r="8" spans="1:18">
      <c r="A8" s="15" t="s">
        <v>350</v>
      </c>
      <c r="B8" s="17" t="n">
        <v>7007</v>
      </c>
      <c r="C8" s="18">
        <f>(6162.0/B8*100)</f>
        <v/>
      </c>
      <c r="D8" s="19" t="n">
        <v>845</v>
      </c>
      <c r="E8" s="18" t="n">
        <v>51.722086</v>
      </c>
      <c r="F8" s="20" t="n">
        <v>1.88644501</v>
      </c>
      <c r="G8" s="18" t="n">
        <v>31.59250796</v>
      </c>
      <c r="H8" s="20" t="n">
        <v>1.39775777</v>
      </c>
      <c r="I8" s="18" t="s">
        <v>349</v>
      </c>
      <c r="J8" s="20" t="s">
        <v>349</v>
      </c>
      <c r="K8" s="18" t="n">
        <v>0.24015929</v>
      </c>
      <c r="L8" s="20" t="n">
        <v>0.18281254</v>
      </c>
      <c r="M8" s="18" t="n">
        <v>0</v>
      </c>
      <c r="N8" s="20" t="n">
        <v>0</v>
      </c>
      <c r="O8" s="18" t="n">
        <v>0</v>
      </c>
      <c r="P8" s="20" t="n">
        <v>0</v>
      </c>
      <c r="Q8" s="18" t="n">
        <v>16.44524675</v>
      </c>
      <c r="R8" s="20" t="n">
        <v>1.5600673</v>
      </c>
    </row>
    <row r="9" spans="1:18">
      <c r="A9" s="15" t="s">
        <v>351</v>
      </c>
      <c r="B9" s="17" t="n">
        <v>9651</v>
      </c>
      <c r="C9" s="18">
        <f>(8521.0/B9*100)</f>
        <v/>
      </c>
      <c r="D9" s="19" t="n">
        <v>1130</v>
      </c>
      <c r="E9" s="18" t="n">
        <v>46.71544942</v>
      </c>
      <c r="F9" s="20" t="n">
        <v>1.66966203</v>
      </c>
      <c r="G9" s="18" t="n">
        <v>36.4302737</v>
      </c>
      <c r="H9" s="20" t="n">
        <v>1.49534786</v>
      </c>
      <c r="I9" s="18" t="s">
        <v>349</v>
      </c>
      <c r="J9" s="20" t="s">
        <v>349</v>
      </c>
      <c r="K9" s="18" t="n">
        <v>0.43923933</v>
      </c>
      <c r="L9" s="20" t="n">
        <v>0.22630601</v>
      </c>
      <c r="M9" s="18" t="n">
        <v>0</v>
      </c>
      <c r="N9" s="20" t="n">
        <v>0</v>
      </c>
      <c r="O9" s="18" t="n">
        <v>0</v>
      </c>
      <c r="P9" s="20" t="n">
        <v>0</v>
      </c>
      <c r="Q9" s="18" t="n">
        <v>16.41503756</v>
      </c>
      <c r="R9" s="20" t="n">
        <v>1.19380464</v>
      </c>
    </row>
    <row r="10" spans="1:18">
      <c r="A10" s="15" t="s">
        <v>352</v>
      </c>
      <c r="B10" s="17" t="n">
        <v>20058</v>
      </c>
      <c r="C10" s="18">
        <f>(17615.0/B10*100)</f>
        <v/>
      </c>
      <c r="D10" s="19" t="n">
        <v>2443</v>
      </c>
      <c r="E10" s="18" t="n">
        <v>53.32623802</v>
      </c>
      <c r="F10" s="20" t="n">
        <v>1.33984849</v>
      </c>
      <c r="G10" s="18" t="n">
        <v>37.0278481</v>
      </c>
      <c r="H10" s="20" t="n">
        <v>1.4087132</v>
      </c>
      <c r="I10" s="18" t="s">
        <v>349</v>
      </c>
      <c r="J10" s="20" t="s">
        <v>349</v>
      </c>
      <c r="K10" s="18" t="n">
        <v>0.59671891</v>
      </c>
      <c r="L10" s="20" t="n">
        <v>0.17334904</v>
      </c>
      <c r="M10" s="18" t="n">
        <v>0</v>
      </c>
      <c r="N10" s="20" t="n">
        <v>0</v>
      </c>
      <c r="O10" s="18" t="n">
        <v>0</v>
      </c>
      <c r="P10" s="20" t="n">
        <v>0</v>
      </c>
      <c r="Q10" s="18" t="n">
        <v>9.04919497</v>
      </c>
      <c r="R10" s="20" t="n">
        <v>0.89790541</v>
      </c>
    </row>
    <row r="11" spans="1:18">
      <c r="A11" s="15" t="s">
        <v>353</v>
      </c>
      <c r="B11" s="17" t="n">
        <v>7053</v>
      </c>
      <c r="C11" s="18">
        <f>(6221.0/B11*100)</f>
        <v/>
      </c>
      <c r="D11" s="19" t="n">
        <v>832</v>
      </c>
      <c r="E11" s="18" t="n">
        <v>44.8860359</v>
      </c>
      <c r="F11" s="20" t="n">
        <v>2.04275162</v>
      </c>
      <c r="G11" s="18" t="n">
        <v>17.96784692</v>
      </c>
      <c r="H11" s="20" t="n">
        <v>1.39904684</v>
      </c>
      <c r="I11" s="18" t="s">
        <v>349</v>
      </c>
      <c r="J11" s="20" t="s">
        <v>349</v>
      </c>
      <c r="K11" s="18" t="n">
        <v>1.52655621</v>
      </c>
      <c r="L11" s="20" t="n">
        <v>0.5322337499999999</v>
      </c>
      <c r="M11" s="18" t="n">
        <v>0</v>
      </c>
      <c r="N11" s="20" t="n">
        <v>0</v>
      </c>
      <c r="O11" s="18" t="n">
        <v>0</v>
      </c>
      <c r="P11" s="20" t="n">
        <v>0</v>
      </c>
      <c r="Q11" s="18" t="n">
        <v>35.61956097</v>
      </c>
      <c r="R11" s="20" t="n">
        <v>1.92428196</v>
      </c>
    </row>
    <row r="12" spans="1:18">
      <c r="A12" s="15" t="s">
        <v>354</v>
      </c>
      <c r="B12" s="17" t="n">
        <v>6894</v>
      </c>
      <c r="C12" s="18">
        <f>(6039.0/B12*100)</f>
        <v/>
      </c>
      <c r="D12" s="19" t="n">
        <v>855</v>
      </c>
      <c r="E12" s="18" t="n">
        <v>50.66147814</v>
      </c>
      <c r="F12" s="20" t="n">
        <v>1.72120738</v>
      </c>
      <c r="G12" s="18" t="n">
        <v>32.73960898</v>
      </c>
      <c r="H12" s="20" t="n">
        <v>1.67018716</v>
      </c>
      <c r="I12" s="18" t="s">
        <v>349</v>
      </c>
      <c r="J12" s="20" t="s">
        <v>349</v>
      </c>
      <c r="K12" s="18" t="n">
        <v>0.04583906</v>
      </c>
      <c r="L12" s="20" t="n">
        <v>0.04583643</v>
      </c>
      <c r="M12" s="18" t="n">
        <v>0</v>
      </c>
      <c r="N12" s="20" t="n">
        <v>0</v>
      </c>
      <c r="O12" s="18" t="n">
        <v>0</v>
      </c>
      <c r="P12" s="20" t="n">
        <v>0</v>
      </c>
      <c r="Q12" s="18" t="n">
        <v>16.55307382</v>
      </c>
      <c r="R12" s="20" t="n">
        <v>1.1913657</v>
      </c>
    </row>
    <row r="13" spans="1:18">
      <c r="A13" s="15" t="s">
        <v>355</v>
      </c>
      <c r="B13" s="17" t="n">
        <v>7161</v>
      </c>
      <c r="C13" s="18">
        <f>(6303.0/B13*100)</f>
        <v/>
      </c>
      <c r="D13" s="19" t="n">
        <v>858</v>
      </c>
      <c r="E13" s="18" t="n">
        <v>52.59759584</v>
      </c>
      <c r="F13" s="20" t="n">
        <v>2.01734965</v>
      </c>
      <c r="G13" s="18" t="n">
        <v>35.17211118</v>
      </c>
      <c r="H13" s="20" t="n">
        <v>1.98465631</v>
      </c>
      <c r="I13" s="18" t="s">
        <v>349</v>
      </c>
      <c r="J13" s="20" t="s">
        <v>349</v>
      </c>
      <c r="K13" s="18" t="n">
        <v>1.09352632</v>
      </c>
      <c r="L13" s="20" t="n">
        <v>0.45301603</v>
      </c>
      <c r="M13" s="18" t="n">
        <v>0</v>
      </c>
      <c r="N13" s="20" t="n">
        <v>0</v>
      </c>
      <c r="O13" s="18" t="n">
        <v>0</v>
      </c>
      <c r="P13" s="20" t="n">
        <v>0</v>
      </c>
      <c r="Q13" s="18" t="n">
        <v>11.13676666</v>
      </c>
      <c r="R13" s="20" t="n">
        <v>1.20171144</v>
      </c>
    </row>
    <row r="14" spans="1:18">
      <c r="A14" s="15" t="s">
        <v>356</v>
      </c>
      <c r="B14" s="17" t="n">
        <v>5587</v>
      </c>
      <c r="C14" s="18">
        <f>(4906.0/B14*100)</f>
        <v/>
      </c>
      <c r="D14" s="19" t="n">
        <v>681</v>
      </c>
      <c r="E14" s="18" t="n">
        <v>48.08659387</v>
      </c>
      <c r="F14" s="20" t="n">
        <v>2.1188581</v>
      </c>
      <c r="G14" s="18" t="n">
        <v>41.36904403</v>
      </c>
      <c r="H14" s="20" t="n">
        <v>1.9095422</v>
      </c>
      <c r="I14" s="18" t="s">
        <v>349</v>
      </c>
      <c r="J14" s="20" t="s">
        <v>349</v>
      </c>
      <c r="K14" s="18" t="n">
        <v>0.6307345</v>
      </c>
      <c r="L14" s="20" t="n">
        <v>0.57481271</v>
      </c>
      <c r="M14" s="18" t="n">
        <v>0</v>
      </c>
      <c r="N14" s="20" t="n">
        <v>0</v>
      </c>
      <c r="O14" s="18" t="n">
        <v>0</v>
      </c>
      <c r="P14" s="20" t="n">
        <v>0</v>
      </c>
      <c r="Q14" s="18" t="n">
        <v>9.9136276</v>
      </c>
      <c r="R14" s="20" t="n">
        <v>1.28734156</v>
      </c>
    </row>
    <row r="15" spans="1:18">
      <c r="A15" s="15" t="s">
        <v>357</v>
      </c>
      <c r="B15" s="17" t="n">
        <v>5882</v>
      </c>
      <c r="C15" s="18">
        <f>(5165.0/B15*100)</f>
        <v/>
      </c>
      <c r="D15" s="19" t="n">
        <v>717</v>
      </c>
      <c r="E15" s="18" t="n">
        <v>51.26009674</v>
      </c>
      <c r="F15" s="20" t="n">
        <v>1.99072566</v>
      </c>
      <c r="G15" s="18" t="n">
        <v>36.78224575</v>
      </c>
      <c r="H15" s="20" t="n">
        <v>2.16276739</v>
      </c>
      <c r="I15" s="18" t="s">
        <v>349</v>
      </c>
      <c r="J15" s="20" t="s">
        <v>349</v>
      </c>
      <c r="K15" s="18" t="n">
        <v>0.12705785</v>
      </c>
      <c r="L15" s="20" t="n">
        <v>0.12716482</v>
      </c>
      <c r="M15" s="18" t="n">
        <v>0</v>
      </c>
      <c r="N15" s="20" t="n">
        <v>0</v>
      </c>
      <c r="O15" s="18" t="n">
        <v>0</v>
      </c>
      <c r="P15" s="20" t="n">
        <v>0</v>
      </c>
      <c r="Q15" s="18" t="n">
        <v>11.83059966</v>
      </c>
      <c r="R15" s="20" t="n">
        <v>1.19923124</v>
      </c>
    </row>
    <row r="16" spans="1:18">
      <c r="A16" s="15" t="s">
        <v>358</v>
      </c>
      <c r="B16" s="17" t="n">
        <v>6108</v>
      </c>
      <c r="C16" s="18">
        <f>(5386.0/B16*100)</f>
        <v/>
      </c>
      <c r="D16" s="19" t="n">
        <v>722</v>
      </c>
      <c r="E16" s="18" t="n">
        <v>42.55017727</v>
      </c>
      <c r="F16" s="20" t="n">
        <v>2.12599651</v>
      </c>
      <c r="G16" s="18" t="n">
        <v>34.49548346</v>
      </c>
      <c r="H16" s="20" t="n">
        <v>1.5543974</v>
      </c>
      <c r="I16" s="18" t="s">
        <v>349</v>
      </c>
      <c r="J16" s="20" t="s">
        <v>349</v>
      </c>
      <c r="K16" s="18" t="n">
        <v>1.47544594</v>
      </c>
      <c r="L16" s="20" t="n">
        <v>0.50059231</v>
      </c>
      <c r="M16" s="18" t="n">
        <v>0</v>
      </c>
      <c r="N16" s="20" t="n">
        <v>0</v>
      </c>
      <c r="O16" s="18" t="n">
        <v>0</v>
      </c>
      <c r="P16" s="20" t="n">
        <v>0</v>
      </c>
      <c r="Q16" s="18" t="n">
        <v>21.47889332</v>
      </c>
      <c r="R16" s="20" t="n">
        <v>1.63682883</v>
      </c>
    </row>
    <row r="17" spans="1:18">
      <c r="A17" s="15" t="s">
        <v>359</v>
      </c>
      <c r="B17" s="17" t="n">
        <v>6504</v>
      </c>
      <c r="C17" s="18">
        <f>(5715.0/B17*100)</f>
        <v/>
      </c>
      <c r="D17" s="19" t="n">
        <v>789</v>
      </c>
      <c r="E17" s="18" t="n">
        <v>47.38352547</v>
      </c>
      <c r="F17" s="20" t="n">
        <v>1.95441398</v>
      </c>
      <c r="G17" s="18" t="n">
        <v>39.46115983</v>
      </c>
      <c r="H17" s="20" t="n">
        <v>1.85893576</v>
      </c>
      <c r="I17" s="18" t="s">
        <v>349</v>
      </c>
      <c r="J17" s="20" t="s">
        <v>349</v>
      </c>
      <c r="K17" s="18" t="n">
        <v>0.3744634</v>
      </c>
      <c r="L17" s="20" t="n">
        <v>0.23511749</v>
      </c>
      <c r="M17" s="18" t="n">
        <v>0</v>
      </c>
      <c r="N17" s="20" t="n">
        <v>0</v>
      </c>
      <c r="O17" s="18" t="n">
        <v>0</v>
      </c>
      <c r="P17" s="20" t="n">
        <v>0</v>
      </c>
      <c r="Q17" s="18" t="n">
        <v>12.78085131</v>
      </c>
      <c r="R17" s="20" t="n">
        <v>1.10957506</v>
      </c>
    </row>
    <row r="18" spans="1:18">
      <c r="A18" s="15" t="s">
        <v>360</v>
      </c>
      <c r="B18" s="17" t="n">
        <v>5532</v>
      </c>
      <c r="C18" s="18">
        <f>(4852.0/B18*100)</f>
        <v/>
      </c>
      <c r="D18" s="19" t="n">
        <v>680</v>
      </c>
      <c r="E18" s="18" t="n">
        <v>57.93624272</v>
      </c>
      <c r="F18" s="20" t="n">
        <v>1.93007606</v>
      </c>
      <c r="G18" s="18" t="n">
        <v>17.56791895</v>
      </c>
      <c r="H18" s="20" t="n">
        <v>1.60437874</v>
      </c>
      <c r="I18" s="18" t="s">
        <v>349</v>
      </c>
      <c r="J18" s="20" t="s">
        <v>349</v>
      </c>
      <c r="K18" s="18" t="n">
        <v>1.57157786</v>
      </c>
      <c r="L18" s="20" t="n">
        <v>0.53465465</v>
      </c>
      <c r="M18" s="18" t="n">
        <v>0</v>
      </c>
      <c r="N18" s="20" t="n">
        <v>0</v>
      </c>
      <c r="O18" s="18" t="n">
        <v>0</v>
      </c>
      <c r="P18" s="20" t="n">
        <v>0</v>
      </c>
      <c r="Q18" s="18" t="n">
        <v>22.92426047</v>
      </c>
      <c r="R18" s="20" t="n">
        <v>1.90303785</v>
      </c>
    </row>
    <row r="19" spans="1:18">
      <c r="A19" s="15" t="s">
        <v>361</v>
      </c>
      <c r="B19" s="17" t="n">
        <v>5658</v>
      </c>
      <c r="C19" s="18">
        <f>(4954.0/B19*100)</f>
        <v/>
      </c>
      <c r="D19" s="19" t="n">
        <v>704</v>
      </c>
      <c r="E19" s="18" t="n">
        <v>53.48025157</v>
      </c>
      <c r="F19" s="20" t="n">
        <v>1.98215558</v>
      </c>
      <c r="G19" s="18" t="n">
        <v>28.82946769</v>
      </c>
      <c r="H19" s="20" t="n">
        <v>1.71037522</v>
      </c>
      <c r="I19" s="18" t="s">
        <v>349</v>
      </c>
      <c r="J19" s="20" t="s">
        <v>349</v>
      </c>
      <c r="K19" s="18" t="n">
        <v>0.60147692</v>
      </c>
      <c r="L19" s="20" t="n">
        <v>0.36336579</v>
      </c>
      <c r="M19" s="18" t="n">
        <v>0</v>
      </c>
      <c r="N19" s="20" t="n">
        <v>0</v>
      </c>
      <c r="O19" s="18" t="n">
        <v>0</v>
      </c>
      <c r="P19" s="20" t="n">
        <v>0</v>
      </c>
      <c r="Q19" s="18" t="n">
        <v>17.08880382</v>
      </c>
      <c r="R19" s="20" t="n">
        <v>1.76786359</v>
      </c>
    </row>
    <row r="20" spans="1:18">
      <c r="A20" s="15" t="s">
        <v>362</v>
      </c>
      <c r="B20" s="17" t="n">
        <v>3371</v>
      </c>
      <c r="C20" s="18">
        <f>(2971.0/B20*100)</f>
        <v/>
      </c>
      <c r="D20" s="19" t="n">
        <v>400</v>
      </c>
      <c r="E20" s="18" t="n">
        <v>58.20832642</v>
      </c>
      <c r="F20" s="20" t="n">
        <v>2.45553881</v>
      </c>
      <c r="G20" s="18" t="n">
        <v>28.35678281</v>
      </c>
      <c r="H20" s="20" t="n">
        <v>2.20209173</v>
      </c>
      <c r="I20" s="18" t="s">
        <v>349</v>
      </c>
      <c r="J20" s="20" t="s">
        <v>349</v>
      </c>
      <c r="K20" s="18" t="n">
        <v>0.98111615</v>
      </c>
      <c r="L20" s="20" t="n">
        <v>0.4996382</v>
      </c>
      <c r="M20" s="18" t="n">
        <v>0</v>
      </c>
      <c r="N20" s="20" t="n">
        <v>0</v>
      </c>
      <c r="O20" s="18" t="n">
        <v>0</v>
      </c>
      <c r="P20" s="20" t="n">
        <v>0</v>
      </c>
      <c r="Q20" s="18" t="n">
        <v>12.45377462</v>
      </c>
      <c r="R20" s="20" t="n">
        <v>1.78461674</v>
      </c>
    </row>
    <row r="21" spans="1:18">
      <c r="A21" s="15" t="s">
        <v>363</v>
      </c>
      <c r="B21" s="17" t="n">
        <v>5741</v>
      </c>
      <c r="C21" s="18">
        <f>(4775.0/B21*100)</f>
        <v/>
      </c>
      <c r="D21" s="19" t="n">
        <v>966</v>
      </c>
      <c r="E21" s="18" t="n">
        <v>49.80153274</v>
      </c>
      <c r="F21" s="20" t="n">
        <v>1.78271895</v>
      </c>
      <c r="G21" s="18" t="n">
        <v>34.92288206</v>
      </c>
      <c r="H21" s="20" t="n">
        <v>1.57550293</v>
      </c>
      <c r="I21" s="18" t="s">
        <v>349</v>
      </c>
      <c r="J21" s="20" t="s">
        <v>349</v>
      </c>
      <c r="K21" s="18" t="n">
        <v>0.09861022</v>
      </c>
      <c r="L21" s="20" t="n">
        <v>0.09850681999999999</v>
      </c>
      <c r="M21" s="18" t="n">
        <v>0</v>
      </c>
      <c r="N21" s="20" t="n">
        <v>0</v>
      </c>
      <c r="O21" s="18" t="n">
        <v>0</v>
      </c>
      <c r="P21" s="20" t="n">
        <v>0</v>
      </c>
      <c r="Q21" s="18" t="n">
        <v>15.17697499</v>
      </c>
      <c r="R21" s="20" t="n">
        <v>1.03632201</v>
      </c>
    </row>
    <row r="22" spans="1:18">
      <c r="A22" s="15" t="s">
        <v>364</v>
      </c>
      <c r="B22" s="17" t="n">
        <v>6598</v>
      </c>
      <c r="C22" s="18">
        <f>(5784.0/B22*100)</f>
        <v/>
      </c>
      <c r="D22" s="19" t="n">
        <v>814</v>
      </c>
      <c r="E22" s="18" t="n">
        <v>48.44710061</v>
      </c>
      <c r="F22" s="20" t="n">
        <v>1.85885788</v>
      </c>
      <c r="G22" s="18" t="n">
        <v>33.5860387</v>
      </c>
      <c r="H22" s="20" t="n">
        <v>1.8950758</v>
      </c>
      <c r="I22" s="18" t="s">
        <v>349</v>
      </c>
      <c r="J22" s="20" t="s">
        <v>349</v>
      </c>
      <c r="K22" s="18" t="n">
        <v>0.91063394</v>
      </c>
      <c r="L22" s="20" t="n">
        <v>0.37591401</v>
      </c>
      <c r="M22" s="18" t="n">
        <v>0</v>
      </c>
      <c r="N22" s="20" t="n">
        <v>0</v>
      </c>
      <c r="O22" s="18" t="n">
        <v>0</v>
      </c>
      <c r="P22" s="20" t="n">
        <v>0</v>
      </c>
      <c r="Q22" s="18" t="n">
        <v>17.05622675</v>
      </c>
      <c r="R22" s="20" t="n">
        <v>1.4922691</v>
      </c>
    </row>
    <row r="23" spans="1:18">
      <c r="A23" s="15" t="s">
        <v>365</v>
      </c>
      <c r="B23" s="17" t="n">
        <v>11583</v>
      </c>
      <c r="C23" s="18">
        <f>(10170.0/B23*100)</f>
        <v/>
      </c>
      <c r="D23" s="19" t="n">
        <v>1413</v>
      </c>
      <c r="E23" s="18" t="n">
        <v>44.90886472</v>
      </c>
      <c r="F23" s="20" t="n">
        <v>1.87949496</v>
      </c>
      <c r="G23" s="18" t="n">
        <v>29.44820505</v>
      </c>
      <c r="H23" s="20" t="n">
        <v>1.75583844</v>
      </c>
      <c r="I23" s="18" t="s">
        <v>349</v>
      </c>
      <c r="J23" s="20" t="s">
        <v>349</v>
      </c>
      <c r="K23" s="18" t="n">
        <v>0.40090936</v>
      </c>
      <c r="L23" s="20" t="n">
        <v>0.20865874</v>
      </c>
      <c r="M23" s="18" t="n">
        <v>0</v>
      </c>
      <c r="N23" s="20" t="n">
        <v>0</v>
      </c>
      <c r="O23" s="18" t="n">
        <v>0</v>
      </c>
      <c r="P23" s="20" t="n">
        <v>0</v>
      </c>
      <c r="Q23" s="18" t="n">
        <v>25.24202087</v>
      </c>
      <c r="R23" s="20" t="n">
        <v>1.48004525</v>
      </c>
    </row>
    <row r="24" spans="1:18">
      <c r="A24" s="15" t="s">
        <v>366</v>
      </c>
      <c r="B24" s="17" t="n">
        <v>6647</v>
      </c>
      <c r="C24" s="18">
        <f>(5826.0/B24*100)</f>
        <v/>
      </c>
      <c r="D24" s="19" t="n">
        <v>821</v>
      </c>
      <c r="E24" s="18" t="n">
        <v>77.23995909999999</v>
      </c>
      <c r="F24" s="20" t="n">
        <v>1.54162077</v>
      </c>
      <c r="G24" s="18" t="n">
        <v>12.99102118</v>
      </c>
      <c r="H24" s="20" t="n">
        <v>1.2929011</v>
      </c>
      <c r="I24" s="18" t="s">
        <v>349</v>
      </c>
      <c r="J24" s="20" t="s">
        <v>349</v>
      </c>
      <c r="K24" s="18" t="n">
        <v>0.31137637</v>
      </c>
      <c r="L24" s="20" t="n">
        <v>0.18243173</v>
      </c>
      <c r="M24" s="18" t="n">
        <v>0</v>
      </c>
      <c r="N24" s="20" t="n">
        <v>0</v>
      </c>
      <c r="O24" s="18" t="n">
        <v>0</v>
      </c>
      <c r="P24" s="20" t="n">
        <v>0</v>
      </c>
      <c r="Q24" s="18" t="n">
        <v>9.45764335</v>
      </c>
      <c r="R24" s="20" t="n">
        <v>1.06619429</v>
      </c>
    </row>
    <row r="25" spans="1:18">
      <c r="A25" s="15" t="s">
        <v>367</v>
      </c>
      <c r="B25" s="17" t="n">
        <v>5581</v>
      </c>
      <c r="C25" s="18">
        <f>(4904.0/B25*100)</f>
        <v/>
      </c>
      <c r="D25" s="19" t="n">
        <v>677</v>
      </c>
      <c r="E25" s="18" t="n">
        <v>74.32050509</v>
      </c>
      <c r="F25" s="20" t="n">
        <v>1.78458907</v>
      </c>
      <c r="G25" s="18" t="n">
        <v>11.97770017</v>
      </c>
      <c r="H25" s="20" t="n">
        <v>1.34862904</v>
      </c>
      <c r="I25" s="18" t="s">
        <v>349</v>
      </c>
      <c r="J25" s="20" t="s">
        <v>349</v>
      </c>
      <c r="K25" s="18" t="n">
        <v>0.44904833</v>
      </c>
      <c r="L25" s="20" t="n">
        <v>0.25828071</v>
      </c>
      <c r="M25" s="18" t="n">
        <v>0</v>
      </c>
      <c r="N25" s="20" t="n">
        <v>0</v>
      </c>
      <c r="O25" s="18" t="n">
        <v>0</v>
      </c>
      <c r="P25" s="20" t="n">
        <v>0</v>
      </c>
      <c r="Q25" s="18" t="n">
        <v>13.25274641</v>
      </c>
      <c r="R25" s="20" t="n">
        <v>1.32010885</v>
      </c>
    </row>
    <row r="26" spans="1:18">
      <c r="A26" s="15" t="s">
        <v>368</v>
      </c>
      <c r="B26" s="17" t="n">
        <v>4869</v>
      </c>
      <c r="C26" s="18">
        <f>(4266.0/B26*100)</f>
        <v/>
      </c>
      <c r="D26" s="19" t="n">
        <v>603</v>
      </c>
      <c r="E26" s="18" t="n">
        <v>59.1934983</v>
      </c>
      <c r="F26" s="20" t="n">
        <v>2.2026781</v>
      </c>
      <c r="G26" s="18" t="n">
        <v>27.17964787</v>
      </c>
      <c r="H26" s="20" t="n">
        <v>1.90681111</v>
      </c>
      <c r="I26" s="18" t="s">
        <v>349</v>
      </c>
      <c r="J26" s="20" t="s">
        <v>349</v>
      </c>
      <c r="K26" s="18" t="n">
        <v>0.26094247</v>
      </c>
      <c r="L26" s="20" t="n">
        <v>0.18610858</v>
      </c>
      <c r="M26" s="18" t="n">
        <v>0</v>
      </c>
      <c r="N26" s="20" t="n">
        <v>0</v>
      </c>
      <c r="O26" s="18" t="n">
        <v>0</v>
      </c>
      <c r="P26" s="20" t="n">
        <v>0</v>
      </c>
      <c r="Q26" s="18" t="n">
        <v>13.36591135</v>
      </c>
      <c r="R26" s="20" t="n">
        <v>1.41232536</v>
      </c>
    </row>
    <row r="27" spans="1:18">
      <c r="A27" s="15" t="s">
        <v>369</v>
      </c>
      <c r="B27" s="17" t="n">
        <v>5299</v>
      </c>
      <c r="C27" s="18">
        <f>(4669.0/B27*100)</f>
        <v/>
      </c>
      <c r="D27" s="19" t="n">
        <v>630</v>
      </c>
      <c r="E27" s="18" t="n">
        <v>48.32379623</v>
      </c>
      <c r="F27" s="20" t="n">
        <v>2.40586993</v>
      </c>
      <c r="G27" s="18" t="n">
        <v>34.81015679</v>
      </c>
      <c r="H27" s="20" t="n">
        <v>2.14919053</v>
      </c>
      <c r="I27" s="18" t="s">
        <v>349</v>
      </c>
      <c r="J27" s="20" t="s">
        <v>349</v>
      </c>
      <c r="K27" s="18" t="n">
        <v>0.31259439</v>
      </c>
      <c r="L27" s="20" t="n">
        <v>0.22164263</v>
      </c>
      <c r="M27" s="18" t="n">
        <v>0</v>
      </c>
      <c r="N27" s="20" t="n">
        <v>0</v>
      </c>
      <c r="O27" s="18" t="n">
        <v>0</v>
      </c>
      <c r="P27" s="20" t="n">
        <v>0</v>
      </c>
      <c r="Q27" s="18" t="n">
        <v>16.55345259</v>
      </c>
      <c r="R27" s="20" t="n">
        <v>1.49700946</v>
      </c>
    </row>
    <row r="28" spans="1:18">
      <c r="A28" s="15" t="s">
        <v>370</v>
      </c>
      <c r="B28" s="17" t="n">
        <v>7568</v>
      </c>
      <c r="C28" s="18">
        <f>(6687.0/B28*100)</f>
        <v/>
      </c>
      <c r="D28" s="19" t="n">
        <v>881</v>
      </c>
      <c r="E28" s="18" t="n">
        <v>68.06297832</v>
      </c>
      <c r="F28" s="20" t="n">
        <v>1.69817332</v>
      </c>
      <c r="G28" s="18" t="n">
        <v>18.94715693</v>
      </c>
      <c r="H28" s="20" t="n">
        <v>1.28333317</v>
      </c>
      <c r="I28" s="18" t="s">
        <v>349</v>
      </c>
      <c r="J28" s="20" t="s">
        <v>349</v>
      </c>
      <c r="K28" s="18" t="n">
        <v>0.77168989</v>
      </c>
      <c r="L28" s="20" t="n">
        <v>0.38392428</v>
      </c>
      <c r="M28" s="18" t="n">
        <v>0</v>
      </c>
      <c r="N28" s="20" t="n">
        <v>0</v>
      </c>
      <c r="O28" s="18" t="n">
        <v>0</v>
      </c>
      <c r="P28" s="20" t="n">
        <v>0</v>
      </c>
      <c r="Q28" s="18" t="n">
        <v>12.21817487</v>
      </c>
      <c r="R28" s="20" t="n">
        <v>1.30858973</v>
      </c>
    </row>
    <row r="29" spans="1:18">
      <c r="A29" s="15" t="s">
        <v>371</v>
      </c>
      <c r="B29" s="17" t="n">
        <v>5385</v>
      </c>
      <c r="C29" s="18">
        <f>(4736.0/B29*100)</f>
        <v/>
      </c>
      <c r="D29" s="19" t="n">
        <v>649</v>
      </c>
      <c r="E29" s="18" t="n">
        <v>52.75530579</v>
      </c>
      <c r="F29" s="20" t="n">
        <v>2.04939451</v>
      </c>
      <c r="G29" s="18" t="n">
        <v>39.55769743</v>
      </c>
      <c r="H29" s="20" t="n">
        <v>1.93567639</v>
      </c>
      <c r="I29" s="18" t="s">
        <v>349</v>
      </c>
      <c r="J29" s="20" t="s">
        <v>349</v>
      </c>
      <c r="K29" s="18" t="n">
        <v>0.33488355</v>
      </c>
      <c r="L29" s="20" t="n">
        <v>0.21043603</v>
      </c>
      <c r="M29" s="18" t="n">
        <v>0</v>
      </c>
      <c r="N29" s="20" t="n">
        <v>0</v>
      </c>
      <c r="O29" s="18" t="n">
        <v>0</v>
      </c>
      <c r="P29" s="20" t="n">
        <v>0</v>
      </c>
      <c r="Q29" s="18" t="n">
        <v>7.35211323</v>
      </c>
      <c r="R29" s="20" t="n">
        <v>1.13789355</v>
      </c>
    </row>
    <row r="30" spans="1:18">
      <c r="A30" s="15" t="s">
        <v>372</v>
      </c>
      <c r="B30" s="17" t="n">
        <v>4520</v>
      </c>
      <c r="C30" s="18">
        <f>(3951.0/B30*100)</f>
        <v/>
      </c>
      <c r="D30" s="19" t="n">
        <v>569</v>
      </c>
      <c r="E30" s="18" t="n">
        <v>52.66641016</v>
      </c>
      <c r="F30" s="20" t="n">
        <v>2.28961073</v>
      </c>
      <c r="G30" s="18" t="n">
        <v>25.83591101</v>
      </c>
      <c r="H30" s="20" t="n">
        <v>2.11129788</v>
      </c>
      <c r="I30" s="18" t="s">
        <v>349</v>
      </c>
      <c r="J30" s="20" t="s">
        <v>349</v>
      </c>
      <c r="K30" s="18" t="n">
        <v>0.15959775</v>
      </c>
      <c r="L30" s="20" t="n">
        <v>0.16210102</v>
      </c>
      <c r="M30" s="18" t="n">
        <v>0</v>
      </c>
      <c r="N30" s="20" t="n">
        <v>0</v>
      </c>
      <c r="O30" s="18" t="n">
        <v>0</v>
      </c>
      <c r="P30" s="20" t="n">
        <v>0</v>
      </c>
      <c r="Q30" s="18" t="n">
        <v>21.33808108</v>
      </c>
      <c r="R30" s="20" t="n">
        <v>1.83691786</v>
      </c>
    </row>
    <row r="31" spans="1:18">
      <c r="A31" s="15" t="s">
        <v>373</v>
      </c>
      <c r="B31" s="17" t="n">
        <v>5456</v>
      </c>
      <c r="C31" s="18">
        <f>(4812.0/B31*100)</f>
        <v/>
      </c>
      <c r="D31" s="19" t="n">
        <v>644</v>
      </c>
      <c r="E31" s="18" t="n">
        <v>51.59503134</v>
      </c>
      <c r="F31" s="20" t="n">
        <v>2.05159975</v>
      </c>
      <c r="G31" s="18" t="n">
        <v>33.49196062</v>
      </c>
      <c r="H31" s="20" t="n">
        <v>1.91709165</v>
      </c>
      <c r="I31" s="18" t="s">
        <v>349</v>
      </c>
      <c r="J31" s="20" t="s">
        <v>349</v>
      </c>
      <c r="K31" s="18" t="n">
        <v>0.90025278</v>
      </c>
      <c r="L31" s="20" t="n">
        <v>0.36284754</v>
      </c>
      <c r="M31" s="18" t="n">
        <v>0</v>
      </c>
      <c r="N31" s="20" t="n">
        <v>0</v>
      </c>
      <c r="O31" s="18" t="n">
        <v>0</v>
      </c>
      <c r="P31" s="20" t="n">
        <v>0</v>
      </c>
      <c r="Q31" s="18" t="n">
        <v>14.01275527</v>
      </c>
      <c r="R31" s="20" t="n">
        <v>1.49410689</v>
      </c>
    </row>
    <row r="32" spans="1:18">
      <c r="A32" s="15" t="s">
        <v>374</v>
      </c>
      <c r="B32" s="17" t="n">
        <v>4478</v>
      </c>
      <c r="C32" s="18">
        <f>(3744.0/B32*100)</f>
        <v/>
      </c>
      <c r="D32" s="19" t="n">
        <v>734</v>
      </c>
      <c r="E32" s="18" t="n">
        <v>52.83228946</v>
      </c>
      <c r="F32" s="20" t="n">
        <v>1.88602653</v>
      </c>
      <c r="G32" s="18" t="n">
        <v>34.50278376</v>
      </c>
      <c r="H32" s="20" t="n">
        <v>1.67390672</v>
      </c>
      <c r="I32" s="18" t="s">
        <v>349</v>
      </c>
      <c r="J32" s="20" t="s">
        <v>349</v>
      </c>
      <c r="K32" s="18" t="n">
        <v>0.1297017</v>
      </c>
      <c r="L32" s="20" t="n">
        <v>0.13529634</v>
      </c>
      <c r="M32" s="18" t="n">
        <v>0</v>
      </c>
      <c r="N32" s="20" t="n">
        <v>0</v>
      </c>
      <c r="O32" s="18" t="n">
        <v>0</v>
      </c>
      <c r="P32" s="20" t="n">
        <v>0</v>
      </c>
      <c r="Q32" s="18" t="n">
        <v>12.53522508</v>
      </c>
      <c r="R32" s="20" t="n">
        <v>1.23379294</v>
      </c>
    </row>
    <row r="33" spans="1:18">
      <c r="A33" s="15" t="s">
        <v>375</v>
      </c>
      <c r="B33" s="17" t="n">
        <v>7325</v>
      </c>
      <c r="C33" s="18">
        <f>(6449.0/B33*100)</f>
        <v/>
      </c>
      <c r="D33" s="19" t="n">
        <v>876</v>
      </c>
      <c r="E33" s="18" t="n">
        <v>45.40844471</v>
      </c>
      <c r="F33" s="20" t="n">
        <v>2.05037053</v>
      </c>
      <c r="G33" s="18" t="n">
        <v>35.76766367</v>
      </c>
      <c r="H33" s="20" t="n">
        <v>2.12994302</v>
      </c>
      <c r="I33" s="18" t="s">
        <v>349</v>
      </c>
      <c r="J33" s="20" t="s">
        <v>349</v>
      </c>
      <c r="K33" s="18" t="n">
        <v>0.90545237</v>
      </c>
      <c r="L33" s="20" t="n">
        <v>0.64100882</v>
      </c>
      <c r="M33" s="18" t="n">
        <v>0</v>
      </c>
      <c r="N33" s="20" t="n">
        <v>0</v>
      </c>
      <c r="O33" s="18" t="n">
        <v>0</v>
      </c>
      <c r="P33" s="20" t="n">
        <v>0</v>
      </c>
      <c r="Q33" s="18" t="n">
        <v>17.91843925</v>
      </c>
      <c r="R33" s="20" t="n">
        <v>1.44151719</v>
      </c>
    </row>
    <row r="34" spans="1:18">
      <c r="A34" s="15" t="s">
        <v>376</v>
      </c>
      <c r="B34" s="17" t="n">
        <v>6350</v>
      </c>
      <c r="C34" s="18">
        <f>(5578.0/B34*100)</f>
        <v/>
      </c>
      <c r="D34" s="19" t="n">
        <v>772</v>
      </c>
      <c r="E34" s="18" t="n">
        <v>58.25350713</v>
      </c>
      <c r="F34" s="20" t="n">
        <v>1.93910382</v>
      </c>
      <c r="G34" s="18" t="n">
        <v>24.5271034</v>
      </c>
      <c r="H34" s="20" t="n">
        <v>1.620655</v>
      </c>
      <c r="I34" s="18" t="s">
        <v>349</v>
      </c>
      <c r="J34" s="20" t="s">
        <v>349</v>
      </c>
      <c r="K34" s="18" t="n">
        <v>0.30668337</v>
      </c>
      <c r="L34" s="20" t="n">
        <v>0.2275269</v>
      </c>
      <c r="M34" s="18" t="n">
        <v>0</v>
      </c>
      <c r="N34" s="20" t="n">
        <v>0</v>
      </c>
      <c r="O34" s="18" t="n">
        <v>0</v>
      </c>
      <c r="P34" s="20" t="n">
        <v>0</v>
      </c>
      <c r="Q34" s="18" t="n">
        <v>16.9127061</v>
      </c>
      <c r="R34" s="20" t="n">
        <v>1.34260571</v>
      </c>
    </row>
    <row r="35" spans="1:18">
      <c r="A35" s="15" t="s">
        <v>377</v>
      </c>
      <c r="B35" s="17" t="n">
        <v>6406</v>
      </c>
      <c r="C35" s="18">
        <f>(5618.0/B35*100)</f>
        <v/>
      </c>
      <c r="D35" s="19" t="n">
        <v>788</v>
      </c>
      <c r="E35" s="18" t="n">
        <v>50.37933223</v>
      </c>
      <c r="F35" s="20" t="n">
        <v>2.3079298</v>
      </c>
      <c r="G35" s="18" t="n">
        <v>35.65441957</v>
      </c>
      <c r="H35" s="20" t="n">
        <v>2.14491847</v>
      </c>
      <c r="I35" s="18" t="s">
        <v>349</v>
      </c>
      <c r="J35" s="20" t="s">
        <v>349</v>
      </c>
      <c r="K35" s="18" t="n">
        <v>0.22918615</v>
      </c>
      <c r="L35" s="20" t="n">
        <v>0.11657846</v>
      </c>
      <c r="M35" s="18" t="n">
        <v>0</v>
      </c>
      <c r="N35" s="20" t="n">
        <v>0</v>
      </c>
      <c r="O35" s="18" t="n">
        <v>0</v>
      </c>
      <c r="P35" s="20" t="n">
        <v>0</v>
      </c>
      <c r="Q35" s="18" t="n">
        <v>13.73706205</v>
      </c>
      <c r="R35" s="20" t="n">
        <v>1.37722187</v>
      </c>
    </row>
    <row r="36" spans="1:18">
      <c r="A36" s="15" t="s">
        <v>378</v>
      </c>
      <c r="B36" s="17" t="n">
        <v>6736</v>
      </c>
      <c r="C36" s="18">
        <f>(5919.0/B36*100)</f>
        <v/>
      </c>
      <c r="D36" s="19" t="n">
        <v>817</v>
      </c>
      <c r="E36" s="18" t="n">
        <v>44.33346282</v>
      </c>
      <c r="F36" s="20" t="n">
        <v>1.65455858</v>
      </c>
      <c r="G36" s="18" t="n">
        <v>31.418167</v>
      </c>
      <c r="H36" s="20" t="n">
        <v>1.6513185</v>
      </c>
      <c r="I36" s="18" t="s">
        <v>349</v>
      </c>
      <c r="J36" s="20" t="s">
        <v>349</v>
      </c>
      <c r="K36" s="18" t="n">
        <v>0.4550085</v>
      </c>
      <c r="L36" s="20" t="n">
        <v>0.26265844</v>
      </c>
      <c r="M36" s="18" t="n">
        <v>0</v>
      </c>
      <c r="N36" s="20" t="n">
        <v>0</v>
      </c>
      <c r="O36" s="18" t="n">
        <v>0</v>
      </c>
      <c r="P36" s="20" t="n">
        <v>0</v>
      </c>
      <c r="Q36" s="18" t="n">
        <v>23.79336167</v>
      </c>
      <c r="R36" s="20" t="n">
        <v>1.63219095</v>
      </c>
    </row>
    <row r="37" spans="1:18">
      <c r="A37" s="15" t="s">
        <v>379</v>
      </c>
      <c r="B37" s="17" t="n">
        <v>5458</v>
      </c>
      <c r="C37" s="18">
        <f>(4794.0/B37*100)</f>
        <v/>
      </c>
      <c r="D37" s="19" t="n">
        <v>664</v>
      </c>
      <c r="E37" s="18" t="n">
        <v>49.57493398</v>
      </c>
      <c r="F37" s="20" t="n">
        <v>2.14472798</v>
      </c>
      <c r="G37" s="18" t="n">
        <v>35.84726069</v>
      </c>
      <c r="H37" s="20" t="n">
        <v>2.22695343</v>
      </c>
      <c r="I37" s="18" t="s">
        <v>349</v>
      </c>
      <c r="J37" s="20" t="s">
        <v>349</v>
      </c>
      <c r="K37" s="18" t="n">
        <v>1.00212395</v>
      </c>
      <c r="L37" s="20" t="n">
        <v>0.37541416</v>
      </c>
      <c r="M37" s="18" t="n">
        <v>0</v>
      </c>
      <c r="N37" s="20" t="n">
        <v>0</v>
      </c>
      <c r="O37" s="18" t="n">
        <v>0</v>
      </c>
      <c r="P37" s="20" t="n">
        <v>0</v>
      </c>
      <c r="Q37" s="18" t="n">
        <v>13.57568138</v>
      </c>
      <c r="R37" s="20" t="n">
        <v>1.27306991</v>
      </c>
    </row>
    <row r="38" spans="1:18">
      <c r="A38" s="15" t="s">
        <v>380</v>
      </c>
      <c r="B38" s="17" t="n">
        <v>5860</v>
      </c>
      <c r="C38" s="18">
        <f>(4883.0/B38*100)</f>
        <v/>
      </c>
      <c r="D38" s="19" t="n">
        <v>977</v>
      </c>
      <c r="E38" s="18" t="n">
        <v>53.91699153</v>
      </c>
      <c r="F38" s="20" t="n">
        <v>1.97034961</v>
      </c>
      <c r="G38" s="18" t="n">
        <v>33.10045393</v>
      </c>
      <c r="H38" s="20" t="n">
        <v>1.71709886</v>
      </c>
      <c r="I38" s="18" t="s">
        <v>349</v>
      </c>
      <c r="J38" s="20" t="s">
        <v>349</v>
      </c>
      <c r="K38" s="18" t="n">
        <v>0.85117181</v>
      </c>
      <c r="L38" s="20" t="n">
        <v>0.29531479</v>
      </c>
      <c r="M38" s="18" t="n">
        <v>0</v>
      </c>
      <c r="N38" s="20" t="n">
        <v>0</v>
      </c>
      <c r="O38" s="18" t="n">
        <v>0</v>
      </c>
      <c r="P38" s="20" t="n">
        <v>0</v>
      </c>
      <c r="Q38" s="18" t="n">
        <v>12.13138273</v>
      </c>
      <c r="R38" s="20" t="n">
        <v>1.27402735</v>
      </c>
    </row>
    <row r="39" spans="1:18">
      <c r="A39" s="15" t="s">
        <v>381</v>
      </c>
      <c r="B39" s="17" t="n">
        <v>5895</v>
      </c>
      <c r="C39" s="18">
        <f>(5199.0/B39*100)</f>
        <v/>
      </c>
      <c r="D39" s="19" t="n">
        <v>696</v>
      </c>
      <c r="E39" s="18" t="n">
        <v>68.05753922</v>
      </c>
      <c r="F39" s="20" t="n">
        <v>1.91997615</v>
      </c>
      <c r="G39" s="18" t="n">
        <v>19.98329723</v>
      </c>
      <c r="H39" s="20" t="n">
        <v>2.06318941</v>
      </c>
      <c r="I39" s="18" t="s">
        <v>349</v>
      </c>
      <c r="J39" s="20" t="s">
        <v>349</v>
      </c>
      <c r="K39" s="18" t="n">
        <v>0.86736754</v>
      </c>
      <c r="L39" s="20" t="n">
        <v>0.33393223</v>
      </c>
      <c r="M39" s="18" t="n">
        <v>0</v>
      </c>
      <c r="N39" s="20" t="n">
        <v>0</v>
      </c>
      <c r="O39" s="18" t="n">
        <v>0</v>
      </c>
      <c r="P39" s="20" t="n">
        <v>0</v>
      </c>
      <c r="Q39" s="18" t="n">
        <v>11.09179601</v>
      </c>
      <c r="R39" s="20" t="n">
        <v>1.26195414</v>
      </c>
    </row>
    <row r="40" spans="1:18">
      <c r="A40" s="15" t="s">
        <v>382</v>
      </c>
      <c r="B40" s="17" t="n">
        <v>14157</v>
      </c>
      <c r="C40" s="18">
        <f>(12424.0/B40*100)</f>
        <v/>
      </c>
      <c r="D40" s="19" t="n">
        <v>1733</v>
      </c>
      <c r="E40" s="18" t="n">
        <v>50.15477094</v>
      </c>
      <c r="F40" s="20" t="n">
        <v>1.88696234</v>
      </c>
      <c r="G40" s="18" t="n">
        <v>30.75637749</v>
      </c>
      <c r="H40" s="20" t="n">
        <v>1.84520985</v>
      </c>
      <c r="I40" s="18" t="s">
        <v>349</v>
      </c>
      <c r="J40" s="20" t="s">
        <v>349</v>
      </c>
      <c r="K40" s="18" t="n">
        <v>0.32859372</v>
      </c>
      <c r="L40" s="20" t="n">
        <v>0.16809675</v>
      </c>
      <c r="M40" s="18" t="n">
        <v>0</v>
      </c>
      <c r="N40" s="20" t="n">
        <v>0</v>
      </c>
      <c r="O40" s="18" t="n">
        <v>0</v>
      </c>
      <c r="P40" s="20" t="n">
        <v>0</v>
      </c>
      <c r="Q40" s="18" t="n">
        <v>18.76025785</v>
      </c>
      <c r="R40" s="20" t="n">
        <v>1.47727076</v>
      </c>
    </row>
    <row r="41" spans="1:18">
      <c r="A41" s="15" t="s">
        <v>383</v>
      </c>
      <c r="B41" s="17" t="n">
        <v>5712</v>
      </c>
      <c r="C41" s="18">
        <f>(4992.0/B41*100)</f>
        <v/>
      </c>
      <c r="D41" s="19" t="n">
        <v>720</v>
      </c>
      <c r="E41" s="18" t="n">
        <v>66.83964807</v>
      </c>
      <c r="F41" s="20" t="n">
        <v>1.95846196</v>
      </c>
      <c r="G41" s="18" t="n">
        <v>24.22760306</v>
      </c>
      <c r="H41" s="20" t="n">
        <v>1.74712671</v>
      </c>
      <c r="I41" s="18" t="s">
        <v>349</v>
      </c>
      <c r="J41" s="20" t="s">
        <v>349</v>
      </c>
      <c r="K41" s="18" t="n">
        <v>0.10654466</v>
      </c>
      <c r="L41" s="20" t="n">
        <v>0.11037462</v>
      </c>
      <c r="M41" s="18" t="n">
        <v>0</v>
      </c>
      <c r="N41" s="20" t="n">
        <v>0</v>
      </c>
      <c r="O41" s="18" t="n">
        <v>0</v>
      </c>
      <c r="P41" s="20" t="n">
        <v>0</v>
      </c>
      <c r="Q41" s="18" t="n">
        <v>8.82620421</v>
      </c>
      <c r="R41" s="20" t="n">
        <v>1.58746185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(20779.0/B46*100)</f>
        <v/>
      </c>
      <c r="D46" s="19" t="n">
        <v>2362</v>
      </c>
      <c r="E46" s="18" t="n">
        <v>62.4738358</v>
      </c>
      <c r="F46" s="20" t="n">
        <v>1.53312798</v>
      </c>
      <c r="G46" s="18" t="n">
        <v>13.5377075</v>
      </c>
      <c r="H46" s="20" t="n">
        <v>1.17812999</v>
      </c>
      <c r="I46" s="18" t="s">
        <v>349</v>
      </c>
      <c r="J46" s="20" t="s">
        <v>349</v>
      </c>
      <c r="K46" s="18" t="n">
        <v>1.73731869</v>
      </c>
      <c r="L46" s="20" t="n">
        <v>0.4121658</v>
      </c>
      <c r="M46" s="18" t="n">
        <v>0</v>
      </c>
      <c r="N46" s="20" t="n">
        <v>0</v>
      </c>
      <c r="O46" s="18" t="n">
        <v>0</v>
      </c>
      <c r="P46" s="20" t="n">
        <v>0</v>
      </c>
      <c r="Q46" s="18" t="n">
        <v>22.25113801</v>
      </c>
      <c r="R46" s="20" t="n">
        <v>1.23868809</v>
      </c>
    </row>
    <row r="47" spans="1:18">
      <c r="A47" s="15" t="s">
        <v>389</v>
      </c>
      <c r="B47" s="17" t="n">
        <v>5928</v>
      </c>
      <c r="C47" s="18">
        <f>(5197.0/B47*100)</f>
        <v/>
      </c>
      <c r="D47" s="19" t="n">
        <v>731</v>
      </c>
      <c r="E47" s="18" t="n">
        <v>56.99174506</v>
      </c>
      <c r="F47" s="20" t="n">
        <v>1.75967974</v>
      </c>
      <c r="G47" s="18" t="n">
        <v>17.7291617</v>
      </c>
      <c r="H47" s="20" t="n">
        <v>1.42104783</v>
      </c>
      <c r="I47" s="18" t="s">
        <v>349</v>
      </c>
      <c r="J47" s="20" t="s">
        <v>349</v>
      </c>
      <c r="K47" s="18" t="n">
        <v>0.82901029</v>
      </c>
      <c r="L47" s="20" t="n">
        <v>0.31411772</v>
      </c>
      <c r="M47" s="18" t="n">
        <v>0</v>
      </c>
      <c r="N47" s="20" t="n">
        <v>0</v>
      </c>
      <c r="O47" s="18" t="n">
        <v>0</v>
      </c>
      <c r="P47" s="20" t="n">
        <v>0</v>
      </c>
      <c r="Q47" s="18" t="n">
        <v>24.45008294</v>
      </c>
      <c r="R47" s="20" t="n">
        <v>1.56867299</v>
      </c>
    </row>
    <row r="48" spans="1:18">
      <c r="A48" s="15" t="s">
        <v>390</v>
      </c>
      <c r="B48" s="17" t="n">
        <v>9841</v>
      </c>
      <c r="C48" s="18">
        <f>(8652.0/B48*100)</f>
        <v/>
      </c>
      <c r="D48" s="19" t="n">
        <v>1189</v>
      </c>
      <c r="E48" s="18" t="n">
        <v>71.18575709</v>
      </c>
      <c r="F48" s="20" t="n">
        <v>2.39754298</v>
      </c>
      <c r="G48" s="18" t="n">
        <v>22.336572</v>
      </c>
      <c r="H48" s="20" t="n">
        <v>2.3416401</v>
      </c>
      <c r="I48" s="18" t="s">
        <v>349</v>
      </c>
      <c r="J48" s="20" t="s">
        <v>349</v>
      </c>
      <c r="K48" s="18" t="n">
        <v>0.59017753</v>
      </c>
      <c r="L48" s="20" t="n">
        <v>0.30393985</v>
      </c>
      <c r="M48" s="18" t="n">
        <v>0</v>
      </c>
      <c r="N48" s="20" t="n">
        <v>0</v>
      </c>
      <c r="O48" s="18" t="n">
        <v>0</v>
      </c>
      <c r="P48" s="20" t="n">
        <v>0</v>
      </c>
      <c r="Q48" s="18" t="n">
        <v>5.88749338</v>
      </c>
      <c r="R48" s="20" t="n">
        <v>0.89686174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(10418.0/B50*100)</f>
        <v/>
      </c>
      <c r="D50" s="19" t="n">
        <v>1377</v>
      </c>
      <c r="E50" s="18" t="n">
        <v>69.47216204999999</v>
      </c>
      <c r="F50" s="20" t="n">
        <v>1.89380354</v>
      </c>
      <c r="G50" s="18" t="n">
        <v>17.96731011</v>
      </c>
      <c r="H50" s="20" t="n">
        <v>1.47879013</v>
      </c>
      <c r="I50" s="18" t="s">
        <v>349</v>
      </c>
      <c r="J50" s="20" t="s">
        <v>349</v>
      </c>
      <c r="K50" s="18" t="n">
        <v>1.76086273</v>
      </c>
      <c r="L50" s="20" t="n">
        <v>0.44373783</v>
      </c>
      <c r="M50" s="18" t="n">
        <v>0</v>
      </c>
      <c r="N50" s="20" t="n">
        <v>0</v>
      </c>
      <c r="O50" s="18" t="n">
        <v>0</v>
      </c>
      <c r="P50" s="20" t="n">
        <v>0</v>
      </c>
      <c r="Q50" s="18" t="n">
        <v>10.79966512</v>
      </c>
      <c r="R50" s="20" t="n">
        <v>1.12340281</v>
      </c>
    </row>
    <row r="51" spans="1:18">
      <c r="A51" s="15" t="s">
        <v>393</v>
      </c>
      <c r="B51" s="17" t="n">
        <v>6866</v>
      </c>
      <c r="C51" s="18">
        <f>(6141.0/B51*100)</f>
        <v/>
      </c>
      <c r="D51" s="19" t="n">
        <v>725</v>
      </c>
      <c r="E51" s="18" t="n">
        <v>65.33552932000001</v>
      </c>
      <c r="F51" s="20" t="n">
        <v>1.91989207</v>
      </c>
      <c r="G51" s="18" t="n">
        <v>17.2135827</v>
      </c>
      <c r="H51" s="20" t="n">
        <v>1.51509467</v>
      </c>
      <c r="I51" s="18" t="s">
        <v>349</v>
      </c>
      <c r="J51" s="20" t="s">
        <v>349</v>
      </c>
      <c r="K51" s="18" t="n">
        <v>0.85027386</v>
      </c>
      <c r="L51" s="20" t="n">
        <v>0.39877647</v>
      </c>
      <c r="M51" s="18" t="n">
        <v>0</v>
      </c>
      <c r="N51" s="20" t="n">
        <v>0</v>
      </c>
      <c r="O51" s="18" t="n">
        <v>0</v>
      </c>
      <c r="P51" s="20" t="n">
        <v>0</v>
      </c>
      <c r="Q51" s="18" t="n">
        <v>16.60061412</v>
      </c>
      <c r="R51" s="20" t="n">
        <v>1.50937376</v>
      </c>
    </row>
    <row r="52" spans="1:18">
      <c r="A52" s="15" t="s">
        <v>394</v>
      </c>
      <c r="B52" s="17" t="n">
        <v>5809</v>
      </c>
      <c r="C52" s="18">
        <f>(5085.0/B52*100)</f>
        <v/>
      </c>
      <c r="D52" s="19" t="n">
        <v>724</v>
      </c>
      <c r="E52" s="18" t="n">
        <v>49.56164524</v>
      </c>
      <c r="F52" s="20" t="n">
        <v>1.76909741</v>
      </c>
      <c r="G52" s="18" t="n">
        <v>24.58998803</v>
      </c>
      <c r="H52" s="20" t="n">
        <v>1.48011358</v>
      </c>
      <c r="I52" s="18" t="s">
        <v>349</v>
      </c>
      <c r="J52" s="20" t="s">
        <v>349</v>
      </c>
      <c r="K52" s="18" t="n">
        <v>0.43184999</v>
      </c>
      <c r="L52" s="20" t="n">
        <v>0.26715733</v>
      </c>
      <c r="M52" s="18" t="n">
        <v>0</v>
      </c>
      <c r="N52" s="20" t="n">
        <v>0</v>
      </c>
      <c r="O52" s="18" t="n">
        <v>0</v>
      </c>
      <c r="P52" s="20" t="n">
        <v>0</v>
      </c>
      <c r="Q52" s="18" t="n">
        <v>25.41651674</v>
      </c>
      <c r="R52" s="20" t="n">
        <v>1.63341517</v>
      </c>
    </row>
    <row r="53" spans="1:18">
      <c r="A53" s="15" t="s">
        <v>395</v>
      </c>
      <c r="B53" s="17" t="n">
        <v>5571</v>
      </c>
      <c r="C53" s="18">
        <f>(4890.0/B53*100)</f>
        <v/>
      </c>
      <c r="D53" s="19" t="n">
        <v>681</v>
      </c>
      <c r="E53" s="18" t="n">
        <v>61.67119034</v>
      </c>
      <c r="F53" s="20" t="n">
        <v>1.83971547</v>
      </c>
      <c r="G53" s="18" t="n">
        <v>18.51159283</v>
      </c>
      <c r="H53" s="20" t="n">
        <v>1.61763738</v>
      </c>
      <c r="I53" s="18" t="s">
        <v>349</v>
      </c>
      <c r="J53" s="20" t="s">
        <v>349</v>
      </c>
      <c r="K53" s="18" t="n">
        <v>0.32382368</v>
      </c>
      <c r="L53" s="20" t="n">
        <v>0.18792463</v>
      </c>
      <c r="M53" s="18" t="n">
        <v>0</v>
      </c>
      <c r="N53" s="20" t="n">
        <v>0</v>
      </c>
      <c r="O53" s="18" t="n">
        <v>0</v>
      </c>
      <c r="P53" s="20" t="n">
        <v>0</v>
      </c>
      <c r="Q53" s="18" t="n">
        <v>19.49339315</v>
      </c>
      <c r="R53" s="20" t="n">
        <v>1.42682199</v>
      </c>
    </row>
    <row r="54" spans="1:18">
      <c r="A54" s="15" t="s">
        <v>396</v>
      </c>
      <c r="B54" s="17" t="n">
        <v>4740</v>
      </c>
      <c r="C54" s="18">
        <f>(3954.0/B54*100)</f>
        <v/>
      </c>
      <c r="D54" s="19" t="n">
        <v>786</v>
      </c>
      <c r="E54" s="18" t="n">
        <v>57.25572692</v>
      </c>
      <c r="F54" s="20" t="n">
        <v>1.77218504</v>
      </c>
      <c r="G54" s="18" t="n">
        <v>5.16026818</v>
      </c>
      <c r="H54" s="20" t="n">
        <v>0.7612213</v>
      </c>
      <c r="I54" s="18" t="s">
        <v>349</v>
      </c>
      <c r="J54" s="20" t="s">
        <v>349</v>
      </c>
      <c r="K54" s="18" t="n">
        <v>11.33537504</v>
      </c>
      <c r="L54" s="20" t="n">
        <v>1.30155807</v>
      </c>
      <c r="M54" s="18" t="n">
        <v>0</v>
      </c>
      <c r="N54" s="20" t="n">
        <v>0</v>
      </c>
      <c r="O54" s="18" t="n">
        <v>0</v>
      </c>
      <c r="P54" s="20" t="n">
        <v>0</v>
      </c>
      <c r="Q54" s="18" t="n">
        <v>26.24862986</v>
      </c>
      <c r="R54" s="20" t="n">
        <v>1.69975217</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(4701.0/B56*100)</f>
        <v/>
      </c>
      <c r="D56" s="19" t="n">
        <v>658</v>
      </c>
      <c r="E56" s="18" t="n">
        <v>53.40367335</v>
      </c>
      <c r="F56" s="20" t="n">
        <v>2.20686774</v>
      </c>
      <c r="G56" s="18" t="n">
        <v>42.414023</v>
      </c>
      <c r="H56" s="20" t="n">
        <v>2.37008688</v>
      </c>
      <c r="I56" s="18" t="s">
        <v>349</v>
      </c>
      <c r="J56" s="20" t="s">
        <v>349</v>
      </c>
      <c r="K56" s="18" t="n">
        <v>0.27532202</v>
      </c>
      <c r="L56" s="20" t="n">
        <v>0.1971608</v>
      </c>
      <c r="M56" s="18" t="n">
        <v>0</v>
      </c>
      <c r="N56" s="20" t="n">
        <v>0</v>
      </c>
      <c r="O56" s="18" t="n">
        <v>0</v>
      </c>
      <c r="P56" s="20" t="n">
        <v>0</v>
      </c>
      <c r="Q56" s="18" t="n">
        <v>3.90698162</v>
      </c>
      <c r="R56" s="20" t="n">
        <v>0.86731539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(5718.0/B61*100)</f>
        <v/>
      </c>
      <c r="D61" s="19" t="n">
        <v>807</v>
      </c>
      <c r="E61" s="18" t="n">
        <v>51.58940391</v>
      </c>
      <c r="F61" s="20" t="n">
        <v>1.98690778</v>
      </c>
      <c r="G61" s="18" t="n">
        <v>29.13161634</v>
      </c>
      <c r="H61" s="20" t="n">
        <v>1.74066569</v>
      </c>
      <c r="I61" s="18" t="s">
        <v>349</v>
      </c>
      <c r="J61" s="20" t="s">
        <v>349</v>
      </c>
      <c r="K61" s="18" t="n">
        <v>0.51646339</v>
      </c>
      <c r="L61" s="20" t="n">
        <v>0.38680691</v>
      </c>
      <c r="M61" s="18" t="n">
        <v>0</v>
      </c>
      <c r="N61" s="20" t="n">
        <v>0</v>
      </c>
      <c r="O61" s="18" t="n">
        <v>0</v>
      </c>
      <c r="P61" s="20" t="n">
        <v>0</v>
      </c>
      <c r="Q61" s="18" t="n">
        <v>18.76251637</v>
      </c>
      <c r="R61" s="20" t="n">
        <v>1.66815443</v>
      </c>
    </row>
    <row r="62" spans="1:18">
      <c r="A62" s="15" t="s">
        <v>404</v>
      </c>
      <c r="B62" s="17" t="n">
        <v>4476</v>
      </c>
      <c r="C62" s="18">
        <f>(3928.0/B62*100)</f>
        <v/>
      </c>
      <c r="D62" s="19" t="n">
        <v>548</v>
      </c>
      <c r="E62" s="18" t="n">
        <v>56.75805754</v>
      </c>
      <c r="F62" s="20" t="n">
        <v>2.21043109</v>
      </c>
      <c r="G62" s="18" t="n">
        <v>41.22724304</v>
      </c>
      <c r="H62" s="20" t="n">
        <v>2.330039</v>
      </c>
      <c r="I62" s="18" t="s">
        <v>349</v>
      </c>
      <c r="J62" s="20" t="s">
        <v>349</v>
      </c>
      <c r="K62" s="18" t="n">
        <v>0</v>
      </c>
      <c r="L62" s="20" t="n">
        <v>0</v>
      </c>
      <c r="M62" s="18" t="n">
        <v>0</v>
      </c>
      <c r="N62" s="20" t="n">
        <v>0</v>
      </c>
      <c r="O62" s="18" t="n">
        <v>0</v>
      </c>
      <c r="P62" s="20" t="n">
        <v>0</v>
      </c>
      <c r="Q62" s="18" t="n">
        <v>2.01469942</v>
      </c>
      <c r="R62" s="20" t="n">
        <v>0.57026482</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(4985.0/B66*100)</f>
        <v/>
      </c>
      <c r="D66" s="19" t="n">
        <v>680</v>
      </c>
      <c r="E66" s="18" t="n">
        <v>46.16911089</v>
      </c>
      <c r="F66" s="20" t="n">
        <v>1.87217994</v>
      </c>
      <c r="G66" s="18" t="n">
        <v>11.59538609</v>
      </c>
      <c r="H66" s="20" t="n">
        <v>1.10085468</v>
      </c>
      <c r="I66" s="18" t="s">
        <v>349</v>
      </c>
      <c r="J66" s="20" t="s">
        <v>349</v>
      </c>
      <c r="K66" s="18" t="n">
        <v>0.79429672</v>
      </c>
      <c r="L66" s="20" t="n">
        <v>0.32503305</v>
      </c>
      <c r="M66" s="18" t="n">
        <v>0</v>
      </c>
      <c r="N66" s="20" t="n">
        <v>0</v>
      </c>
      <c r="O66" s="18" t="n">
        <v>0</v>
      </c>
      <c r="P66" s="20" t="n">
        <v>0</v>
      </c>
      <c r="Q66" s="18" t="n">
        <v>41.44120629</v>
      </c>
      <c r="R66" s="20" t="n">
        <v>1.83827469</v>
      </c>
    </row>
    <row r="67" spans="1:18">
      <c r="A67" s="15" t="s">
        <v>409</v>
      </c>
      <c r="B67" s="17" t="n">
        <v>6971</v>
      </c>
      <c r="C67" s="18">
        <f>(6194.0/B67*100)</f>
        <v/>
      </c>
      <c r="D67" s="19" t="n">
        <v>777</v>
      </c>
      <c r="E67" s="18" t="n">
        <v>64.78531139</v>
      </c>
      <c r="F67" s="20" t="n">
        <v>1.79625808</v>
      </c>
      <c r="G67" s="18" t="n">
        <v>10.07780445</v>
      </c>
      <c r="H67" s="20" t="n">
        <v>1.25963702</v>
      </c>
      <c r="I67" s="18" t="s">
        <v>349</v>
      </c>
      <c r="J67" s="20" t="s">
        <v>349</v>
      </c>
      <c r="K67" s="18" t="n">
        <v>0.4389491</v>
      </c>
      <c r="L67" s="20" t="n">
        <v>0.35260599</v>
      </c>
      <c r="M67" s="18" t="n">
        <v>0</v>
      </c>
      <c r="N67" s="20" t="n">
        <v>0</v>
      </c>
      <c r="O67" s="18" t="n">
        <v>0</v>
      </c>
      <c r="P67" s="20" t="n">
        <v>0</v>
      </c>
      <c r="Q67" s="18" t="n">
        <v>24.69793507</v>
      </c>
      <c r="R67" s="20" t="n">
        <v>1.63760384</v>
      </c>
    </row>
    <row r="68" spans="1:18">
      <c r="A68" s="15" t="s">
        <v>410</v>
      </c>
      <c r="B68" s="17" t="n">
        <v>12083</v>
      </c>
      <c r="C68" s="18">
        <f>(10104.0/B68*100)</f>
        <v/>
      </c>
      <c r="D68" s="19" t="n">
        <v>1979</v>
      </c>
      <c r="E68" s="18" t="n">
        <v>65.8466203</v>
      </c>
      <c r="F68" s="20" t="n">
        <v>1.07082496</v>
      </c>
      <c r="G68" s="18" t="n">
        <v>15.35885648</v>
      </c>
      <c r="H68" s="20" t="n">
        <v>0.92081929</v>
      </c>
      <c r="I68" s="18" t="s">
        <v>349</v>
      </c>
      <c r="J68" s="20" t="s">
        <v>349</v>
      </c>
      <c r="K68" s="18" t="n">
        <v>2.65885355</v>
      </c>
      <c r="L68" s="20" t="n">
        <v>0.31733763</v>
      </c>
      <c r="M68" s="18" t="n">
        <v>0</v>
      </c>
      <c r="N68" s="20" t="n">
        <v>0</v>
      </c>
      <c r="O68" s="18" t="n">
        <v>0</v>
      </c>
      <c r="P68" s="20" t="n">
        <v>0</v>
      </c>
      <c r="Q68" s="18" t="n">
        <v>16.13566967</v>
      </c>
      <c r="R68" s="20" t="n">
        <v>0.8866205700000001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(5330.0/B70*100)</f>
        <v/>
      </c>
      <c r="D70" s="19" t="n">
        <v>706</v>
      </c>
      <c r="E70" s="18" t="n">
        <v>52.69159812</v>
      </c>
      <c r="F70" s="20" t="n">
        <v>2.27839528</v>
      </c>
      <c r="G70" s="18" t="n">
        <v>35.73410844</v>
      </c>
      <c r="H70" s="20" t="n">
        <v>1.68582212</v>
      </c>
      <c r="I70" s="18" t="s">
        <v>349</v>
      </c>
      <c r="J70" s="20" t="s">
        <v>349</v>
      </c>
      <c r="K70" s="18" t="n">
        <v>0.69008356</v>
      </c>
      <c r="L70" s="20" t="n">
        <v>0.24221089</v>
      </c>
      <c r="M70" s="18" t="n">
        <v>0</v>
      </c>
      <c r="N70" s="20" t="n">
        <v>0</v>
      </c>
      <c r="O70" s="18" t="n">
        <v>0</v>
      </c>
      <c r="P70" s="20" t="n">
        <v>0</v>
      </c>
      <c r="Q70" s="18" t="n">
        <v>10.88420988</v>
      </c>
      <c r="R70" s="20" t="n">
        <v>1.90035734</v>
      </c>
    </row>
    <row r="71" spans="1:18">
      <c r="A71" s="15" t="s">
        <v>413</v>
      </c>
      <c r="B71" s="17" t="n">
        <v>6115</v>
      </c>
      <c r="C71" s="18">
        <f>(5380.0/B71*100)</f>
        <v/>
      </c>
      <c r="D71" s="19" t="n">
        <v>735</v>
      </c>
      <c r="E71" s="18" t="n">
        <v>48.0026832</v>
      </c>
      <c r="F71" s="20" t="n">
        <v>1.75530533</v>
      </c>
      <c r="G71" s="18" t="n">
        <v>46.18992323</v>
      </c>
      <c r="H71" s="20" t="n">
        <v>2.02468688</v>
      </c>
      <c r="I71" s="18" t="s">
        <v>349</v>
      </c>
      <c r="J71" s="20" t="s">
        <v>349</v>
      </c>
      <c r="K71" s="18" t="n">
        <v>0.16137918</v>
      </c>
      <c r="L71" s="20" t="n">
        <v>0.1612199</v>
      </c>
      <c r="M71" s="18" t="n">
        <v>0</v>
      </c>
      <c r="N71" s="20" t="n">
        <v>0</v>
      </c>
      <c r="O71" s="18" t="n">
        <v>0</v>
      </c>
      <c r="P71" s="20" t="n">
        <v>0</v>
      </c>
      <c r="Q71" s="18" t="n">
        <v>5.64601439</v>
      </c>
      <c r="R71" s="20" t="n">
        <v>0.85671029</v>
      </c>
    </row>
    <row r="72" spans="1:18">
      <c r="A72" s="15" t="s">
        <v>414</v>
      </c>
      <c r="B72" s="17" t="n">
        <v>7708</v>
      </c>
      <c r="C72" s="18">
        <f>(6752.0/B72*100)</f>
        <v/>
      </c>
      <c r="D72" s="19" t="n">
        <v>956</v>
      </c>
      <c r="E72" s="18" t="n">
        <v>60.80608988</v>
      </c>
      <c r="F72" s="20" t="n">
        <v>1.81277037</v>
      </c>
      <c r="G72" s="18" t="n">
        <v>31.62257519</v>
      </c>
      <c r="H72" s="20" t="n">
        <v>1.55672266</v>
      </c>
      <c r="I72" s="18" t="s">
        <v>349</v>
      </c>
      <c r="J72" s="20" t="s">
        <v>349</v>
      </c>
      <c r="K72" s="18" t="n">
        <v>0.14225924</v>
      </c>
      <c r="L72" s="20" t="n">
        <v>0.10145614</v>
      </c>
      <c r="M72" s="18" t="n">
        <v>0</v>
      </c>
      <c r="N72" s="20" t="n">
        <v>0</v>
      </c>
      <c r="O72" s="18" t="n">
        <v>0</v>
      </c>
      <c r="P72" s="20" t="n">
        <v>0</v>
      </c>
      <c r="Q72" s="18" t="n">
        <v>7.42907568</v>
      </c>
      <c r="R72" s="20" t="n">
        <v>1.07554428</v>
      </c>
    </row>
    <row r="73" spans="1:18">
      <c r="A73" s="15" t="s">
        <v>415</v>
      </c>
      <c r="B73" s="17" t="n">
        <v>8249</v>
      </c>
      <c r="C73" s="18">
        <f>(7261.0/B73*100)</f>
        <v/>
      </c>
      <c r="D73" s="19" t="n">
        <v>988</v>
      </c>
      <c r="E73" s="18" t="n">
        <v>68.66328083000001</v>
      </c>
      <c r="F73" s="20" t="n">
        <v>1.82577372</v>
      </c>
      <c r="G73" s="18" t="n">
        <v>28.53213229</v>
      </c>
      <c r="H73" s="20" t="n">
        <v>1.76916794</v>
      </c>
      <c r="I73" s="18" t="s">
        <v>349</v>
      </c>
      <c r="J73" s="20" t="s">
        <v>349</v>
      </c>
      <c r="K73" s="18" t="n">
        <v>0</v>
      </c>
      <c r="L73" s="20" t="n">
        <v>0</v>
      </c>
      <c r="M73" s="18" t="n">
        <v>0</v>
      </c>
      <c r="N73" s="20" t="n">
        <v>0</v>
      </c>
      <c r="O73" s="18" t="n">
        <v>0</v>
      </c>
      <c r="P73" s="20" t="n">
        <v>0</v>
      </c>
      <c r="Q73" s="18" t="n">
        <v>2.80458688</v>
      </c>
      <c r="R73" s="20" t="n">
        <v>0.75759231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(4766.0/B75*100)</f>
        <v/>
      </c>
      <c r="D75" s="19" t="n">
        <v>609</v>
      </c>
      <c r="E75" s="18" t="n">
        <v>54.97269363</v>
      </c>
      <c r="F75" s="20" t="n">
        <v>2.10807227</v>
      </c>
      <c r="G75" s="18" t="n">
        <v>21.50990359</v>
      </c>
      <c r="H75" s="20" t="n">
        <v>1.72181972</v>
      </c>
      <c r="I75" s="18" t="s">
        <v>349</v>
      </c>
      <c r="J75" s="20" t="s">
        <v>349</v>
      </c>
      <c r="K75" s="18" t="n">
        <v>4.21318583</v>
      </c>
      <c r="L75" s="20" t="n">
        <v>1.09942647</v>
      </c>
      <c r="M75" s="18" t="n">
        <v>0</v>
      </c>
      <c r="N75" s="20" t="n">
        <v>0</v>
      </c>
      <c r="O75" s="18" t="n">
        <v>0</v>
      </c>
      <c r="P75" s="20" t="n">
        <v>0</v>
      </c>
      <c r="Q75" s="18" t="n">
        <v>19.30421694</v>
      </c>
      <c r="R75" s="20" t="n">
        <v>1.68238993</v>
      </c>
    </row>
    <row r="76" spans="1:18">
      <c r="A76" s="15" t="s">
        <v>418</v>
      </c>
      <c r="B76" s="17" t="n">
        <v>14167</v>
      </c>
      <c r="C76" s="18">
        <f>(12484.0/B76*100)</f>
        <v/>
      </c>
      <c r="D76" s="19" t="n">
        <v>1683</v>
      </c>
      <c r="E76" s="18" t="n">
        <v>68.009956</v>
      </c>
      <c r="F76" s="20" t="n">
        <v>1.63003353</v>
      </c>
      <c r="G76" s="18" t="n">
        <v>22.84659109</v>
      </c>
      <c r="H76" s="20" t="n">
        <v>1.31852777</v>
      </c>
      <c r="I76" s="18" t="s">
        <v>349</v>
      </c>
      <c r="J76" s="20" t="s">
        <v>349</v>
      </c>
      <c r="K76" s="18" t="n">
        <v>1.10069355</v>
      </c>
      <c r="L76" s="20" t="n">
        <v>0.28665813</v>
      </c>
      <c r="M76" s="18" t="n">
        <v>0</v>
      </c>
      <c r="N76" s="20" t="n">
        <v>0</v>
      </c>
      <c r="O76" s="18" t="n">
        <v>0</v>
      </c>
      <c r="P76" s="20" t="n">
        <v>0</v>
      </c>
      <c r="Q76" s="18" t="n">
        <v>8.04275936</v>
      </c>
      <c r="R76" s="20" t="n">
        <v>0.86735806</v>
      </c>
    </row>
    <row r="77" spans="1:18">
      <c r="A77" s="15" t="s">
        <v>419</v>
      </c>
      <c r="B77" s="17" t="n">
        <v>6062</v>
      </c>
      <c r="C77" s="18">
        <f>(5346.0/B77*100)</f>
        <v/>
      </c>
      <c r="D77" s="19" t="n">
        <v>716</v>
      </c>
      <c r="E77" s="18" t="n">
        <v>45.58533491</v>
      </c>
      <c r="F77" s="20" t="n">
        <v>2.10756156</v>
      </c>
      <c r="G77" s="18" t="n">
        <v>14.70620182</v>
      </c>
      <c r="H77" s="20" t="n">
        <v>1.27989269</v>
      </c>
      <c r="I77" s="18" t="s">
        <v>349</v>
      </c>
      <c r="J77" s="20" t="s">
        <v>349</v>
      </c>
      <c r="K77" s="18" t="n">
        <v>1.63377511</v>
      </c>
      <c r="L77" s="20" t="n">
        <v>0.5774004700000001</v>
      </c>
      <c r="M77" s="18" t="n">
        <v>0</v>
      </c>
      <c r="N77" s="20" t="n">
        <v>0</v>
      </c>
      <c r="O77" s="18" t="n">
        <v>0</v>
      </c>
      <c r="P77" s="20" t="n">
        <v>0</v>
      </c>
      <c r="Q77" s="18" t="n">
        <v>38.07468816</v>
      </c>
      <c r="R77" s="20" t="n">
        <v>2.26473707</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(7771.0/B81*100)</f>
        <v/>
      </c>
      <c r="D81" s="19" t="n">
        <v>1090</v>
      </c>
      <c r="E81" s="18" t="n">
        <v>64.94293897999999</v>
      </c>
      <c r="F81" s="20" t="n">
        <v>1.89455782</v>
      </c>
      <c r="G81" s="18" t="n">
        <v>31.60796618</v>
      </c>
      <c r="H81" s="20" t="n">
        <v>1.78528672</v>
      </c>
      <c r="I81" s="18" t="s">
        <v>349</v>
      </c>
      <c r="J81" s="20" t="s">
        <v>349</v>
      </c>
      <c r="K81" s="18" t="n">
        <v>0.14405576</v>
      </c>
      <c r="L81" s="20" t="n">
        <v>0.14328368</v>
      </c>
      <c r="M81" s="18" t="n">
        <v>0</v>
      </c>
      <c r="N81" s="20" t="n">
        <v>0</v>
      </c>
      <c r="O81" s="18" t="n">
        <v>0</v>
      </c>
      <c r="P81" s="20" t="n">
        <v>0</v>
      </c>
      <c r="Q81" s="18" t="n">
        <v>3.30503908</v>
      </c>
      <c r="R81" s="20" t="n">
        <v>0.75839534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(12769.0/B7*100)</f>
        <v/>
      </c>
      <c r="D7" s="19" t="n">
        <v>1761</v>
      </c>
      <c r="E7" s="18" t="n">
        <v>71.92413311</v>
      </c>
      <c r="F7" s="20" t="n">
        <v>1.12456787</v>
      </c>
      <c r="G7" s="18" t="n">
        <v>23.8848318</v>
      </c>
      <c r="H7" s="20" t="n">
        <v>0.9846332800000001</v>
      </c>
      <c r="I7" s="18" t="s">
        <v>349</v>
      </c>
      <c r="J7" s="20" t="s">
        <v>349</v>
      </c>
      <c r="K7" s="18" t="n">
        <v>0.83305196</v>
      </c>
      <c r="L7" s="20" t="n">
        <v>0.29583385</v>
      </c>
      <c r="M7" s="18" t="n">
        <v>0</v>
      </c>
      <c r="N7" s="20" t="n">
        <v>0</v>
      </c>
      <c r="O7" s="18" t="n">
        <v>0</v>
      </c>
      <c r="P7" s="20" t="n">
        <v>0</v>
      </c>
      <c r="Q7" s="18" t="n">
        <v>3.35798313</v>
      </c>
      <c r="R7" s="20" t="n">
        <v>0.4807996</v>
      </c>
    </row>
    <row r="8" spans="1:18">
      <c r="A8" s="15" t="s">
        <v>350</v>
      </c>
      <c r="B8" s="17" t="n">
        <v>7007</v>
      </c>
      <c r="C8" s="18">
        <f>(6164.0/B8*100)</f>
        <v/>
      </c>
      <c r="D8" s="19" t="n">
        <v>843</v>
      </c>
      <c r="E8" s="18" t="n">
        <v>70.31263190999999</v>
      </c>
      <c r="F8" s="20" t="n">
        <v>1.78244495</v>
      </c>
      <c r="G8" s="18" t="n">
        <v>26.24947819</v>
      </c>
      <c r="H8" s="20" t="n">
        <v>1.62410674</v>
      </c>
      <c r="I8" s="18" t="s">
        <v>349</v>
      </c>
      <c r="J8" s="20" t="s">
        <v>349</v>
      </c>
      <c r="K8" s="18" t="n">
        <v>0.24051718</v>
      </c>
      <c r="L8" s="20" t="n">
        <v>0.18309717</v>
      </c>
      <c r="M8" s="18" t="n">
        <v>0</v>
      </c>
      <c r="N8" s="20" t="n">
        <v>0</v>
      </c>
      <c r="O8" s="18" t="n">
        <v>0</v>
      </c>
      <c r="P8" s="20" t="n">
        <v>0</v>
      </c>
      <c r="Q8" s="18" t="n">
        <v>3.19737272</v>
      </c>
      <c r="R8" s="20" t="n">
        <v>0.64922324</v>
      </c>
    </row>
    <row r="9" spans="1:18">
      <c r="A9" s="15" t="s">
        <v>351</v>
      </c>
      <c r="B9" s="17" t="n">
        <v>9651</v>
      </c>
      <c r="C9" s="18">
        <f>(8534.0/B9*100)</f>
        <v/>
      </c>
      <c r="D9" s="19" t="n">
        <v>1117</v>
      </c>
      <c r="E9" s="18" t="n">
        <v>70.50078541000001</v>
      </c>
      <c r="F9" s="20" t="n">
        <v>1.53914071</v>
      </c>
      <c r="G9" s="18" t="n">
        <v>24.12747695</v>
      </c>
      <c r="H9" s="20" t="n">
        <v>1.52118751</v>
      </c>
      <c r="I9" s="18" t="s">
        <v>349</v>
      </c>
      <c r="J9" s="20" t="s">
        <v>349</v>
      </c>
      <c r="K9" s="18" t="n">
        <v>0.58668224</v>
      </c>
      <c r="L9" s="20" t="n">
        <v>0.25034801</v>
      </c>
      <c r="M9" s="18" t="n">
        <v>0</v>
      </c>
      <c r="N9" s="20" t="n">
        <v>0</v>
      </c>
      <c r="O9" s="18" t="n">
        <v>0</v>
      </c>
      <c r="P9" s="20" t="n">
        <v>0</v>
      </c>
      <c r="Q9" s="18" t="n">
        <v>4.7850554</v>
      </c>
      <c r="R9" s="20" t="n">
        <v>0.61600118</v>
      </c>
    </row>
    <row r="10" spans="1:18">
      <c r="A10" s="15" t="s">
        <v>352</v>
      </c>
      <c r="B10" s="17" t="n">
        <v>20058</v>
      </c>
      <c r="C10" s="18">
        <f>(17621.0/B10*100)</f>
        <v/>
      </c>
      <c r="D10" s="19" t="n">
        <v>2437</v>
      </c>
      <c r="E10" s="18" t="n">
        <v>68.10495066999999</v>
      </c>
      <c r="F10" s="20" t="n">
        <v>1.16619028</v>
      </c>
      <c r="G10" s="18" t="n">
        <v>29.27458164</v>
      </c>
      <c r="H10" s="20" t="n">
        <v>1.209689</v>
      </c>
      <c r="I10" s="18" t="s">
        <v>349</v>
      </c>
      <c r="J10" s="20" t="s">
        <v>349</v>
      </c>
      <c r="K10" s="18" t="n">
        <v>0.77482388</v>
      </c>
      <c r="L10" s="20" t="n">
        <v>0.20948053</v>
      </c>
      <c r="M10" s="18" t="n">
        <v>0</v>
      </c>
      <c r="N10" s="20" t="n">
        <v>0</v>
      </c>
      <c r="O10" s="18" t="n">
        <v>0</v>
      </c>
      <c r="P10" s="20" t="n">
        <v>0</v>
      </c>
      <c r="Q10" s="18" t="n">
        <v>1.84564381</v>
      </c>
      <c r="R10" s="20" t="n">
        <v>0.34651613</v>
      </c>
    </row>
    <row r="11" spans="1:18">
      <c r="A11" s="15" t="s">
        <v>353</v>
      </c>
      <c r="B11" s="17" t="n">
        <v>7053</v>
      </c>
      <c r="C11" s="18">
        <f>(6226.0/B11*100)</f>
        <v/>
      </c>
      <c r="D11" s="19" t="n">
        <v>827</v>
      </c>
      <c r="E11" s="18" t="n">
        <v>82.90875129</v>
      </c>
      <c r="F11" s="20" t="n">
        <v>1.45790434</v>
      </c>
      <c r="G11" s="18" t="n">
        <v>6.37805896</v>
      </c>
      <c r="H11" s="20" t="n">
        <v>0.95586165</v>
      </c>
      <c r="I11" s="18" t="s">
        <v>349</v>
      </c>
      <c r="J11" s="20" t="s">
        <v>349</v>
      </c>
      <c r="K11" s="18" t="n">
        <v>1.98153122</v>
      </c>
      <c r="L11" s="20" t="n">
        <v>0.59324311</v>
      </c>
      <c r="M11" s="18" t="n">
        <v>0</v>
      </c>
      <c r="N11" s="20" t="n">
        <v>0</v>
      </c>
      <c r="O11" s="18" t="n">
        <v>0</v>
      </c>
      <c r="P11" s="20" t="n">
        <v>0</v>
      </c>
      <c r="Q11" s="18" t="n">
        <v>8.731658530000001</v>
      </c>
      <c r="R11" s="20" t="n">
        <v>1.23319694</v>
      </c>
    </row>
    <row r="12" spans="1:18">
      <c r="A12" s="15" t="s">
        <v>354</v>
      </c>
      <c r="B12" s="17" t="n">
        <v>6894</v>
      </c>
      <c r="C12" s="18">
        <f>(6044.0/B12*100)</f>
        <v/>
      </c>
      <c r="D12" s="19" t="n">
        <v>850</v>
      </c>
      <c r="E12" s="18" t="n">
        <v>71.12664887</v>
      </c>
      <c r="F12" s="20" t="n">
        <v>1.65397953</v>
      </c>
      <c r="G12" s="18" t="n">
        <v>23.88466575</v>
      </c>
      <c r="H12" s="20" t="n">
        <v>1.67924581</v>
      </c>
      <c r="I12" s="18" t="s">
        <v>349</v>
      </c>
      <c r="J12" s="20" t="s">
        <v>349</v>
      </c>
      <c r="K12" s="18" t="n">
        <v>0.21215815</v>
      </c>
      <c r="L12" s="20" t="n">
        <v>0.13996843</v>
      </c>
      <c r="M12" s="18" t="n">
        <v>0</v>
      </c>
      <c r="N12" s="20" t="n">
        <v>0</v>
      </c>
      <c r="O12" s="18" t="n">
        <v>0</v>
      </c>
      <c r="P12" s="20" t="n">
        <v>0</v>
      </c>
      <c r="Q12" s="18" t="n">
        <v>4.77652723</v>
      </c>
      <c r="R12" s="20" t="n">
        <v>0.7502136</v>
      </c>
    </row>
    <row r="13" spans="1:18">
      <c r="A13" s="15" t="s">
        <v>355</v>
      </c>
      <c r="B13" s="17" t="n">
        <v>7161</v>
      </c>
      <c r="C13" s="18">
        <f>(6305.0/B13*100)</f>
        <v/>
      </c>
      <c r="D13" s="19" t="n">
        <v>856</v>
      </c>
      <c r="E13" s="18" t="n">
        <v>73.49550302999999</v>
      </c>
      <c r="F13" s="20" t="n">
        <v>1.96307241</v>
      </c>
      <c r="G13" s="18" t="n">
        <v>21.01744224</v>
      </c>
      <c r="H13" s="20" t="n">
        <v>1.7871353</v>
      </c>
      <c r="I13" s="18" t="s">
        <v>349</v>
      </c>
      <c r="J13" s="20" t="s">
        <v>349</v>
      </c>
      <c r="K13" s="18" t="n">
        <v>1.16806531</v>
      </c>
      <c r="L13" s="20" t="n">
        <v>0.45942389</v>
      </c>
      <c r="M13" s="18" t="n">
        <v>0</v>
      </c>
      <c r="N13" s="20" t="n">
        <v>0</v>
      </c>
      <c r="O13" s="18" t="n">
        <v>0</v>
      </c>
      <c r="P13" s="20" t="n">
        <v>0</v>
      </c>
      <c r="Q13" s="18" t="n">
        <v>4.31898943</v>
      </c>
      <c r="R13" s="20" t="n">
        <v>0.91583831</v>
      </c>
    </row>
    <row r="14" spans="1:18">
      <c r="A14" s="15" t="s">
        <v>356</v>
      </c>
      <c r="B14" s="17" t="n">
        <v>5587</v>
      </c>
      <c r="C14" s="18">
        <f>(4908.0/B14*100)</f>
        <v/>
      </c>
      <c r="D14" s="19" t="n">
        <v>679</v>
      </c>
      <c r="E14" s="18" t="n">
        <v>75.55938465</v>
      </c>
      <c r="F14" s="20" t="n">
        <v>1.87136954</v>
      </c>
      <c r="G14" s="18" t="n">
        <v>20.02781791</v>
      </c>
      <c r="H14" s="20" t="n">
        <v>1.70236834</v>
      </c>
      <c r="I14" s="18" t="s">
        <v>349</v>
      </c>
      <c r="J14" s="20" t="s">
        <v>349</v>
      </c>
      <c r="K14" s="18" t="n">
        <v>0.90942953</v>
      </c>
      <c r="L14" s="20" t="n">
        <v>0.59956129</v>
      </c>
      <c r="M14" s="18" t="n">
        <v>0</v>
      </c>
      <c r="N14" s="20" t="n">
        <v>0</v>
      </c>
      <c r="O14" s="18" t="n">
        <v>0</v>
      </c>
      <c r="P14" s="20" t="n">
        <v>0</v>
      </c>
      <c r="Q14" s="18" t="n">
        <v>3.50336791</v>
      </c>
      <c r="R14" s="20" t="n">
        <v>0.7567308700000001</v>
      </c>
    </row>
    <row r="15" spans="1:18">
      <c r="A15" s="15" t="s">
        <v>357</v>
      </c>
      <c r="B15" s="17" t="n">
        <v>5882</v>
      </c>
      <c r="C15" s="18">
        <f>(5168.0/B15*100)</f>
        <v/>
      </c>
      <c r="D15" s="19" t="n">
        <v>714</v>
      </c>
      <c r="E15" s="18" t="n">
        <v>66.2261519</v>
      </c>
      <c r="F15" s="20" t="n">
        <v>1.68084512</v>
      </c>
      <c r="G15" s="18" t="n">
        <v>28.60880462</v>
      </c>
      <c r="H15" s="20" t="n">
        <v>1.60219157</v>
      </c>
      <c r="I15" s="18" t="s">
        <v>349</v>
      </c>
      <c r="J15" s="20" t="s">
        <v>349</v>
      </c>
      <c r="K15" s="18" t="n">
        <v>0.12761558</v>
      </c>
      <c r="L15" s="20" t="n">
        <v>0.1277227</v>
      </c>
      <c r="M15" s="18" t="n">
        <v>0</v>
      </c>
      <c r="N15" s="20" t="n">
        <v>0</v>
      </c>
      <c r="O15" s="18" t="n">
        <v>0</v>
      </c>
      <c r="P15" s="20" t="n">
        <v>0</v>
      </c>
      <c r="Q15" s="18" t="n">
        <v>5.0374279</v>
      </c>
      <c r="R15" s="20" t="n">
        <v>0.78833383</v>
      </c>
    </row>
    <row r="16" spans="1:18">
      <c r="A16" s="15" t="s">
        <v>358</v>
      </c>
      <c r="B16" s="17" t="n">
        <v>6108</v>
      </c>
      <c r="C16" s="18">
        <f>(5389.0/B16*100)</f>
        <v/>
      </c>
      <c r="D16" s="19" t="n">
        <v>719</v>
      </c>
      <c r="E16" s="18" t="n">
        <v>72.76692276</v>
      </c>
      <c r="F16" s="20" t="n">
        <v>1.77517021</v>
      </c>
      <c r="G16" s="18" t="n">
        <v>19.00127867</v>
      </c>
      <c r="H16" s="20" t="n">
        <v>1.49941601</v>
      </c>
      <c r="I16" s="18" t="s">
        <v>349</v>
      </c>
      <c r="J16" s="20" t="s">
        <v>349</v>
      </c>
      <c r="K16" s="18" t="n">
        <v>1.4807167</v>
      </c>
      <c r="L16" s="20" t="n">
        <v>0.50236811</v>
      </c>
      <c r="M16" s="18" t="n">
        <v>0</v>
      </c>
      <c r="N16" s="20" t="n">
        <v>0</v>
      </c>
      <c r="O16" s="18" t="n">
        <v>0</v>
      </c>
      <c r="P16" s="20" t="n">
        <v>0</v>
      </c>
      <c r="Q16" s="18" t="n">
        <v>6.75108187</v>
      </c>
      <c r="R16" s="20" t="n">
        <v>0.98946174</v>
      </c>
    </row>
    <row r="17" spans="1:18">
      <c r="A17" s="15" t="s">
        <v>359</v>
      </c>
      <c r="B17" s="17" t="n">
        <v>6504</v>
      </c>
      <c r="C17" s="18">
        <f>(5718.0/B17*100)</f>
        <v/>
      </c>
      <c r="D17" s="19" t="n">
        <v>786</v>
      </c>
      <c r="E17" s="18" t="n">
        <v>64.69473176</v>
      </c>
      <c r="F17" s="20" t="n">
        <v>1.62947015</v>
      </c>
      <c r="G17" s="18" t="n">
        <v>31.66991223</v>
      </c>
      <c r="H17" s="20" t="n">
        <v>1.70005944</v>
      </c>
      <c r="I17" s="18" t="s">
        <v>349</v>
      </c>
      <c r="J17" s="20" t="s">
        <v>349</v>
      </c>
      <c r="K17" s="18" t="n">
        <v>0.37590113</v>
      </c>
      <c r="L17" s="20" t="n">
        <v>0.23610085</v>
      </c>
      <c r="M17" s="18" t="n">
        <v>0</v>
      </c>
      <c r="N17" s="20" t="n">
        <v>0</v>
      </c>
      <c r="O17" s="18" t="n">
        <v>0</v>
      </c>
      <c r="P17" s="20" t="n">
        <v>0</v>
      </c>
      <c r="Q17" s="18" t="n">
        <v>3.25945488</v>
      </c>
      <c r="R17" s="20" t="n">
        <v>0.62260206</v>
      </c>
    </row>
    <row r="18" spans="1:18">
      <c r="A18" s="15" t="s">
        <v>360</v>
      </c>
      <c r="B18" s="17" t="n">
        <v>5532</v>
      </c>
      <c r="C18" s="18">
        <f>(4853.0/B18*100)</f>
        <v/>
      </c>
      <c r="D18" s="19" t="n">
        <v>679</v>
      </c>
      <c r="E18" s="18" t="n">
        <v>80.97809982</v>
      </c>
      <c r="F18" s="20" t="n">
        <v>1.588347</v>
      </c>
      <c r="G18" s="18" t="n">
        <v>12.7768129</v>
      </c>
      <c r="H18" s="20" t="n">
        <v>1.52522812</v>
      </c>
      <c r="I18" s="18" t="s">
        <v>349</v>
      </c>
      <c r="J18" s="20" t="s">
        <v>349</v>
      </c>
      <c r="K18" s="18" t="n">
        <v>1.69341128</v>
      </c>
      <c r="L18" s="20" t="n">
        <v>0.54690159</v>
      </c>
      <c r="M18" s="18" t="n">
        <v>0</v>
      </c>
      <c r="N18" s="20" t="n">
        <v>0</v>
      </c>
      <c r="O18" s="18" t="n">
        <v>0</v>
      </c>
      <c r="P18" s="20" t="n">
        <v>0</v>
      </c>
      <c r="Q18" s="18" t="n">
        <v>4.551676</v>
      </c>
      <c r="R18" s="20" t="n">
        <v>0.76491309</v>
      </c>
    </row>
    <row r="19" spans="1:18">
      <c r="A19" s="15" t="s">
        <v>361</v>
      </c>
      <c r="B19" s="17" t="n">
        <v>5658</v>
      </c>
      <c r="C19" s="18">
        <f>(4956.0/B19*100)</f>
        <v/>
      </c>
      <c r="D19" s="19" t="n">
        <v>702</v>
      </c>
      <c r="E19" s="18" t="n">
        <v>75.76755654999999</v>
      </c>
      <c r="F19" s="20" t="n">
        <v>1.95394355</v>
      </c>
      <c r="G19" s="18" t="n">
        <v>19.24765516</v>
      </c>
      <c r="H19" s="20" t="n">
        <v>1.65491109</v>
      </c>
      <c r="I19" s="18" t="s">
        <v>349</v>
      </c>
      <c r="J19" s="20" t="s">
        <v>349</v>
      </c>
      <c r="K19" s="18" t="n">
        <v>0.60287577</v>
      </c>
      <c r="L19" s="20" t="n">
        <v>0.36414375</v>
      </c>
      <c r="M19" s="18" t="n">
        <v>0</v>
      </c>
      <c r="N19" s="20" t="n">
        <v>0</v>
      </c>
      <c r="O19" s="18" t="n">
        <v>0</v>
      </c>
      <c r="P19" s="20" t="n">
        <v>0</v>
      </c>
      <c r="Q19" s="18" t="n">
        <v>4.38191251</v>
      </c>
      <c r="R19" s="20" t="n">
        <v>0.94510735</v>
      </c>
    </row>
    <row r="20" spans="1:18">
      <c r="A20" s="15" t="s">
        <v>362</v>
      </c>
      <c r="B20" s="17" t="n">
        <v>3371</v>
      </c>
      <c r="C20" s="18">
        <f>(2971.0/B20*100)</f>
        <v/>
      </c>
      <c r="D20" s="19" t="n">
        <v>400</v>
      </c>
      <c r="E20" s="18" t="n">
        <v>78.12551564</v>
      </c>
      <c r="F20" s="20" t="n">
        <v>2.19569702</v>
      </c>
      <c r="G20" s="18" t="n">
        <v>16.9127492</v>
      </c>
      <c r="H20" s="20" t="n">
        <v>1.97759097</v>
      </c>
      <c r="I20" s="18" t="s">
        <v>349</v>
      </c>
      <c r="J20" s="20" t="s">
        <v>349</v>
      </c>
      <c r="K20" s="18" t="n">
        <v>0.98158464</v>
      </c>
      <c r="L20" s="20" t="n">
        <v>0.49956646</v>
      </c>
      <c r="M20" s="18" t="n">
        <v>0</v>
      </c>
      <c r="N20" s="20" t="n">
        <v>0</v>
      </c>
      <c r="O20" s="18" t="n">
        <v>0</v>
      </c>
      <c r="P20" s="20" t="n">
        <v>0</v>
      </c>
      <c r="Q20" s="18" t="n">
        <v>3.98015052</v>
      </c>
      <c r="R20" s="20" t="n">
        <v>1.02815897</v>
      </c>
    </row>
    <row r="21" spans="1:18">
      <c r="A21" s="15" t="s">
        <v>363</v>
      </c>
      <c r="B21" s="17" t="n">
        <v>5741</v>
      </c>
      <c r="C21" s="18">
        <f>(4776.0/B21*100)</f>
        <v/>
      </c>
      <c r="D21" s="19" t="n">
        <v>965</v>
      </c>
      <c r="E21" s="18" t="n">
        <v>78.12196421</v>
      </c>
      <c r="F21" s="20" t="n">
        <v>1.31937059</v>
      </c>
      <c r="G21" s="18" t="n">
        <v>19.59476788</v>
      </c>
      <c r="H21" s="20" t="n">
        <v>1.20467773</v>
      </c>
      <c r="I21" s="18" t="s">
        <v>349</v>
      </c>
      <c r="J21" s="20" t="s">
        <v>349</v>
      </c>
      <c r="K21" s="18" t="n">
        <v>0.22092829</v>
      </c>
      <c r="L21" s="20" t="n">
        <v>0.15669958</v>
      </c>
      <c r="M21" s="18" t="n">
        <v>0</v>
      </c>
      <c r="N21" s="20" t="n">
        <v>0</v>
      </c>
      <c r="O21" s="18" t="n">
        <v>0</v>
      </c>
      <c r="P21" s="20" t="n">
        <v>0</v>
      </c>
      <c r="Q21" s="18" t="n">
        <v>2.06233962</v>
      </c>
      <c r="R21" s="20" t="n">
        <v>0.48133906</v>
      </c>
    </row>
    <row r="22" spans="1:18">
      <c r="A22" s="15" t="s">
        <v>364</v>
      </c>
      <c r="B22" s="17" t="n">
        <v>6598</v>
      </c>
      <c r="C22" s="18">
        <f>(5786.0/B22*100)</f>
        <v/>
      </c>
      <c r="D22" s="19" t="n">
        <v>812</v>
      </c>
      <c r="E22" s="18" t="n">
        <v>77.28180137</v>
      </c>
      <c r="F22" s="20" t="n">
        <v>1.83154941</v>
      </c>
      <c r="G22" s="18" t="n">
        <v>17.15501399</v>
      </c>
      <c r="H22" s="20" t="n">
        <v>1.70065509</v>
      </c>
      <c r="I22" s="18" t="s">
        <v>349</v>
      </c>
      <c r="J22" s="20" t="s">
        <v>349</v>
      </c>
      <c r="K22" s="18" t="n">
        <v>1.02372234</v>
      </c>
      <c r="L22" s="20" t="n">
        <v>0.39177174</v>
      </c>
      <c r="M22" s="18" t="n">
        <v>0</v>
      </c>
      <c r="N22" s="20" t="n">
        <v>0</v>
      </c>
      <c r="O22" s="18" t="n">
        <v>0</v>
      </c>
      <c r="P22" s="20" t="n">
        <v>0</v>
      </c>
      <c r="Q22" s="18" t="n">
        <v>4.53946231</v>
      </c>
      <c r="R22" s="20" t="n">
        <v>0.81085493</v>
      </c>
    </row>
    <row r="23" spans="1:18">
      <c r="A23" s="15" t="s">
        <v>365</v>
      </c>
      <c r="B23" s="17" t="n">
        <v>11583</v>
      </c>
      <c r="C23" s="18">
        <f>(10175.0/B23*100)</f>
        <v/>
      </c>
      <c r="D23" s="19" t="n">
        <v>1408</v>
      </c>
      <c r="E23" s="18" t="n">
        <v>67.7023818</v>
      </c>
      <c r="F23" s="20" t="n">
        <v>1.66396816</v>
      </c>
      <c r="G23" s="18" t="n">
        <v>26.94463411</v>
      </c>
      <c r="H23" s="20" t="n">
        <v>1.66168698</v>
      </c>
      <c r="I23" s="18" t="s">
        <v>349</v>
      </c>
      <c r="J23" s="20" t="s">
        <v>349</v>
      </c>
      <c r="K23" s="18" t="n">
        <v>0.49302498</v>
      </c>
      <c r="L23" s="20" t="n">
        <v>0.24971768</v>
      </c>
      <c r="M23" s="18" t="n">
        <v>0</v>
      </c>
      <c r="N23" s="20" t="n">
        <v>0</v>
      </c>
      <c r="O23" s="18" t="n">
        <v>0</v>
      </c>
      <c r="P23" s="20" t="n">
        <v>0</v>
      </c>
      <c r="Q23" s="18" t="n">
        <v>4.85995911</v>
      </c>
      <c r="R23" s="20" t="n">
        <v>0.84652827</v>
      </c>
    </row>
    <row r="24" spans="1:18">
      <c r="A24" s="15" t="s">
        <v>366</v>
      </c>
      <c r="B24" s="17" t="n">
        <v>6647</v>
      </c>
      <c r="C24" s="18">
        <f>(5828.0/B24*100)</f>
        <v/>
      </c>
      <c r="D24" s="19" t="n">
        <v>819</v>
      </c>
      <c r="E24" s="18" t="n">
        <v>60.12227988</v>
      </c>
      <c r="F24" s="20" t="n">
        <v>1.87151479</v>
      </c>
      <c r="G24" s="18" t="n">
        <v>36.87007636</v>
      </c>
      <c r="H24" s="20" t="n">
        <v>1.93968526</v>
      </c>
      <c r="I24" s="18" t="s">
        <v>349</v>
      </c>
      <c r="J24" s="20" t="s">
        <v>349</v>
      </c>
      <c r="K24" s="18" t="n">
        <v>0.42695554</v>
      </c>
      <c r="L24" s="20" t="n">
        <v>0.21672816</v>
      </c>
      <c r="M24" s="18" t="n">
        <v>0</v>
      </c>
      <c r="N24" s="20" t="n">
        <v>0</v>
      </c>
      <c r="O24" s="18" t="n">
        <v>0</v>
      </c>
      <c r="P24" s="20" t="n">
        <v>0</v>
      </c>
      <c r="Q24" s="18" t="n">
        <v>2.58068821</v>
      </c>
      <c r="R24" s="20" t="n">
        <v>0.45227947</v>
      </c>
    </row>
    <row r="25" spans="1:18">
      <c r="A25" s="15" t="s">
        <v>367</v>
      </c>
      <c r="B25" s="17" t="n">
        <v>5581</v>
      </c>
      <c r="C25" s="18">
        <f>(4904.0/B25*100)</f>
        <v/>
      </c>
      <c r="D25" s="19" t="n">
        <v>677</v>
      </c>
      <c r="E25" s="18" t="n">
        <v>58.16002205</v>
      </c>
      <c r="F25" s="20" t="n">
        <v>1.94487709</v>
      </c>
      <c r="G25" s="18" t="n">
        <v>40.18224629</v>
      </c>
      <c r="H25" s="20" t="n">
        <v>1.98542635</v>
      </c>
      <c r="I25" s="18" t="s">
        <v>349</v>
      </c>
      <c r="J25" s="20" t="s">
        <v>349</v>
      </c>
      <c r="K25" s="18" t="n">
        <v>0.44904833</v>
      </c>
      <c r="L25" s="20" t="n">
        <v>0.25828071</v>
      </c>
      <c r="M25" s="18" t="n">
        <v>0</v>
      </c>
      <c r="N25" s="20" t="n">
        <v>0</v>
      </c>
      <c r="O25" s="18" t="n">
        <v>0</v>
      </c>
      <c r="P25" s="20" t="n">
        <v>0</v>
      </c>
      <c r="Q25" s="18" t="n">
        <v>1.20868332</v>
      </c>
      <c r="R25" s="20" t="n">
        <v>0.47582227</v>
      </c>
    </row>
    <row r="26" spans="1:18">
      <c r="A26" s="15" t="s">
        <v>368</v>
      </c>
      <c r="B26" s="17" t="n">
        <v>4869</v>
      </c>
      <c r="C26" s="18">
        <f>(4266.0/B26*100)</f>
        <v/>
      </c>
      <c r="D26" s="19" t="n">
        <v>603</v>
      </c>
      <c r="E26" s="18" t="n">
        <v>81.03148945</v>
      </c>
      <c r="F26" s="20" t="n">
        <v>1.65920603</v>
      </c>
      <c r="G26" s="18" t="n">
        <v>17.37249977</v>
      </c>
      <c r="H26" s="20" t="n">
        <v>1.59046587</v>
      </c>
      <c r="I26" s="18" t="s">
        <v>349</v>
      </c>
      <c r="J26" s="20" t="s">
        <v>349</v>
      </c>
      <c r="K26" s="18" t="n">
        <v>0.26094247</v>
      </c>
      <c r="L26" s="20" t="n">
        <v>0.18610858</v>
      </c>
      <c r="M26" s="18" t="n">
        <v>0</v>
      </c>
      <c r="N26" s="20" t="n">
        <v>0</v>
      </c>
      <c r="O26" s="18" t="n">
        <v>0</v>
      </c>
      <c r="P26" s="20" t="n">
        <v>0</v>
      </c>
      <c r="Q26" s="18" t="n">
        <v>1.33506831</v>
      </c>
      <c r="R26" s="20" t="n">
        <v>0.49319165</v>
      </c>
    </row>
    <row r="27" spans="1:18">
      <c r="A27" s="15" t="s">
        <v>369</v>
      </c>
      <c r="B27" s="17" t="n">
        <v>5299</v>
      </c>
      <c r="C27" s="18">
        <f>(4670.0/B27*100)</f>
        <v/>
      </c>
      <c r="D27" s="19" t="n">
        <v>629</v>
      </c>
      <c r="E27" s="18" t="n">
        <v>71.85779743000001</v>
      </c>
      <c r="F27" s="20" t="n">
        <v>1.80326776</v>
      </c>
      <c r="G27" s="18" t="n">
        <v>23.30720836</v>
      </c>
      <c r="H27" s="20" t="n">
        <v>1.74017881</v>
      </c>
      <c r="I27" s="18" t="s">
        <v>349</v>
      </c>
      <c r="J27" s="20" t="s">
        <v>349</v>
      </c>
      <c r="K27" s="18" t="n">
        <v>0.62693482</v>
      </c>
      <c r="L27" s="20" t="n">
        <v>0.31297266</v>
      </c>
      <c r="M27" s="18" t="n">
        <v>0</v>
      </c>
      <c r="N27" s="20" t="n">
        <v>0</v>
      </c>
      <c r="O27" s="18" t="n">
        <v>0</v>
      </c>
      <c r="P27" s="20" t="n">
        <v>0</v>
      </c>
      <c r="Q27" s="18" t="n">
        <v>4.20805939</v>
      </c>
      <c r="R27" s="20" t="n">
        <v>0.7518017299999999</v>
      </c>
    </row>
    <row r="28" spans="1:18">
      <c r="A28" s="15" t="s">
        <v>370</v>
      </c>
      <c r="B28" s="17" t="n">
        <v>7568</v>
      </c>
      <c r="C28" s="18">
        <f>(6703.0/B28*100)</f>
        <v/>
      </c>
      <c r="D28" s="19" t="n">
        <v>865</v>
      </c>
      <c r="E28" s="18" t="n">
        <v>92.35895669999999</v>
      </c>
      <c r="F28" s="20" t="n">
        <v>1.03591128</v>
      </c>
      <c r="G28" s="18" t="n">
        <v>5.12155806</v>
      </c>
      <c r="H28" s="20" t="n">
        <v>0.80791727</v>
      </c>
      <c r="I28" s="18" t="s">
        <v>349</v>
      </c>
      <c r="J28" s="20" t="s">
        <v>349</v>
      </c>
      <c r="K28" s="18" t="n">
        <v>0.8917811</v>
      </c>
      <c r="L28" s="20" t="n">
        <v>0.4033104</v>
      </c>
      <c r="M28" s="18" t="n">
        <v>0</v>
      </c>
      <c r="N28" s="20" t="n">
        <v>0</v>
      </c>
      <c r="O28" s="18" t="n">
        <v>0</v>
      </c>
      <c r="P28" s="20" t="n">
        <v>0</v>
      </c>
      <c r="Q28" s="18" t="n">
        <v>1.62770414</v>
      </c>
      <c r="R28" s="20" t="n">
        <v>0.57429883</v>
      </c>
    </row>
    <row r="29" spans="1:18">
      <c r="A29" s="15" t="s">
        <v>371</v>
      </c>
      <c r="B29" s="17" t="n">
        <v>5385</v>
      </c>
      <c r="C29" s="18">
        <f>(4735.0/B29*100)</f>
        <v/>
      </c>
      <c r="D29" s="19" t="n">
        <v>650</v>
      </c>
      <c r="E29" s="18" t="n">
        <v>77.34549570999999</v>
      </c>
      <c r="F29" s="20" t="n">
        <v>1.59160139</v>
      </c>
      <c r="G29" s="18" t="n">
        <v>20.92076013</v>
      </c>
      <c r="H29" s="20" t="n">
        <v>1.50080885</v>
      </c>
      <c r="I29" s="18" t="s">
        <v>349</v>
      </c>
      <c r="J29" s="20" t="s">
        <v>349</v>
      </c>
      <c r="K29" s="18" t="n">
        <v>0.33450766</v>
      </c>
      <c r="L29" s="20" t="n">
        <v>0.21019855</v>
      </c>
      <c r="M29" s="18" t="n">
        <v>0</v>
      </c>
      <c r="N29" s="20" t="n">
        <v>0</v>
      </c>
      <c r="O29" s="18" t="n">
        <v>0</v>
      </c>
      <c r="P29" s="20" t="n">
        <v>0</v>
      </c>
      <c r="Q29" s="18" t="n">
        <v>1.39923651</v>
      </c>
      <c r="R29" s="20" t="n">
        <v>0.48772403</v>
      </c>
    </row>
    <row r="30" spans="1:18">
      <c r="A30" s="15" t="s">
        <v>372</v>
      </c>
      <c r="B30" s="17" t="n">
        <v>4520</v>
      </c>
      <c r="C30" s="18">
        <f>(3957.0/B30*100)</f>
        <v/>
      </c>
      <c r="D30" s="19" t="n">
        <v>563</v>
      </c>
      <c r="E30" s="18" t="n">
        <v>74.92702946</v>
      </c>
      <c r="F30" s="20" t="n">
        <v>1.74729327</v>
      </c>
      <c r="G30" s="18" t="n">
        <v>20.52858905</v>
      </c>
      <c r="H30" s="20" t="n">
        <v>1.65583966</v>
      </c>
      <c r="I30" s="18" t="s">
        <v>349</v>
      </c>
      <c r="J30" s="20" t="s">
        <v>349</v>
      </c>
      <c r="K30" s="18" t="n">
        <v>0.16100473</v>
      </c>
      <c r="L30" s="20" t="n">
        <v>0.16354851</v>
      </c>
      <c r="M30" s="18" t="n">
        <v>0</v>
      </c>
      <c r="N30" s="20" t="n">
        <v>0</v>
      </c>
      <c r="O30" s="18" t="n">
        <v>0</v>
      </c>
      <c r="P30" s="20" t="n">
        <v>0</v>
      </c>
      <c r="Q30" s="18" t="n">
        <v>4.38337676</v>
      </c>
      <c r="R30" s="20" t="n">
        <v>0.78774194</v>
      </c>
    </row>
    <row r="31" spans="1:18">
      <c r="A31" s="15" t="s">
        <v>373</v>
      </c>
      <c r="B31" s="17" t="n">
        <v>5456</v>
      </c>
      <c r="C31" s="18">
        <f>(4815.0/B31*100)</f>
        <v/>
      </c>
      <c r="D31" s="19" t="n">
        <v>641</v>
      </c>
      <c r="E31" s="18" t="n">
        <v>72.66392897999999</v>
      </c>
      <c r="F31" s="20" t="n">
        <v>1.77247682</v>
      </c>
      <c r="G31" s="18" t="n">
        <v>18.27104009</v>
      </c>
      <c r="H31" s="20" t="n">
        <v>1.78612144</v>
      </c>
      <c r="I31" s="18" t="s">
        <v>349</v>
      </c>
      <c r="J31" s="20" t="s">
        <v>349</v>
      </c>
      <c r="K31" s="18" t="n">
        <v>0.90461245</v>
      </c>
      <c r="L31" s="20" t="n">
        <v>0.36469914</v>
      </c>
      <c r="M31" s="18" t="n">
        <v>0</v>
      </c>
      <c r="N31" s="20" t="n">
        <v>0</v>
      </c>
      <c r="O31" s="18" t="n">
        <v>0</v>
      </c>
      <c r="P31" s="20" t="n">
        <v>0</v>
      </c>
      <c r="Q31" s="18" t="n">
        <v>8.160418480000001</v>
      </c>
      <c r="R31" s="20" t="n">
        <v>1.09516021</v>
      </c>
    </row>
    <row r="32" spans="1:18">
      <c r="A32" s="15" t="s">
        <v>374</v>
      </c>
      <c r="B32" s="17" t="n">
        <v>4478</v>
      </c>
      <c r="C32" s="18">
        <f>(3747.0/B32*100)</f>
        <v/>
      </c>
      <c r="D32" s="19" t="n">
        <v>731</v>
      </c>
      <c r="E32" s="18" t="n">
        <v>71.22770964999999</v>
      </c>
      <c r="F32" s="20" t="n">
        <v>1.74105882</v>
      </c>
      <c r="G32" s="18" t="n">
        <v>25.91564751</v>
      </c>
      <c r="H32" s="20" t="n">
        <v>1.7176562</v>
      </c>
      <c r="I32" s="18" t="s">
        <v>349</v>
      </c>
      <c r="J32" s="20" t="s">
        <v>349</v>
      </c>
      <c r="K32" s="18" t="n">
        <v>0.13018182</v>
      </c>
      <c r="L32" s="20" t="n">
        <v>0.13579291</v>
      </c>
      <c r="M32" s="18" t="n">
        <v>0</v>
      </c>
      <c r="N32" s="20" t="n">
        <v>0</v>
      </c>
      <c r="O32" s="18" t="n">
        <v>0</v>
      </c>
      <c r="P32" s="20" t="n">
        <v>0</v>
      </c>
      <c r="Q32" s="18" t="n">
        <v>2.72646102</v>
      </c>
      <c r="R32" s="20" t="n">
        <v>0.66230223</v>
      </c>
    </row>
    <row r="33" spans="1:18">
      <c r="A33" s="15" t="s">
        <v>375</v>
      </c>
      <c r="B33" s="17" t="n">
        <v>7325</v>
      </c>
      <c r="C33" s="18">
        <f>(6459.0/B33*100)</f>
        <v/>
      </c>
      <c r="D33" s="19" t="n">
        <v>866</v>
      </c>
      <c r="E33" s="18" t="n">
        <v>72.26678817</v>
      </c>
      <c r="F33" s="20" t="n">
        <v>2.14171201</v>
      </c>
      <c r="G33" s="18" t="n">
        <v>23.51576321</v>
      </c>
      <c r="H33" s="20" t="n">
        <v>1.75677444</v>
      </c>
      <c r="I33" s="18" t="s">
        <v>349</v>
      </c>
      <c r="J33" s="20" t="s">
        <v>349</v>
      </c>
      <c r="K33" s="18" t="n">
        <v>0.94693706</v>
      </c>
      <c r="L33" s="20" t="n">
        <v>0.64694473</v>
      </c>
      <c r="M33" s="18" t="n">
        <v>0</v>
      </c>
      <c r="N33" s="20" t="n">
        <v>0</v>
      </c>
      <c r="O33" s="18" t="n">
        <v>0</v>
      </c>
      <c r="P33" s="20" t="n">
        <v>0</v>
      </c>
      <c r="Q33" s="18" t="n">
        <v>3.27051156</v>
      </c>
      <c r="R33" s="20" t="n">
        <v>0.83485194</v>
      </c>
    </row>
    <row r="34" spans="1:18">
      <c r="A34" s="15" t="s">
        <v>376</v>
      </c>
      <c r="B34" s="17" t="n">
        <v>6350</v>
      </c>
      <c r="C34" s="18">
        <f>(5587.0/B34*100)</f>
        <v/>
      </c>
      <c r="D34" s="19" t="n">
        <v>763</v>
      </c>
      <c r="E34" s="18" t="n">
        <v>78.29949796</v>
      </c>
      <c r="F34" s="20" t="n">
        <v>1.62335151</v>
      </c>
      <c r="G34" s="18" t="n">
        <v>17.91000037</v>
      </c>
      <c r="H34" s="20" t="n">
        <v>1.50586934</v>
      </c>
      <c r="I34" s="18" t="s">
        <v>349</v>
      </c>
      <c r="J34" s="20" t="s">
        <v>349</v>
      </c>
      <c r="K34" s="18" t="n">
        <v>0.41538418</v>
      </c>
      <c r="L34" s="20" t="n">
        <v>0.253747</v>
      </c>
      <c r="M34" s="18" t="n">
        <v>0</v>
      </c>
      <c r="N34" s="20" t="n">
        <v>0</v>
      </c>
      <c r="O34" s="18" t="n">
        <v>0</v>
      </c>
      <c r="P34" s="20" t="n">
        <v>0</v>
      </c>
      <c r="Q34" s="18" t="n">
        <v>3.37511748</v>
      </c>
      <c r="R34" s="20" t="n">
        <v>0.62165517</v>
      </c>
    </row>
    <row r="35" spans="1:18">
      <c r="A35" s="15" t="s">
        <v>377</v>
      </c>
      <c r="B35" s="17" t="n">
        <v>6406</v>
      </c>
      <c r="C35" s="18">
        <f>(5618.0/B35*100)</f>
        <v/>
      </c>
      <c r="D35" s="19" t="n">
        <v>788</v>
      </c>
      <c r="E35" s="18" t="n">
        <v>69.5273231</v>
      </c>
      <c r="F35" s="20" t="n">
        <v>2.0117917</v>
      </c>
      <c r="G35" s="18" t="n">
        <v>27.39526203</v>
      </c>
      <c r="H35" s="20" t="n">
        <v>1.81349339</v>
      </c>
      <c r="I35" s="18" t="s">
        <v>349</v>
      </c>
      <c r="J35" s="20" t="s">
        <v>349</v>
      </c>
      <c r="K35" s="18" t="n">
        <v>0.22918615</v>
      </c>
      <c r="L35" s="20" t="n">
        <v>0.11657846</v>
      </c>
      <c r="M35" s="18" t="n">
        <v>0</v>
      </c>
      <c r="N35" s="20" t="n">
        <v>0</v>
      </c>
      <c r="O35" s="18" t="n">
        <v>0</v>
      </c>
      <c r="P35" s="20" t="n">
        <v>0</v>
      </c>
      <c r="Q35" s="18" t="n">
        <v>2.84822872</v>
      </c>
      <c r="R35" s="20" t="n">
        <v>0.66509169</v>
      </c>
    </row>
    <row r="36" spans="1:18">
      <c r="A36" s="15" t="s">
        <v>378</v>
      </c>
      <c r="B36" s="17" t="n">
        <v>6736</v>
      </c>
      <c r="C36" s="18">
        <f>(5928.0/B36*100)</f>
        <v/>
      </c>
      <c r="D36" s="19" t="n">
        <v>808</v>
      </c>
      <c r="E36" s="18" t="n">
        <v>79.52795252999999</v>
      </c>
      <c r="F36" s="20" t="n">
        <v>1.42343664</v>
      </c>
      <c r="G36" s="18" t="n">
        <v>15.4671403</v>
      </c>
      <c r="H36" s="20" t="n">
        <v>1.36774007</v>
      </c>
      <c r="I36" s="18" t="s">
        <v>349</v>
      </c>
      <c r="J36" s="20" t="s">
        <v>349</v>
      </c>
      <c r="K36" s="18" t="n">
        <v>0.59395209</v>
      </c>
      <c r="L36" s="20" t="n">
        <v>0.29356533</v>
      </c>
      <c r="M36" s="18" t="n">
        <v>0</v>
      </c>
      <c r="N36" s="20" t="n">
        <v>0</v>
      </c>
      <c r="O36" s="18" t="n">
        <v>0</v>
      </c>
      <c r="P36" s="20" t="n">
        <v>0</v>
      </c>
      <c r="Q36" s="18" t="n">
        <v>4.41095508</v>
      </c>
      <c r="R36" s="20" t="n">
        <v>0.72881177</v>
      </c>
    </row>
    <row r="37" spans="1:18">
      <c r="A37" s="15" t="s">
        <v>379</v>
      </c>
      <c r="B37" s="17" t="n">
        <v>5458</v>
      </c>
      <c r="C37" s="18">
        <f>(4797.0/B37*100)</f>
        <v/>
      </c>
      <c r="D37" s="19" t="n">
        <v>661</v>
      </c>
      <c r="E37" s="18" t="n">
        <v>72.97599695</v>
      </c>
      <c r="F37" s="20" t="n">
        <v>2.35466275</v>
      </c>
      <c r="G37" s="18" t="n">
        <v>20.2423614</v>
      </c>
      <c r="H37" s="20" t="n">
        <v>2.28229713</v>
      </c>
      <c r="I37" s="18" t="s">
        <v>349</v>
      </c>
      <c r="J37" s="20" t="s">
        <v>349</v>
      </c>
      <c r="K37" s="18" t="n">
        <v>1.16929437</v>
      </c>
      <c r="L37" s="20" t="n">
        <v>0.41561112</v>
      </c>
      <c r="M37" s="18" t="n">
        <v>0</v>
      </c>
      <c r="N37" s="20" t="n">
        <v>0</v>
      </c>
      <c r="O37" s="18" t="n">
        <v>0</v>
      </c>
      <c r="P37" s="20" t="n">
        <v>0</v>
      </c>
      <c r="Q37" s="18" t="n">
        <v>5.61234728</v>
      </c>
      <c r="R37" s="20" t="n">
        <v>1.06074324</v>
      </c>
    </row>
    <row r="38" spans="1:18">
      <c r="A38" s="15" t="s">
        <v>380</v>
      </c>
      <c r="B38" s="17" t="n">
        <v>5860</v>
      </c>
      <c r="C38" s="18">
        <f>(4885.0/B38*100)</f>
        <v/>
      </c>
      <c r="D38" s="19" t="n">
        <v>975</v>
      </c>
      <c r="E38" s="18" t="n">
        <v>59.00797234</v>
      </c>
      <c r="F38" s="20" t="n">
        <v>1.56533375</v>
      </c>
      <c r="G38" s="18" t="n">
        <v>38.34356843</v>
      </c>
      <c r="H38" s="20" t="n">
        <v>1.61481869</v>
      </c>
      <c r="I38" s="18" t="s">
        <v>349</v>
      </c>
      <c r="J38" s="20" t="s">
        <v>349</v>
      </c>
      <c r="K38" s="18" t="n">
        <v>1.08886982</v>
      </c>
      <c r="L38" s="20" t="n">
        <v>0.3388035</v>
      </c>
      <c r="M38" s="18" t="n">
        <v>0</v>
      </c>
      <c r="N38" s="20" t="n">
        <v>0</v>
      </c>
      <c r="O38" s="18" t="n">
        <v>0</v>
      </c>
      <c r="P38" s="20" t="n">
        <v>0</v>
      </c>
      <c r="Q38" s="18" t="n">
        <v>1.55958942</v>
      </c>
      <c r="R38" s="20" t="n">
        <v>0.3925184</v>
      </c>
    </row>
    <row r="39" spans="1:18">
      <c r="A39" s="15" t="s">
        <v>381</v>
      </c>
      <c r="B39" s="17" t="n">
        <v>5895</v>
      </c>
      <c r="C39" s="18">
        <f>(5200.0/B39*100)</f>
        <v/>
      </c>
      <c r="D39" s="19" t="n">
        <v>695</v>
      </c>
      <c r="E39" s="18" t="n">
        <v>78.55278375</v>
      </c>
      <c r="F39" s="20" t="n">
        <v>2.38918846</v>
      </c>
      <c r="G39" s="18" t="n">
        <v>19.17431794</v>
      </c>
      <c r="H39" s="20" t="n">
        <v>2.47937179</v>
      </c>
      <c r="I39" s="18" t="s">
        <v>349</v>
      </c>
      <c r="J39" s="20" t="s">
        <v>349</v>
      </c>
      <c r="K39" s="18" t="n">
        <v>0.86851537</v>
      </c>
      <c r="L39" s="20" t="n">
        <v>0.33438754</v>
      </c>
      <c r="M39" s="18" t="n">
        <v>0</v>
      </c>
      <c r="N39" s="20" t="n">
        <v>0</v>
      </c>
      <c r="O39" s="18" t="n">
        <v>0</v>
      </c>
      <c r="P39" s="20" t="n">
        <v>0</v>
      </c>
      <c r="Q39" s="18" t="n">
        <v>1.40438294</v>
      </c>
      <c r="R39" s="20" t="n">
        <v>0.44020334</v>
      </c>
    </row>
    <row r="40" spans="1:18">
      <c r="A40" s="15" t="s">
        <v>382</v>
      </c>
      <c r="B40" s="17" t="n">
        <v>14157</v>
      </c>
      <c r="C40" s="18">
        <f>(12424.0/B40*100)</f>
        <v/>
      </c>
      <c r="D40" s="19" t="n">
        <v>1733</v>
      </c>
      <c r="E40" s="18" t="n">
        <v>75.69857779</v>
      </c>
      <c r="F40" s="20" t="n">
        <v>1.31095651</v>
      </c>
      <c r="G40" s="18" t="n">
        <v>20.3139079</v>
      </c>
      <c r="H40" s="20" t="n">
        <v>1.23978366</v>
      </c>
      <c r="I40" s="18" t="s">
        <v>349</v>
      </c>
      <c r="J40" s="20" t="s">
        <v>349</v>
      </c>
      <c r="K40" s="18" t="n">
        <v>0.33916989</v>
      </c>
      <c r="L40" s="20" t="n">
        <v>0.16857764</v>
      </c>
      <c r="M40" s="18" t="n">
        <v>0</v>
      </c>
      <c r="N40" s="20" t="n">
        <v>0</v>
      </c>
      <c r="O40" s="18" t="n">
        <v>0</v>
      </c>
      <c r="P40" s="20" t="n">
        <v>0</v>
      </c>
      <c r="Q40" s="18" t="n">
        <v>3.64834442</v>
      </c>
      <c r="R40" s="20" t="n">
        <v>0.74904897</v>
      </c>
    </row>
    <row r="41" spans="1:18">
      <c r="A41" s="15" t="s">
        <v>383</v>
      </c>
      <c r="B41" s="17" t="n">
        <v>5712</v>
      </c>
      <c r="C41" s="18">
        <f>(4994.0/B41*100)</f>
        <v/>
      </c>
      <c r="D41" s="19" t="n">
        <v>718</v>
      </c>
      <c r="E41" s="18" t="n">
        <v>85.54585040000001</v>
      </c>
      <c r="F41" s="20" t="n">
        <v>1.77222922</v>
      </c>
      <c r="G41" s="18" t="n">
        <v>11.54775906</v>
      </c>
      <c r="H41" s="20" t="n">
        <v>1.22498635</v>
      </c>
      <c r="I41" s="18" t="s">
        <v>349</v>
      </c>
      <c r="J41" s="20" t="s">
        <v>349</v>
      </c>
      <c r="K41" s="18" t="n">
        <v>0.23323411</v>
      </c>
      <c r="L41" s="20" t="n">
        <v>0.16141966</v>
      </c>
      <c r="M41" s="18" t="n">
        <v>0</v>
      </c>
      <c r="N41" s="20" t="n">
        <v>0</v>
      </c>
      <c r="O41" s="18" t="n">
        <v>0</v>
      </c>
      <c r="P41" s="20" t="n">
        <v>0</v>
      </c>
      <c r="Q41" s="18" t="n">
        <v>2.67315643</v>
      </c>
      <c r="R41" s="20" t="n">
        <v>0.9942051200000001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(20837.0/B46*100)</f>
        <v/>
      </c>
      <c r="D46" s="19" t="n">
        <v>2304</v>
      </c>
      <c r="E46" s="18" t="n">
        <v>88.54642114000001</v>
      </c>
      <c r="F46" s="20" t="n">
        <v>0.88721538</v>
      </c>
      <c r="G46" s="18" t="n">
        <v>2.86180685</v>
      </c>
      <c r="H46" s="20" t="n">
        <v>0.59531612</v>
      </c>
      <c r="I46" s="18" t="s">
        <v>349</v>
      </c>
      <c r="J46" s="20" t="s">
        <v>349</v>
      </c>
      <c r="K46" s="18" t="n">
        <v>1.91212096</v>
      </c>
      <c r="L46" s="20" t="n">
        <v>0.44190378</v>
      </c>
      <c r="M46" s="18" t="n">
        <v>0</v>
      </c>
      <c r="N46" s="20" t="n">
        <v>0</v>
      </c>
      <c r="O46" s="18" t="n">
        <v>0</v>
      </c>
      <c r="P46" s="20" t="n">
        <v>0</v>
      </c>
      <c r="Q46" s="18" t="n">
        <v>6.67965105</v>
      </c>
      <c r="R46" s="20" t="n">
        <v>0.67187832</v>
      </c>
    </row>
    <row r="47" spans="1:18">
      <c r="A47" s="15" t="s">
        <v>389</v>
      </c>
      <c r="B47" s="17" t="n">
        <v>5928</v>
      </c>
      <c r="C47" s="18">
        <f>(5199.0/B47*100)</f>
        <v/>
      </c>
      <c r="D47" s="19" t="n">
        <v>729</v>
      </c>
      <c r="E47" s="18" t="n">
        <v>78.79568924</v>
      </c>
      <c r="F47" s="20" t="n">
        <v>1.57012558</v>
      </c>
      <c r="G47" s="18" t="n">
        <v>9.8724276</v>
      </c>
      <c r="H47" s="20" t="n">
        <v>1.10184715</v>
      </c>
      <c r="I47" s="18" t="s">
        <v>349</v>
      </c>
      <c r="J47" s="20" t="s">
        <v>349</v>
      </c>
      <c r="K47" s="18" t="n">
        <v>0.96214208</v>
      </c>
      <c r="L47" s="20" t="n">
        <v>0.34146888</v>
      </c>
      <c r="M47" s="18" t="n">
        <v>0</v>
      </c>
      <c r="N47" s="20" t="n">
        <v>0</v>
      </c>
      <c r="O47" s="18" t="n">
        <v>0</v>
      </c>
      <c r="P47" s="20" t="n">
        <v>0</v>
      </c>
      <c r="Q47" s="18" t="n">
        <v>10.36974108</v>
      </c>
      <c r="R47" s="20" t="n">
        <v>1.18988182</v>
      </c>
    </row>
    <row r="48" spans="1:18">
      <c r="A48" s="15" t="s">
        <v>390</v>
      </c>
      <c r="B48" s="17" t="n">
        <v>9841</v>
      </c>
      <c r="C48" s="18">
        <f>(8653.0/B48*100)</f>
        <v/>
      </c>
      <c r="D48" s="19" t="n">
        <v>1188</v>
      </c>
      <c r="E48" s="18" t="n">
        <v>53.61168031</v>
      </c>
      <c r="F48" s="20" t="n">
        <v>2.36681982</v>
      </c>
      <c r="G48" s="18" t="n">
        <v>45.10260974</v>
      </c>
      <c r="H48" s="20" t="n">
        <v>2.35304659</v>
      </c>
      <c r="I48" s="18" t="s">
        <v>349</v>
      </c>
      <c r="J48" s="20" t="s">
        <v>349</v>
      </c>
      <c r="K48" s="18" t="n">
        <v>0.5917704499999999</v>
      </c>
      <c r="L48" s="20" t="n">
        <v>0.30480198</v>
      </c>
      <c r="M48" s="18" t="n">
        <v>0</v>
      </c>
      <c r="N48" s="20" t="n">
        <v>0</v>
      </c>
      <c r="O48" s="18" t="n">
        <v>0</v>
      </c>
      <c r="P48" s="20" t="n">
        <v>0</v>
      </c>
      <c r="Q48" s="18" t="n">
        <v>0.6939395</v>
      </c>
      <c r="R48" s="20" t="n">
        <v>0.31402621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(10425.0/B50*100)</f>
        <v/>
      </c>
      <c r="D50" s="19" t="n">
        <v>1370</v>
      </c>
      <c r="E50" s="18" t="n">
        <v>93.13499415</v>
      </c>
      <c r="F50" s="20" t="n">
        <v>0.9727589</v>
      </c>
      <c r="G50" s="18" t="n">
        <v>2.2806785</v>
      </c>
      <c r="H50" s="20" t="n">
        <v>0.6086636600000001</v>
      </c>
      <c r="I50" s="18" t="s">
        <v>349</v>
      </c>
      <c r="J50" s="20" t="s">
        <v>349</v>
      </c>
      <c r="K50" s="18" t="n">
        <v>1.77143099</v>
      </c>
      <c r="L50" s="20" t="n">
        <v>0.44545905</v>
      </c>
      <c r="M50" s="18" t="n">
        <v>0</v>
      </c>
      <c r="N50" s="20" t="n">
        <v>0</v>
      </c>
      <c r="O50" s="18" t="n">
        <v>0</v>
      </c>
      <c r="P50" s="20" t="n">
        <v>0</v>
      </c>
      <c r="Q50" s="18" t="n">
        <v>2.81289635</v>
      </c>
      <c r="R50" s="20" t="n">
        <v>0.65834415</v>
      </c>
    </row>
    <row r="51" spans="1:18">
      <c r="A51" s="15" t="s">
        <v>393</v>
      </c>
      <c r="B51" s="17" t="n">
        <v>6866</v>
      </c>
      <c r="C51" s="18">
        <f>(6147.0/B51*100)</f>
        <v/>
      </c>
      <c r="D51" s="19" t="n">
        <v>719</v>
      </c>
      <c r="E51" s="18" t="n">
        <v>91.12965569000001</v>
      </c>
      <c r="F51" s="20" t="n">
        <v>1.14530237</v>
      </c>
      <c r="G51" s="18" t="n">
        <v>4.50779511</v>
      </c>
      <c r="H51" s="20" t="n">
        <v>1.05784634</v>
      </c>
      <c r="I51" s="18" t="s">
        <v>349</v>
      </c>
      <c r="J51" s="20" t="s">
        <v>349</v>
      </c>
      <c r="K51" s="18" t="n">
        <v>1.02207681</v>
      </c>
      <c r="L51" s="20" t="n">
        <v>0.43989441</v>
      </c>
      <c r="M51" s="18" t="n">
        <v>0</v>
      </c>
      <c r="N51" s="20" t="n">
        <v>0</v>
      </c>
      <c r="O51" s="18" t="n">
        <v>0</v>
      </c>
      <c r="P51" s="20" t="n">
        <v>0</v>
      </c>
      <c r="Q51" s="18" t="n">
        <v>3.34047238</v>
      </c>
      <c r="R51" s="20" t="n">
        <v>0.65880578</v>
      </c>
    </row>
    <row r="52" spans="1:18">
      <c r="A52" s="15" t="s">
        <v>394</v>
      </c>
      <c r="B52" s="17" t="n">
        <v>5809</v>
      </c>
      <c r="C52" s="18">
        <f>(5088.0/B52*100)</f>
        <v/>
      </c>
      <c r="D52" s="19" t="n">
        <v>721</v>
      </c>
      <c r="E52" s="18" t="n">
        <v>80.07340965</v>
      </c>
      <c r="F52" s="20" t="n">
        <v>1.49320097</v>
      </c>
      <c r="G52" s="18" t="n">
        <v>13.98034224</v>
      </c>
      <c r="H52" s="20" t="n">
        <v>1.31129965</v>
      </c>
      <c r="I52" s="18" t="s">
        <v>349</v>
      </c>
      <c r="J52" s="20" t="s">
        <v>349</v>
      </c>
      <c r="K52" s="18" t="n">
        <v>0.43362852</v>
      </c>
      <c r="L52" s="20" t="n">
        <v>0.26823259</v>
      </c>
      <c r="M52" s="18" t="n">
        <v>0</v>
      </c>
      <c r="N52" s="20" t="n">
        <v>0</v>
      </c>
      <c r="O52" s="18" t="n">
        <v>0</v>
      </c>
      <c r="P52" s="20" t="n">
        <v>0</v>
      </c>
      <c r="Q52" s="18" t="n">
        <v>5.51261959</v>
      </c>
      <c r="R52" s="20" t="n">
        <v>0.8004820499999999</v>
      </c>
    </row>
    <row r="53" spans="1:18">
      <c r="A53" s="15" t="s">
        <v>395</v>
      </c>
      <c r="B53" s="17" t="n">
        <v>5571</v>
      </c>
      <c r="C53" s="18">
        <f>(4891.0/B53*100)</f>
        <v/>
      </c>
      <c r="D53" s="19" t="n">
        <v>680</v>
      </c>
      <c r="E53" s="18" t="n">
        <v>82.37929011</v>
      </c>
      <c r="F53" s="20" t="n">
        <v>1.57976563</v>
      </c>
      <c r="G53" s="18" t="n">
        <v>11.75531046</v>
      </c>
      <c r="H53" s="20" t="n">
        <v>1.31014111</v>
      </c>
      <c r="I53" s="18" t="s">
        <v>349</v>
      </c>
      <c r="J53" s="20" t="s">
        <v>349</v>
      </c>
      <c r="K53" s="18" t="n">
        <v>0.47022355</v>
      </c>
      <c r="L53" s="20" t="n">
        <v>0.23623243</v>
      </c>
      <c r="M53" s="18" t="n">
        <v>0</v>
      </c>
      <c r="N53" s="20" t="n">
        <v>0</v>
      </c>
      <c r="O53" s="18" t="n">
        <v>0</v>
      </c>
      <c r="P53" s="20" t="n">
        <v>0</v>
      </c>
      <c r="Q53" s="18" t="n">
        <v>5.39517589</v>
      </c>
      <c r="R53" s="20" t="n">
        <v>0.86059159</v>
      </c>
    </row>
    <row r="54" spans="1:18">
      <c r="A54" s="15" t="s">
        <v>396</v>
      </c>
      <c r="B54" s="17" t="n">
        <v>4740</v>
      </c>
      <c r="C54" s="18">
        <f>(3955.0/B54*100)</f>
        <v/>
      </c>
      <c r="D54" s="19" t="n">
        <v>785</v>
      </c>
      <c r="E54" s="18" t="n">
        <v>77.32784124</v>
      </c>
      <c r="F54" s="20" t="n">
        <v>1.8216718</v>
      </c>
      <c r="G54" s="18" t="n">
        <v>0</v>
      </c>
      <c r="H54" s="20" t="n">
        <v>0</v>
      </c>
      <c r="I54" s="18" t="s">
        <v>349</v>
      </c>
      <c r="J54" s="20" t="s">
        <v>349</v>
      </c>
      <c r="K54" s="18" t="n">
        <v>11.69001834</v>
      </c>
      <c r="L54" s="20" t="n">
        <v>1.33349075</v>
      </c>
      <c r="M54" s="18" t="n">
        <v>0</v>
      </c>
      <c r="N54" s="20" t="n">
        <v>0</v>
      </c>
      <c r="O54" s="18" t="n">
        <v>0</v>
      </c>
      <c r="P54" s="20" t="n">
        <v>0</v>
      </c>
      <c r="Q54" s="18" t="n">
        <v>10.98214043</v>
      </c>
      <c r="R54" s="20" t="n">
        <v>1.37411425</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(4704.0/B56*100)</f>
        <v/>
      </c>
      <c r="D56" s="19" t="n">
        <v>655</v>
      </c>
      <c r="E56" s="18" t="n">
        <v>54.42507873</v>
      </c>
      <c r="F56" s="20" t="n">
        <v>2.18861071</v>
      </c>
      <c r="G56" s="18" t="n">
        <v>44.64229085</v>
      </c>
      <c r="H56" s="20" t="n">
        <v>2.15349248</v>
      </c>
      <c r="I56" s="18" t="s">
        <v>349</v>
      </c>
      <c r="J56" s="20" t="s">
        <v>349</v>
      </c>
      <c r="K56" s="18" t="n">
        <v>0.27652777</v>
      </c>
      <c r="L56" s="20" t="n">
        <v>0.19802089</v>
      </c>
      <c r="M56" s="18" t="n">
        <v>0</v>
      </c>
      <c r="N56" s="20" t="n">
        <v>0</v>
      </c>
      <c r="O56" s="18" t="n">
        <v>0</v>
      </c>
      <c r="P56" s="20" t="n">
        <v>0</v>
      </c>
      <c r="Q56" s="18" t="n">
        <v>0.65610265</v>
      </c>
      <c r="R56" s="20" t="n">
        <v>0.32627588</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(5720.0/B61*100)</f>
        <v/>
      </c>
      <c r="D61" s="19" t="n">
        <v>805</v>
      </c>
      <c r="E61" s="18" t="n">
        <v>69.77698822000001</v>
      </c>
      <c r="F61" s="20" t="n">
        <v>1.92029291</v>
      </c>
      <c r="G61" s="18" t="n">
        <v>26.88256368</v>
      </c>
      <c r="H61" s="20" t="n">
        <v>1.96914507</v>
      </c>
      <c r="I61" s="18" t="s">
        <v>349</v>
      </c>
      <c r="J61" s="20" t="s">
        <v>349</v>
      </c>
      <c r="K61" s="18" t="n">
        <v>0.65865242</v>
      </c>
      <c r="L61" s="20" t="n">
        <v>0.41142375</v>
      </c>
      <c r="M61" s="18" t="n">
        <v>0</v>
      </c>
      <c r="N61" s="20" t="n">
        <v>0</v>
      </c>
      <c r="O61" s="18" t="n">
        <v>0</v>
      </c>
      <c r="P61" s="20" t="n">
        <v>0</v>
      </c>
      <c r="Q61" s="18" t="n">
        <v>2.68179568</v>
      </c>
      <c r="R61" s="20" t="n">
        <v>0.58541066</v>
      </c>
    </row>
    <row r="62" spans="1:18">
      <c r="A62" s="15" t="s">
        <v>404</v>
      </c>
      <c r="B62" s="17" t="n">
        <v>4476</v>
      </c>
      <c r="C62" s="18">
        <f>(3931.0/B62*100)</f>
        <v/>
      </c>
      <c r="D62" s="19" t="n">
        <v>545</v>
      </c>
      <c r="E62" s="18" t="n">
        <v>59.10581851</v>
      </c>
      <c r="F62" s="20" t="n">
        <v>1.908445</v>
      </c>
      <c r="G62" s="18" t="n">
        <v>40.51832448</v>
      </c>
      <c r="H62" s="20" t="n">
        <v>1.89613288</v>
      </c>
      <c r="I62" s="18" t="s">
        <v>349</v>
      </c>
      <c r="J62" s="20" t="s">
        <v>349</v>
      </c>
      <c r="K62" s="18" t="n">
        <v>0</v>
      </c>
      <c r="L62" s="20" t="n">
        <v>0</v>
      </c>
      <c r="M62" s="18" t="n">
        <v>0</v>
      </c>
      <c r="N62" s="20" t="n">
        <v>0</v>
      </c>
      <c r="O62" s="18" t="n">
        <v>0</v>
      </c>
      <c r="P62" s="20" t="n">
        <v>0</v>
      </c>
      <c r="Q62" s="18" t="n">
        <v>0.37585701</v>
      </c>
      <c r="R62" s="20" t="n">
        <v>0.26475801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(4986.0/B66*100)</f>
        <v/>
      </c>
      <c r="D66" s="19" t="n">
        <v>679</v>
      </c>
      <c r="E66" s="18" t="n">
        <v>78.78304794</v>
      </c>
      <c r="F66" s="20" t="n">
        <v>1.52310561</v>
      </c>
      <c r="G66" s="18" t="n">
        <v>9.749482349999999</v>
      </c>
      <c r="H66" s="20" t="n">
        <v>1.12068861</v>
      </c>
      <c r="I66" s="18" t="s">
        <v>349</v>
      </c>
      <c r="J66" s="20" t="s">
        <v>349</v>
      </c>
      <c r="K66" s="18" t="n">
        <v>0.9256413999999999</v>
      </c>
      <c r="L66" s="20" t="n">
        <v>0.3483781</v>
      </c>
      <c r="M66" s="18" t="n">
        <v>0</v>
      </c>
      <c r="N66" s="20" t="n">
        <v>0</v>
      </c>
      <c r="O66" s="18" t="n">
        <v>0</v>
      </c>
      <c r="P66" s="20" t="n">
        <v>0</v>
      </c>
      <c r="Q66" s="18" t="n">
        <v>10.54182831</v>
      </c>
      <c r="R66" s="20" t="n">
        <v>1.10810007</v>
      </c>
    </row>
    <row r="67" spans="1:18">
      <c r="A67" s="15" t="s">
        <v>409</v>
      </c>
      <c r="B67" s="17" t="n">
        <v>6971</v>
      </c>
      <c r="C67" s="18">
        <f>(6214.0/B67*100)</f>
        <v/>
      </c>
      <c r="D67" s="19" t="n">
        <v>757</v>
      </c>
      <c r="E67" s="18" t="n">
        <v>92.6322175</v>
      </c>
      <c r="F67" s="20" t="n">
        <v>0.8801299</v>
      </c>
      <c r="G67" s="18" t="n">
        <v>3.5489601</v>
      </c>
      <c r="H67" s="20" t="n">
        <v>0.6833526599999999</v>
      </c>
      <c r="I67" s="18" t="s">
        <v>349</v>
      </c>
      <c r="J67" s="20" t="s">
        <v>349</v>
      </c>
      <c r="K67" s="18" t="n">
        <v>0.45116168</v>
      </c>
      <c r="L67" s="20" t="n">
        <v>0.36242758</v>
      </c>
      <c r="M67" s="18" t="n">
        <v>0</v>
      </c>
      <c r="N67" s="20" t="n">
        <v>0</v>
      </c>
      <c r="O67" s="18" t="n">
        <v>0</v>
      </c>
      <c r="P67" s="20" t="n">
        <v>0</v>
      </c>
      <c r="Q67" s="18" t="n">
        <v>3.36766072</v>
      </c>
      <c r="R67" s="20" t="n">
        <v>0.67538844</v>
      </c>
    </row>
    <row r="68" spans="1:18">
      <c r="A68" s="15" t="s">
        <v>410</v>
      </c>
      <c r="B68" s="17" t="n">
        <v>12083</v>
      </c>
      <c r="C68" s="18">
        <f>(10107.0/B68*100)</f>
        <v/>
      </c>
      <c r="D68" s="19" t="n">
        <v>1976</v>
      </c>
      <c r="E68" s="18" t="n">
        <v>87.94049696</v>
      </c>
      <c r="F68" s="20" t="n">
        <v>0.75132196</v>
      </c>
      <c r="G68" s="18" t="n">
        <v>5.82600334</v>
      </c>
      <c r="H68" s="20" t="n">
        <v>0.60989609</v>
      </c>
      <c r="I68" s="18" t="s">
        <v>349</v>
      </c>
      <c r="J68" s="20" t="s">
        <v>349</v>
      </c>
      <c r="K68" s="18" t="n">
        <v>2.85800555</v>
      </c>
      <c r="L68" s="20" t="n">
        <v>0.3241518</v>
      </c>
      <c r="M68" s="18" t="n">
        <v>0</v>
      </c>
      <c r="N68" s="20" t="n">
        <v>0</v>
      </c>
      <c r="O68" s="18" t="n">
        <v>0</v>
      </c>
      <c r="P68" s="20" t="n">
        <v>0</v>
      </c>
      <c r="Q68" s="18" t="n">
        <v>3.37549414</v>
      </c>
      <c r="R68" s="20" t="n">
        <v>0.46813405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(5336.0/B70*100)</f>
        <v/>
      </c>
      <c r="D70" s="19" t="n">
        <v>700</v>
      </c>
      <c r="E70" s="18" t="n">
        <v>75.32887146</v>
      </c>
      <c r="F70" s="20" t="n">
        <v>2.28279866</v>
      </c>
      <c r="G70" s="18" t="n">
        <v>22.41332585</v>
      </c>
      <c r="H70" s="20" t="n">
        <v>2.1873987</v>
      </c>
      <c r="I70" s="18" t="s">
        <v>349</v>
      </c>
      <c r="J70" s="20" t="s">
        <v>349</v>
      </c>
      <c r="K70" s="18" t="n">
        <v>0.69900868</v>
      </c>
      <c r="L70" s="20" t="n">
        <v>0.24294296</v>
      </c>
      <c r="M70" s="18" t="n">
        <v>0</v>
      </c>
      <c r="N70" s="20" t="n">
        <v>0</v>
      </c>
      <c r="O70" s="18" t="n">
        <v>0</v>
      </c>
      <c r="P70" s="20" t="n">
        <v>0</v>
      </c>
      <c r="Q70" s="18" t="n">
        <v>1.558794</v>
      </c>
      <c r="R70" s="20" t="n">
        <v>0.53471225</v>
      </c>
    </row>
    <row r="71" spans="1:18">
      <c r="A71" s="15" t="s">
        <v>413</v>
      </c>
      <c r="B71" s="17" t="n">
        <v>6115</v>
      </c>
      <c r="C71" s="18">
        <f>(5383.0/B71*100)</f>
        <v/>
      </c>
      <c r="D71" s="19" t="n">
        <v>732</v>
      </c>
      <c r="E71" s="18" t="n">
        <v>44.56298428</v>
      </c>
      <c r="F71" s="20" t="n">
        <v>1.79803586</v>
      </c>
      <c r="G71" s="18" t="n">
        <v>54.81111118</v>
      </c>
      <c r="H71" s="20" t="n">
        <v>1.8506583</v>
      </c>
      <c r="I71" s="18" t="s">
        <v>349</v>
      </c>
      <c r="J71" s="20" t="s">
        <v>349</v>
      </c>
      <c r="K71" s="18" t="n">
        <v>0.16208464</v>
      </c>
      <c r="L71" s="20" t="n">
        <v>0.16192938</v>
      </c>
      <c r="M71" s="18" t="n">
        <v>0</v>
      </c>
      <c r="N71" s="20" t="n">
        <v>0</v>
      </c>
      <c r="O71" s="18" t="n">
        <v>0</v>
      </c>
      <c r="P71" s="20" t="n">
        <v>0</v>
      </c>
      <c r="Q71" s="18" t="n">
        <v>0.46381991</v>
      </c>
      <c r="R71" s="20" t="n">
        <v>0.27890999</v>
      </c>
    </row>
    <row r="72" spans="1:18">
      <c r="A72" s="15" t="s">
        <v>414</v>
      </c>
      <c r="B72" s="17" t="n">
        <v>7708</v>
      </c>
      <c r="C72" s="18">
        <f>(6752.0/B72*100)</f>
        <v/>
      </c>
      <c r="D72" s="19" t="n">
        <v>956</v>
      </c>
      <c r="E72" s="18" t="n">
        <v>48.23368138</v>
      </c>
      <c r="F72" s="20" t="n">
        <v>1.60675936</v>
      </c>
      <c r="G72" s="18" t="n">
        <v>50.04674821</v>
      </c>
      <c r="H72" s="20" t="n">
        <v>1.58464194</v>
      </c>
      <c r="I72" s="18" t="s">
        <v>349</v>
      </c>
      <c r="J72" s="20" t="s">
        <v>349</v>
      </c>
      <c r="K72" s="18" t="n">
        <v>0.14225924</v>
      </c>
      <c r="L72" s="20" t="n">
        <v>0.10145614</v>
      </c>
      <c r="M72" s="18" t="n">
        <v>0</v>
      </c>
      <c r="N72" s="20" t="n">
        <v>0</v>
      </c>
      <c r="O72" s="18" t="n">
        <v>0</v>
      </c>
      <c r="P72" s="20" t="n">
        <v>0</v>
      </c>
      <c r="Q72" s="18" t="n">
        <v>1.57731117</v>
      </c>
      <c r="R72" s="20" t="n">
        <v>0.41051511</v>
      </c>
    </row>
    <row r="73" spans="1:18">
      <c r="A73" s="15" t="s">
        <v>415</v>
      </c>
      <c r="B73" s="17" t="n">
        <v>8249</v>
      </c>
      <c r="C73" s="18">
        <f>(7265.0/B73*100)</f>
        <v/>
      </c>
      <c r="D73" s="19" t="n">
        <v>984</v>
      </c>
      <c r="E73" s="18" t="n">
        <v>91.68287165</v>
      </c>
      <c r="F73" s="20" t="n">
        <v>1.13480755</v>
      </c>
      <c r="G73" s="18" t="n">
        <v>6.79871415</v>
      </c>
      <c r="H73" s="20" t="n">
        <v>0.97208218</v>
      </c>
      <c r="I73" s="18" t="s">
        <v>349</v>
      </c>
      <c r="J73" s="20" t="s">
        <v>349</v>
      </c>
      <c r="K73" s="18" t="n">
        <v>0.00462379</v>
      </c>
      <c r="L73" s="20" t="n">
        <v>0.00463697</v>
      </c>
      <c r="M73" s="18" t="n">
        <v>0</v>
      </c>
      <c r="N73" s="20" t="n">
        <v>0</v>
      </c>
      <c r="O73" s="18" t="n">
        <v>0</v>
      </c>
      <c r="P73" s="20" t="n">
        <v>0</v>
      </c>
      <c r="Q73" s="18" t="n">
        <v>1.5137904</v>
      </c>
      <c r="R73" s="20" t="n">
        <v>0.45464789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(4773.0/B75*100)</f>
        <v/>
      </c>
      <c r="D75" s="19" t="n">
        <v>602</v>
      </c>
      <c r="E75" s="18" t="n">
        <v>84.02443823</v>
      </c>
      <c r="F75" s="20" t="n">
        <v>1.77428848</v>
      </c>
      <c r="G75" s="18" t="n">
        <v>5.57511991</v>
      </c>
      <c r="H75" s="20" t="n">
        <v>1.04702062</v>
      </c>
      <c r="I75" s="18" t="s">
        <v>349</v>
      </c>
      <c r="J75" s="20" t="s">
        <v>349</v>
      </c>
      <c r="K75" s="18" t="n">
        <v>4.92297237</v>
      </c>
      <c r="L75" s="20" t="n">
        <v>1.19089396</v>
      </c>
      <c r="M75" s="18" t="n">
        <v>0</v>
      </c>
      <c r="N75" s="20" t="n">
        <v>0</v>
      </c>
      <c r="O75" s="18" t="n">
        <v>0</v>
      </c>
      <c r="P75" s="20" t="n">
        <v>0</v>
      </c>
      <c r="Q75" s="18" t="n">
        <v>5.4774695</v>
      </c>
      <c r="R75" s="20" t="n">
        <v>1.04857751</v>
      </c>
    </row>
    <row r="76" spans="1:18">
      <c r="A76" s="15" t="s">
        <v>418</v>
      </c>
      <c r="B76" s="17" t="n">
        <v>14167</v>
      </c>
      <c r="C76" s="18">
        <f>(12485.0/B76*100)</f>
        <v/>
      </c>
      <c r="D76" s="19" t="n">
        <v>1682</v>
      </c>
      <c r="E76" s="18" t="n">
        <v>90.31291978</v>
      </c>
      <c r="F76" s="20" t="n">
        <v>0.8748644</v>
      </c>
      <c r="G76" s="18" t="n">
        <v>7.0305469</v>
      </c>
      <c r="H76" s="20" t="n">
        <v>0.78207539</v>
      </c>
      <c r="I76" s="18" t="s">
        <v>349</v>
      </c>
      <c r="J76" s="20" t="s">
        <v>349</v>
      </c>
      <c r="K76" s="18" t="n">
        <v>1.12097728</v>
      </c>
      <c r="L76" s="20" t="n">
        <v>0.28774389</v>
      </c>
      <c r="M76" s="18" t="n">
        <v>0</v>
      </c>
      <c r="N76" s="20" t="n">
        <v>0</v>
      </c>
      <c r="O76" s="18" t="n">
        <v>0</v>
      </c>
      <c r="P76" s="20" t="n">
        <v>0</v>
      </c>
      <c r="Q76" s="18" t="n">
        <v>1.53555604</v>
      </c>
      <c r="R76" s="20" t="n">
        <v>0.37909398</v>
      </c>
    </row>
    <row r="77" spans="1:18">
      <c r="A77" s="15" t="s">
        <v>419</v>
      </c>
      <c r="B77" s="17" t="n">
        <v>6062</v>
      </c>
      <c r="C77" s="18">
        <f>(5351.0/B77*100)</f>
        <v/>
      </c>
      <c r="D77" s="19" t="n">
        <v>711</v>
      </c>
      <c r="E77" s="18" t="n">
        <v>78.43571788</v>
      </c>
      <c r="F77" s="20" t="n">
        <v>1.80658182</v>
      </c>
      <c r="G77" s="18" t="n">
        <v>8.661142440000001</v>
      </c>
      <c r="H77" s="20" t="n">
        <v>1.0787292</v>
      </c>
      <c r="I77" s="18" t="s">
        <v>349</v>
      </c>
      <c r="J77" s="20" t="s">
        <v>349</v>
      </c>
      <c r="K77" s="18" t="n">
        <v>1.69925139</v>
      </c>
      <c r="L77" s="20" t="n">
        <v>0.58140423</v>
      </c>
      <c r="M77" s="18" t="n">
        <v>0</v>
      </c>
      <c r="N77" s="20" t="n">
        <v>0</v>
      </c>
      <c r="O77" s="18" t="n">
        <v>0</v>
      </c>
      <c r="P77" s="20" t="n">
        <v>0</v>
      </c>
      <c r="Q77" s="18" t="n">
        <v>11.20388829</v>
      </c>
      <c r="R77" s="20" t="n">
        <v>1.46067935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(7772.0/B81*100)</f>
        <v/>
      </c>
      <c r="D81" s="19" t="n">
        <v>1089</v>
      </c>
      <c r="E81" s="18" t="n">
        <v>85.1192483</v>
      </c>
      <c r="F81" s="20" t="n">
        <v>1.47583775</v>
      </c>
      <c r="G81" s="18" t="n">
        <v>14.36130719</v>
      </c>
      <c r="H81" s="20" t="n">
        <v>1.45506354</v>
      </c>
      <c r="I81" s="18" t="s">
        <v>349</v>
      </c>
      <c r="J81" s="20" t="s">
        <v>349</v>
      </c>
      <c r="K81" s="18" t="n">
        <v>0.14423963</v>
      </c>
      <c r="L81" s="20" t="n">
        <v>0.14346626</v>
      </c>
      <c r="M81" s="18" t="n">
        <v>0</v>
      </c>
      <c r="N81" s="20" t="n">
        <v>0</v>
      </c>
      <c r="O81" s="18" t="n">
        <v>0</v>
      </c>
      <c r="P81" s="20" t="n">
        <v>0</v>
      </c>
      <c r="Q81" s="18" t="n">
        <v>0.37520488</v>
      </c>
      <c r="R81" s="20" t="n">
        <v>0.22047323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(12776.0/B7*100)</f>
        <v/>
      </c>
      <c r="D7" s="19" t="n">
        <v>1754</v>
      </c>
      <c r="E7" s="18" t="n">
        <v>15.08957092</v>
      </c>
      <c r="F7" s="20" t="n">
        <v>1.1052383</v>
      </c>
      <c r="G7" s="18" t="n">
        <v>83.92604749</v>
      </c>
      <c r="H7" s="20" t="n">
        <v>1.15996645</v>
      </c>
      <c r="I7" s="18" t="s">
        <v>349</v>
      </c>
      <c r="J7" s="20" t="s">
        <v>349</v>
      </c>
      <c r="K7" s="18" t="n">
        <v>0.98438159</v>
      </c>
      <c r="L7" s="20" t="n">
        <v>0.28590762</v>
      </c>
      <c r="M7" s="18" t="n">
        <v>0</v>
      </c>
      <c r="N7" s="20" t="n">
        <v>0</v>
      </c>
      <c r="O7" s="18" t="n">
        <v>0</v>
      </c>
      <c r="P7" s="20" t="n">
        <v>0</v>
      </c>
      <c r="Q7" s="18" t="n">
        <v>0</v>
      </c>
      <c r="R7" s="20" t="n">
        <v>0</v>
      </c>
    </row>
    <row r="8" spans="1:18">
      <c r="A8" s="15" t="s">
        <v>350</v>
      </c>
      <c r="B8" s="17" t="n">
        <v>7007</v>
      </c>
      <c r="C8" s="18">
        <f>(6166.0/B8*100)</f>
        <v/>
      </c>
      <c r="D8" s="19" t="n">
        <v>841</v>
      </c>
      <c r="E8" s="18" t="n">
        <v>15.7280128</v>
      </c>
      <c r="F8" s="20" t="n">
        <v>1.4186823</v>
      </c>
      <c r="G8" s="18" t="n">
        <v>83.6177011</v>
      </c>
      <c r="H8" s="20" t="n">
        <v>1.48589259</v>
      </c>
      <c r="I8" s="18" t="s">
        <v>349</v>
      </c>
      <c r="J8" s="20" t="s">
        <v>349</v>
      </c>
      <c r="K8" s="18" t="n">
        <v>0.6542861</v>
      </c>
      <c r="L8" s="20" t="n">
        <v>0.30267497</v>
      </c>
      <c r="M8" s="18" t="n">
        <v>0</v>
      </c>
      <c r="N8" s="20" t="n">
        <v>0</v>
      </c>
      <c r="O8" s="18" t="n">
        <v>0</v>
      </c>
      <c r="P8" s="20" t="n">
        <v>0</v>
      </c>
      <c r="Q8" s="18" t="n">
        <v>0</v>
      </c>
      <c r="R8" s="20" t="n">
        <v>0</v>
      </c>
    </row>
    <row r="9" spans="1:18">
      <c r="A9" s="15" t="s">
        <v>351</v>
      </c>
      <c r="B9" s="17" t="n">
        <v>9651</v>
      </c>
      <c r="C9" s="18">
        <f>(8541.0/B9*100)</f>
        <v/>
      </c>
      <c r="D9" s="19" t="n">
        <v>1110</v>
      </c>
      <c r="E9" s="18" t="n">
        <v>11.25333083</v>
      </c>
      <c r="F9" s="20" t="n">
        <v>0.99146198</v>
      </c>
      <c r="G9" s="18" t="n">
        <v>87.68469435</v>
      </c>
      <c r="H9" s="20" t="n">
        <v>1.04368969</v>
      </c>
      <c r="I9" s="18" t="s">
        <v>349</v>
      </c>
      <c r="J9" s="20" t="s">
        <v>349</v>
      </c>
      <c r="K9" s="18" t="n">
        <v>1.06197482</v>
      </c>
      <c r="L9" s="20" t="n">
        <v>0.31262901</v>
      </c>
      <c r="M9" s="18" t="n">
        <v>0</v>
      </c>
      <c r="N9" s="20" t="n">
        <v>0</v>
      </c>
      <c r="O9" s="18" t="n">
        <v>0</v>
      </c>
      <c r="P9" s="20" t="n">
        <v>0</v>
      </c>
      <c r="Q9" s="18" t="n">
        <v>0</v>
      </c>
      <c r="R9" s="20" t="n">
        <v>0</v>
      </c>
    </row>
    <row r="10" spans="1:18">
      <c r="A10" s="15" t="s">
        <v>352</v>
      </c>
      <c r="B10" s="17" t="n">
        <v>20058</v>
      </c>
      <c r="C10" s="18">
        <f>(17622.0/B10*100)</f>
        <v/>
      </c>
      <c r="D10" s="19" t="n">
        <v>2436</v>
      </c>
      <c r="E10" s="18" t="n">
        <v>10.34283471</v>
      </c>
      <c r="F10" s="20" t="n">
        <v>0.94077259</v>
      </c>
      <c r="G10" s="18" t="n">
        <v>88.43926127</v>
      </c>
      <c r="H10" s="20" t="n">
        <v>0.96980715</v>
      </c>
      <c r="I10" s="18" t="s">
        <v>349</v>
      </c>
      <c r="J10" s="20" t="s">
        <v>349</v>
      </c>
      <c r="K10" s="18" t="n">
        <v>1.21790402</v>
      </c>
      <c r="L10" s="20" t="n">
        <v>0.29374736</v>
      </c>
      <c r="M10" s="18" t="n">
        <v>0</v>
      </c>
      <c r="N10" s="20" t="n">
        <v>0</v>
      </c>
      <c r="O10" s="18" t="n">
        <v>0</v>
      </c>
      <c r="P10" s="20" t="n">
        <v>0</v>
      </c>
      <c r="Q10" s="18" t="n">
        <v>0</v>
      </c>
      <c r="R10" s="20" t="n">
        <v>0</v>
      </c>
    </row>
    <row r="11" spans="1:18">
      <c r="A11" s="15" t="s">
        <v>353</v>
      </c>
      <c r="B11" s="17" t="n">
        <v>7053</v>
      </c>
      <c r="C11" s="18">
        <f>(6231.0/B11*100)</f>
        <v/>
      </c>
      <c r="D11" s="19" t="n">
        <v>822</v>
      </c>
      <c r="E11" s="18" t="n">
        <v>0</v>
      </c>
      <c r="F11" s="20" t="n">
        <v>0</v>
      </c>
      <c r="G11" s="18" t="n">
        <v>0</v>
      </c>
      <c r="H11" s="20" t="n">
        <v>0</v>
      </c>
      <c r="I11" s="18" t="s">
        <v>349</v>
      </c>
      <c r="J11" s="20" t="s">
        <v>349</v>
      </c>
      <c r="K11" s="18" t="n">
        <v>0</v>
      </c>
      <c r="L11" s="20" t="n">
        <v>0</v>
      </c>
      <c r="M11" s="18" t="n">
        <v>100</v>
      </c>
      <c r="N11" s="20" t="n">
        <v>0</v>
      </c>
      <c r="O11" s="18" t="n">
        <v>0</v>
      </c>
      <c r="P11" s="20" t="n">
        <v>0</v>
      </c>
      <c r="Q11" s="18" t="n">
        <v>0</v>
      </c>
      <c r="R11" s="20" t="n">
        <v>0</v>
      </c>
    </row>
    <row r="12" spans="1:18">
      <c r="A12" s="15" t="s">
        <v>354</v>
      </c>
      <c r="B12" s="17" t="n">
        <v>6894</v>
      </c>
      <c r="C12" s="18">
        <f>(6048.0/B12*100)</f>
        <v/>
      </c>
      <c r="D12" s="19" t="n">
        <v>846</v>
      </c>
      <c r="E12" s="18" t="n">
        <v>6.5450649</v>
      </c>
      <c r="F12" s="20" t="n">
        <v>1.04394754</v>
      </c>
      <c r="G12" s="18" t="n">
        <v>92.76294043999999</v>
      </c>
      <c r="H12" s="20" t="n">
        <v>1.01357437</v>
      </c>
      <c r="I12" s="18" t="s">
        <v>349</v>
      </c>
      <c r="J12" s="20" t="s">
        <v>349</v>
      </c>
      <c r="K12" s="18" t="n">
        <v>0.69199466</v>
      </c>
      <c r="L12" s="20" t="n">
        <v>0.30842561</v>
      </c>
      <c r="M12" s="18" t="n">
        <v>0</v>
      </c>
      <c r="N12" s="20" t="n">
        <v>0</v>
      </c>
      <c r="O12" s="18" t="n">
        <v>0</v>
      </c>
      <c r="P12" s="20" t="n">
        <v>0</v>
      </c>
      <c r="Q12" s="18" t="n">
        <v>0</v>
      </c>
      <c r="R12" s="20" t="n">
        <v>0</v>
      </c>
    </row>
    <row r="13" spans="1:18">
      <c r="A13" s="15" t="s">
        <v>355</v>
      </c>
      <c r="B13" s="17" t="n">
        <v>7161</v>
      </c>
      <c r="C13" s="18">
        <f>(6307.0/B13*100)</f>
        <v/>
      </c>
      <c r="D13" s="19" t="n">
        <v>854</v>
      </c>
      <c r="E13" s="18" t="n">
        <v>13.35236712</v>
      </c>
      <c r="F13" s="20" t="n">
        <v>1.58774284</v>
      </c>
      <c r="G13" s="18" t="n">
        <v>85.34422716</v>
      </c>
      <c r="H13" s="20" t="n">
        <v>1.56725746</v>
      </c>
      <c r="I13" s="18" t="s">
        <v>349</v>
      </c>
      <c r="J13" s="20" t="s">
        <v>349</v>
      </c>
      <c r="K13" s="18" t="n">
        <v>1.30340572</v>
      </c>
      <c r="L13" s="20" t="n">
        <v>0.4845804</v>
      </c>
      <c r="M13" s="18" t="n">
        <v>0</v>
      </c>
      <c r="N13" s="20" t="n">
        <v>0</v>
      </c>
      <c r="O13" s="18" t="n">
        <v>0</v>
      </c>
      <c r="P13" s="20" t="n">
        <v>0</v>
      </c>
      <c r="Q13" s="18" t="n">
        <v>0</v>
      </c>
      <c r="R13" s="20" t="n">
        <v>0</v>
      </c>
    </row>
    <row r="14" spans="1:18">
      <c r="A14" s="15" t="s">
        <v>356</v>
      </c>
      <c r="B14" s="17" t="n">
        <v>5587</v>
      </c>
      <c r="C14" s="18">
        <f>(4910.0/B14*100)</f>
        <v/>
      </c>
      <c r="D14" s="19" t="n">
        <v>677</v>
      </c>
      <c r="E14" s="18" t="n">
        <v>7.08465739</v>
      </c>
      <c r="F14" s="20" t="n">
        <v>1.12921181</v>
      </c>
      <c r="G14" s="18" t="n">
        <v>91.85964039</v>
      </c>
      <c r="H14" s="20" t="n">
        <v>1.25397535</v>
      </c>
      <c r="I14" s="18" t="s">
        <v>349</v>
      </c>
      <c r="J14" s="20" t="s">
        <v>349</v>
      </c>
      <c r="K14" s="18" t="n">
        <v>1.05570222</v>
      </c>
      <c r="L14" s="20" t="n">
        <v>0.61491576</v>
      </c>
      <c r="M14" s="18" t="n">
        <v>0</v>
      </c>
      <c r="N14" s="20" t="n">
        <v>0</v>
      </c>
      <c r="O14" s="18" t="n">
        <v>0</v>
      </c>
      <c r="P14" s="20" t="n">
        <v>0</v>
      </c>
      <c r="Q14" s="18" t="n">
        <v>0</v>
      </c>
      <c r="R14" s="20" t="n">
        <v>0</v>
      </c>
    </row>
    <row r="15" spans="1:18">
      <c r="A15" s="15" t="s">
        <v>357</v>
      </c>
      <c r="B15" s="17" t="n">
        <v>5882</v>
      </c>
      <c r="C15" s="18">
        <f>(5171.0/B15*100)</f>
        <v/>
      </c>
      <c r="D15" s="19" t="n">
        <v>711</v>
      </c>
      <c r="E15" s="18" t="n">
        <v>4.65023864</v>
      </c>
      <c r="F15" s="20" t="n">
        <v>0.78486308</v>
      </c>
      <c r="G15" s="18" t="n">
        <v>95.08517372999999</v>
      </c>
      <c r="H15" s="20" t="n">
        <v>0.78185865</v>
      </c>
      <c r="I15" s="18" t="s">
        <v>349</v>
      </c>
      <c r="J15" s="20" t="s">
        <v>349</v>
      </c>
      <c r="K15" s="18" t="n">
        <v>0.26458763</v>
      </c>
      <c r="L15" s="20" t="n">
        <v>0.18721932</v>
      </c>
      <c r="M15" s="18" t="n">
        <v>0</v>
      </c>
      <c r="N15" s="20" t="n">
        <v>0</v>
      </c>
      <c r="O15" s="18" t="n">
        <v>0</v>
      </c>
      <c r="P15" s="20" t="n">
        <v>0</v>
      </c>
      <c r="Q15" s="18" t="n">
        <v>0</v>
      </c>
      <c r="R15" s="20" t="n">
        <v>0</v>
      </c>
    </row>
    <row r="16" spans="1:18">
      <c r="A16" s="15" t="s">
        <v>358</v>
      </c>
      <c r="B16" s="17" t="n">
        <v>6108</v>
      </c>
      <c r="C16" s="18">
        <f>(5391.0/B16*100)</f>
        <v/>
      </c>
      <c r="D16" s="19" t="n">
        <v>717</v>
      </c>
      <c r="E16" s="18" t="n">
        <v>13.04621758</v>
      </c>
      <c r="F16" s="20" t="n">
        <v>1.32524482</v>
      </c>
      <c r="G16" s="18" t="n">
        <v>85.19009212</v>
      </c>
      <c r="H16" s="20" t="n">
        <v>1.31790116</v>
      </c>
      <c r="I16" s="18" t="s">
        <v>349</v>
      </c>
      <c r="J16" s="20" t="s">
        <v>349</v>
      </c>
      <c r="K16" s="18" t="n">
        <v>1.7636903</v>
      </c>
      <c r="L16" s="20" t="n">
        <v>0.53510465</v>
      </c>
      <c r="M16" s="18" t="n">
        <v>0</v>
      </c>
      <c r="N16" s="20" t="n">
        <v>0</v>
      </c>
      <c r="O16" s="18" t="n">
        <v>0</v>
      </c>
      <c r="P16" s="20" t="n">
        <v>0</v>
      </c>
      <c r="Q16" s="18" t="n">
        <v>0</v>
      </c>
      <c r="R16" s="20" t="n">
        <v>0</v>
      </c>
    </row>
    <row r="17" spans="1:18">
      <c r="A17" s="15" t="s">
        <v>359</v>
      </c>
      <c r="B17" s="17" t="n">
        <v>6504</v>
      </c>
      <c r="C17" s="18">
        <f>(5720.0/B17*100)</f>
        <v/>
      </c>
      <c r="D17" s="19" t="n">
        <v>784</v>
      </c>
      <c r="E17" s="18" t="n">
        <v>14.05397946</v>
      </c>
      <c r="F17" s="20" t="n">
        <v>1.20996329</v>
      </c>
      <c r="G17" s="18" t="n">
        <v>85.44560389</v>
      </c>
      <c r="H17" s="20" t="n">
        <v>1.25090628</v>
      </c>
      <c r="I17" s="18" t="s">
        <v>349</v>
      </c>
      <c r="J17" s="20" t="s">
        <v>349</v>
      </c>
      <c r="K17" s="18" t="n">
        <v>0.50041665</v>
      </c>
      <c r="L17" s="20" t="n">
        <v>0.26992069</v>
      </c>
      <c r="M17" s="18" t="n">
        <v>0</v>
      </c>
      <c r="N17" s="20" t="n">
        <v>0</v>
      </c>
      <c r="O17" s="18" t="n">
        <v>0</v>
      </c>
      <c r="P17" s="20" t="n">
        <v>0</v>
      </c>
      <c r="Q17" s="18" t="n">
        <v>0</v>
      </c>
      <c r="R17" s="20" t="n">
        <v>0</v>
      </c>
    </row>
    <row r="18" spans="1:18">
      <c r="A18" s="15" t="s">
        <v>360</v>
      </c>
      <c r="B18" s="17" t="n">
        <v>5532</v>
      </c>
      <c r="C18" s="18">
        <f>(4853.0/B18*100)</f>
        <v/>
      </c>
      <c r="D18" s="19" t="n">
        <v>679</v>
      </c>
      <c r="E18" s="18" t="n">
        <v>9.532070729999999</v>
      </c>
      <c r="F18" s="20" t="n">
        <v>1.178064</v>
      </c>
      <c r="G18" s="18" t="n">
        <v>88.77451799000001</v>
      </c>
      <c r="H18" s="20" t="n">
        <v>1.24155453</v>
      </c>
      <c r="I18" s="18" t="s">
        <v>349</v>
      </c>
      <c r="J18" s="20" t="s">
        <v>349</v>
      </c>
      <c r="K18" s="18" t="n">
        <v>1.69341128</v>
      </c>
      <c r="L18" s="20" t="n">
        <v>0.54690159</v>
      </c>
      <c r="M18" s="18" t="n">
        <v>0</v>
      </c>
      <c r="N18" s="20" t="n">
        <v>0</v>
      </c>
      <c r="O18" s="18" t="n">
        <v>0</v>
      </c>
      <c r="P18" s="20" t="n">
        <v>0</v>
      </c>
      <c r="Q18" s="18" t="n">
        <v>0</v>
      </c>
      <c r="R18" s="20" t="n">
        <v>0</v>
      </c>
    </row>
    <row r="19" spans="1:18">
      <c r="A19" s="15" t="s">
        <v>361</v>
      </c>
      <c r="B19" s="17" t="n">
        <v>5658</v>
      </c>
      <c r="C19" s="18">
        <f>(4960.0/B19*100)</f>
        <v/>
      </c>
      <c r="D19" s="19" t="n">
        <v>698</v>
      </c>
      <c r="E19" s="18" t="n">
        <v>7.73433507</v>
      </c>
      <c r="F19" s="20" t="n">
        <v>1.29303617</v>
      </c>
      <c r="G19" s="18" t="n">
        <v>91.29628953</v>
      </c>
      <c r="H19" s="20" t="n">
        <v>1.24487688</v>
      </c>
      <c r="I19" s="18" t="s">
        <v>349</v>
      </c>
      <c r="J19" s="20" t="s">
        <v>349</v>
      </c>
      <c r="K19" s="18" t="n">
        <v>0.9693753899999999</v>
      </c>
      <c r="L19" s="20" t="n">
        <v>0.42405723</v>
      </c>
      <c r="M19" s="18" t="n">
        <v>0</v>
      </c>
      <c r="N19" s="20" t="n">
        <v>0</v>
      </c>
      <c r="O19" s="18" t="n">
        <v>0</v>
      </c>
      <c r="P19" s="20" t="n">
        <v>0</v>
      </c>
      <c r="Q19" s="18" t="n">
        <v>0</v>
      </c>
      <c r="R19" s="20" t="n">
        <v>0</v>
      </c>
    </row>
    <row r="20" spans="1:18">
      <c r="A20" s="15" t="s">
        <v>362</v>
      </c>
      <c r="B20" s="17" t="n">
        <v>3371</v>
      </c>
      <c r="C20" s="18">
        <f>(2973.0/B20*100)</f>
        <v/>
      </c>
      <c r="D20" s="19" t="n">
        <v>398</v>
      </c>
      <c r="E20" s="18" t="n">
        <v>8.460907150000001</v>
      </c>
      <c r="F20" s="20" t="n">
        <v>1.58641028</v>
      </c>
      <c r="G20" s="18" t="n">
        <v>89.40721195</v>
      </c>
      <c r="H20" s="20" t="n">
        <v>1.73522447</v>
      </c>
      <c r="I20" s="18" t="s">
        <v>349</v>
      </c>
      <c r="J20" s="20" t="s">
        <v>349</v>
      </c>
      <c r="K20" s="18" t="n">
        <v>2.13188089</v>
      </c>
      <c r="L20" s="20" t="n">
        <v>0.72648032</v>
      </c>
      <c r="M20" s="18" t="n">
        <v>0</v>
      </c>
      <c r="N20" s="20" t="n">
        <v>0</v>
      </c>
      <c r="O20" s="18" t="n">
        <v>0</v>
      </c>
      <c r="P20" s="20" t="n">
        <v>0</v>
      </c>
      <c r="Q20" s="18" t="n">
        <v>0</v>
      </c>
      <c r="R20" s="20" t="n">
        <v>0</v>
      </c>
    </row>
    <row r="21" spans="1:18">
      <c r="A21" s="15" t="s">
        <v>363</v>
      </c>
      <c r="B21" s="17" t="n">
        <v>5741</v>
      </c>
      <c r="C21" s="18">
        <f>(4776.0/B21*100)</f>
        <v/>
      </c>
      <c r="D21" s="19" t="n">
        <v>965</v>
      </c>
      <c r="E21" s="18" t="n">
        <v>14.14391067</v>
      </c>
      <c r="F21" s="20" t="n">
        <v>1.19542239</v>
      </c>
      <c r="G21" s="18" t="n">
        <v>85.21417445</v>
      </c>
      <c r="H21" s="20" t="n">
        <v>1.23867157</v>
      </c>
      <c r="I21" s="18" t="s">
        <v>349</v>
      </c>
      <c r="J21" s="20" t="s">
        <v>349</v>
      </c>
      <c r="K21" s="18" t="n">
        <v>0.64191488</v>
      </c>
      <c r="L21" s="20" t="n">
        <v>0.28860698</v>
      </c>
      <c r="M21" s="18" t="n">
        <v>0</v>
      </c>
      <c r="N21" s="20" t="n">
        <v>0</v>
      </c>
      <c r="O21" s="18" t="n">
        <v>0</v>
      </c>
      <c r="P21" s="20" t="n">
        <v>0</v>
      </c>
      <c r="Q21" s="18" t="n">
        <v>0</v>
      </c>
      <c r="R21" s="20" t="n">
        <v>0</v>
      </c>
    </row>
    <row r="22" spans="1:18">
      <c r="A22" s="15" t="s">
        <v>364</v>
      </c>
      <c r="B22" s="17" t="n">
        <v>6598</v>
      </c>
      <c r="C22" s="18">
        <f>(5879.0/B22*100)</f>
        <v/>
      </c>
      <c r="D22" s="19" t="n">
        <v>719</v>
      </c>
      <c r="E22" s="18" t="n">
        <v>12.34676263</v>
      </c>
      <c r="F22" s="20" t="n">
        <v>1.27695298</v>
      </c>
      <c r="G22" s="18" t="n">
        <v>86.22720928</v>
      </c>
      <c r="H22" s="20" t="n">
        <v>1.5560577</v>
      </c>
      <c r="I22" s="18" t="s">
        <v>349</v>
      </c>
      <c r="J22" s="20" t="s">
        <v>349</v>
      </c>
      <c r="K22" s="18" t="n">
        <v>1.42602809</v>
      </c>
      <c r="L22" s="20" t="n">
        <v>0.51972071</v>
      </c>
      <c r="M22" s="18" t="n">
        <v>0</v>
      </c>
      <c r="N22" s="20" t="n">
        <v>0</v>
      </c>
      <c r="O22" s="18" t="n">
        <v>0</v>
      </c>
      <c r="P22" s="20" t="n">
        <v>0</v>
      </c>
      <c r="Q22" s="18" t="n">
        <v>0</v>
      </c>
      <c r="R22" s="20" t="n">
        <v>0</v>
      </c>
    </row>
    <row r="23" spans="1:18">
      <c r="A23" s="15" t="s">
        <v>365</v>
      </c>
      <c r="B23" s="17" t="n">
        <v>11583</v>
      </c>
      <c r="C23" s="18">
        <f>(10180.0/B23*100)</f>
        <v/>
      </c>
      <c r="D23" s="19" t="n">
        <v>1403</v>
      </c>
      <c r="E23" s="18" t="n">
        <v>7.35227042</v>
      </c>
      <c r="F23" s="20" t="n">
        <v>1.03304057</v>
      </c>
      <c r="G23" s="18" t="n">
        <v>91.12565193</v>
      </c>
      <c r="H23" s="20" t="n">
        <v>1.08926882</v>
      </c>
      <c r="I23" s="18" t="s">
        <v>349</v>
      </c>
      <c r="J23" s="20" t="s">
        <v>349</v>
      </c>
      <c r="K23" s="18" t="n">
        <v>1.52207765</v>
      </c>
      <c r="L23" s="20" t="n">
        <v>0.42124558</v>
      </c>
      <c r="M23" s="18" t="n">
        <v>0</v>
      </c>
      <c r="N23" s="20" t="n">
        <v>0</v>
      </c>
      <c r="O23" s="18" t="n">
        <v>0</v>
      </c>
      <c r="P23" s="20" t="n">
        <v>0</v>
      </c>
      <c r="Q23" s="18" t="n">
        <v>0</v>
      </c>
      <c r="R23" s="20" t="n">
        <v>0</v>
      </c>
    </row>
    <row r="24" spans="1:18">
      <c r="A24" s="15" t="s">
        <v>366</v>
      </c>
      <c r="B24" s="17" t="n">
        <v>6647</v>
      </c>
      <c r="C24" s="18">
        <f>(5833.0/B24*100)</f>
        <v/>
      </c>
      <c r="D24" s="19" t="n">
        <v>814</v>
      </c>
      <c r="E24" s="18" t="n">
        <v>2.26516225</v>
      </c>
      <c r="F24" s="20" t="n">
        <v>0.55874405</v>
      </c>
      <c r="G24" s="18" t="n">
        <v>96.91322925</v>
      </c>
      <c r="H24" s="20" t="n">
        <v>0.58096268</v>
      </c>
      <c r="I24" s="18" t="s">
        <v>349</v>
      </c>
      <c r="J24" s="20" t="s">
        <v>349</v>
      </c>
      <c r="K24" s="18" t="n">
        <v>0.8216085</v>
      </c>
      <c r="L24" s="20" t="n">
        <v>0.31558665</v>
      </c>
      <c r="M24" s="18" t="n">
        <v>0</v>
      </c>
      <c r="N24" s="20" t="n">
        <v>0</v>
      </c>
      <c r="O24" s="18" t="n">
        <v>0</v>
      </c>
      <c r="P24" s="20" t="n">
        <v>0</v>
      </c>
      <c r="Q24" s="18" t="n">
        <v>0</v>
      </c>
      <c r="R24" s="20" t="n">
        <v>0</v>
      </c>
    </row>
    <row r="25" spans="1:18">
      <c r="A25" s="15" t="s">
        <v>367</v>
      </c>
      <c r="B25" s="17" t="n">
        <v>5581</v>
      </c>
      <c r="C25" s="18">
        <f>(4905.0/B25*100)</f>
        <v/>
      </c>
      <c r="D25" s="19" t="n">
        <v>676</v>
      </c>
      <c r="E25" s="18" t="n">
        <v>3.60960933</v>
      </c>
      <c r="F25" s="20" t="n">
        <v>0.75182571</v>
      </c>
      <c r="G25" s="18" t="n">
        <v>95.75240954</v>
      </c>
      <c r="H25" s="20" t="n">
        <v>0.8020847</v>
      </c>
      <c r="I25" s="18" t="s">
        <v>349</v>
      </c>
      <c r="J25" s="20" t="s">
        <v>349</v>
      </c>
      <c r="K25" s="18" t="n">
        <v>0.63798113</v>
      </c>
      <c r="L25" s="20" t="n">
        <v>0.32067731</v>
      </c>
      <c r="M25" s="18" t="n">
        <v>0</v>
      </c>
      <c r="N25" s="20" t="n">
        <v>0</v>
      </c>
      <c r="O25" s="18" t="n">
        <v>0</v>
      </c>
      <c r="P25" s="20" t="n">
        <v>0</v>
      </c>
      <c r="Q25" s="18" t="n">
        <v>0</v>
      </c>
      <c r="R25" s="20" t="n">
        <v>0</v>
      </c>
    </row>
    <row r="26" spans="1:18">
      <c r="A26" s="15" t="s">
        <v>368</v>
      </c>
      <c r="B26" s="17" t="n">
        <v>4869</v>
      </c>
      <c r="C26" s="18">
        <f>(4267.0/B26*100)</f>
        <v/>
      </c>
      <c r="D26" s="19" t="n">
        <v>602</v>
      </c>
      <c r="E26" s="18" t="n">
        <v>7.81232223</v>
      </c>
      <c r="F26" s="20" t="n">
        <v>1.20095814</v>
      </c>
      <c r="G26" s="18" t="n">
        <v>91.92572124</v>
      </c>
      <c r="H26" s="20" t="n">
        <v>1.20384883</v>
      </c>
      <c r="I26" s="18" t="s">
        <v>349</v>
      </c>
      <c r="J26" s="20" t="s">
        <v>349</v>
      </c>
      <c r="K26" s="18" t="n">
        <v>0.26195653</v>
      </c>
      <c r="L26" s="20" t="n">
        <v>0.18671199</v>
      </c>
      <c r="M26" s="18" t="n">
        <v>0</v>
      </c>
      <c r="N26" s="20" t="n">
        <v>0</v>
      </c>
      <c r="O26" s="18" t="n">
        <v>0</v>
      </c>
      <c r="P26" s="20" t="n">
        <v>0</v>
      </c>
      <c r="Q26" s="18" t="n">
        <v>0</v>
      </c>
      <c r="R26" s="20" t="n">
        <v>0</v>
      </c>
    </row>
    <row r="27" spans="1:18">
      <c r="A27" s="15" t="s">
        <v>369</v>
      </c>
      <c r="B27" s="17" t="n">
        <v>5299</v>
      </c>
      <c r="C27" s="18">
        <f>(4675.0/B27*100)</f>
        <v/>
      </c>
      <c r="D27" s="19" t="n">
        <v>624</v>
      </c>
      <c r="E27" s="18" t="n">
        <v>13.23266927</v>
      </c>
      <c r="F27" s="20" t="n">
        <v>1.31459872</v>
      </c>
      <c r="G27" s="18" t="n">
        <v>85.98205093999999</v>
      </c>
      <c r="H27" s="20" t="n">
        <v>1.42128612</v>
      </c>
      <c r="I27" s="18" t="s">
        <v>349</v>
      </c>
      <c r="J27" s="20" t="s">
        <v>349</v>
      </c>
      <c r="K27" s="18" t="n">
        <v>0.78527979</v>
      </c>
      <c r="L27" s="20" t="n">
        <v>0.34820207</v>
      </c>
      <c r="M27" s="18" t="n">
        <v>0</v>
      </c>
      <c r="N27" s="20" t="n">
        <v>0</v>
      </c>
      <c r="O27" s="18" t="n">
        <v>0</v>
      </c>
      <c r="P27" s="20" t="n">
        <v>0</v>
      </c>
      <c r="Q27" s="18" t="n">
        <v>0</v>
      </c>
      <c r="R27" s="20" t="n">
        <v>0</v>
      </c>
    </row>
    <row r="28" spans="1:18">
      <c r="A28" s="15" t="s">
        <v>370</v>
      </c>
      <c r="B28" s="17" t="n">
        <v>7568</v>
      </c>
      <c r="C28" s="18">
        <f>(6715.0/B28*100)</f>
        <v/>
      </c>
      <c r="D28" s="19" t="n">
        <v>853</v>
      </c>
      <c r="E28" s="18" t="n">
        <v>14.47624702</v>
      </c>
      <c r="F28" s="20" t="n">
        <v>1.22753298</v>
      </c>
      <c r="G28" s="18" t="n">
        <v>84.00257185</v>
      </c>
      <c r="H28" s="20" t="n">
        <v>1.31084335</v>
      </c>
      <c r="I28" s="18" t="s">
        <v>349</v>
      </c>
      <c r="J28" s="20" t="s">
        <v>349</v>
      </c>
      <c r="K28" s="18" t="n">
        <v>1.52118112</v>
      </c>
      <c r="L28" s="20" t="n">
        <v>0.50049442</v>
      </c>
      <c r="M28" s="18" t="n">
        <v>0</v>
      </c>
      <c r="N28" s="20" t="n">
        <v>0</v>
      </c>
      <c r="O28" s="18" t="n">
        <v>0</v>
      </c>
      <c r="P28" s="20" t="n">
        <v>0</v>
      </c>
      <c r="Q28" s="18" t="n">
        <v>0</v>
      </c>
      <c r="R28" s="20" t="n">
        <v>0</v>
      </c>
    </row>
    <row r="29" spans="1:18">
      <c r="A29" s="15" t="s">
        <v>371</v>
      </c>
      <c r="B29" s="17" t="n">
        <v>5385</v>
      </c>
      <c r="C29" s="18">
        <f>(4735.0/B29*100)</f>
        <v/>
      </c>
      <c r="D29" s="19" t="n">
        <v>650</v>
      </c>
      <c r="E29" s="18" t="n">
        <v>9.85675181</v>
      </c>
      <c r="F29" s="20" t="n">
        <v>1.09871221</v>
      </c>
      <c r="G29" s="18" t="n">
        <v>89.80874052999999</v>
      </c>
      <c r="H29" s="20" t="n">
        <v>1.08080791</v>
      </c>
      <c r="I29" s="18" t="s">
        <v>349</v>
      </c>
      <c r="J29" s="20" t="s">
        <v>349</v>
      </c>
      <c r="K29" s="18" t="n">
        <v>0.33450766</v>
      </c>
      <c r="L29" s="20" t="n">
        <v>0.21019855</v>
      </c>
      <c r="M29" s="18" t="n">
        <v>0</v>
      </c>
      <c r="N29" s="20" t="n">
        <v>0</v>
      </c>
      <c r="O29" s="18" t="n">
        <v>0</v>
      </c>
      <c r="P29" s="20" t="n">
        <v>0</v>
      </c>
      <c r="Q29" s="18" t="n">
        <v>0</v>
      </c>
      <c r="R29" s="20" t="n">
        <v>0</v>
      </c>
    </row>
    <row r="30" spans="1:18">
      <c r="A30" s="15" t="s">
        <v>372</v>
      </c>
      <c r="B30" s="17" t="n">
        <v>4520</v>
      </c>
      <c r="C30" s="18">
        <f>(3958.0/B30*100)</f>
        <v/>
      </c>
      <c r="D30" s="19" t="n">
        <v>562</v>
      </c>
      <c r="E30" s="18" t="n">
        <v>16.19057564</v>
      </c>
      <c r="F30" s="20" t="n">
        <v>1.40473265</v>
      </c>
      <c r="G30" s="18" t="n">
        <v>82.97709585</v>
      </c>
      <c r="H30" s="20" t="n">
        <v>1.57289441</v>
      </c>
      <c r="I30" s="18" t="s">
        <v>349</v>
      </c>
      <c r="J30" s="20" t="s">
        <v>349</v>
      </c>
      <c r="K30" s="18" t="n">
        <v>0.83232851</v>
      </c>
      <c r="L30" s="20" t="n">
        <v>0.37875216</v>
      </c>
      <c r="M30" s="18" t="n">
        <v>0</v>
      </c>
      <c r="N30" s="20" t="n">
        <v>0</v>
      </c>
      <c r="O30" s="18" t="n">
        <v>0</v>
      </c>
      <c r="P30" s="20" t="n">
        <v>0</v>
      </c>
      <c r="Q30" s="18" t="n">
        <v>0</v>
      </c>
      <c r="R30" s="20" t="n">
        <v>0</v>
      </c>
    </row>
    <row r="31" spans="1:18">
      <c r="A31" s="15" t="s">
        <v>373</v>
      </c>
      <c r="B31" s="17" t="n">
        <v>5456</v>
      </c>
      <c r="C31" s="18">
        <f>(4817.0/B31*100)</f>
        <v/>
      </c>
      <c r="D31" s="19" t="n">
        <v>639</v>
      </c>
      <c r="E31" s="18" t="n">
        <v>4.41898057</v>
      </c>
      <c r="F31" s="20" t="n">
        <v>0.86837307</v>
      </c>
      <c r="G31" s="18" t="n">
        <v>94.15819188</v>
      </c>
      <c r="H31" s="20" t="n">
        <v>0.95059718</v>
      </c>
      <c r="I31" s="18" t="s">
        <v>349</v>
      </c>
      <c r="J31" s="20" t="s">
        <v>349</v>
      </c>
      <c r="K31" s="18" t="n">
        <v>1.42282755</v>
      </c>
      <c r="L31" s="20" t="n">
        <v>0.47520035</v>
      </c>
      <c r="M31" s="18" t="n">
        <v>0</v>
      </c>
      <c r="N31" s="20" t="n">
        <v>0</v>
      </c>
      <c r="O31" s="18" t="n">
        <v>0</v>
      </c>
      <c r="P31" s="20" t="n">
        <v>0</v>
      </c>
      <c r="Q31" s="18" t="n">
        <v>0</v>
      </c>
      <c r="R31" s="20" t="n">
        <v>0</v>
      </c>
    </row>
    <row r="32" spans="1:18">
      <c r="A32" s="15" t="s">
        <v>374</v>
      </c>
      <c r="B32" s="17" t="n">
        <v>4478</v>
      </c>
      <c r="C32" s="18">
        <f>(3749.0/B32*100)</f>
        <v/>
      </c>
      <c r="D32" s="19" t="n">
        <v>729</v>
      </c>
      <c r="E32" s="18" t="n">
        <v>6.47544303</v>
      </c>
      <c r="F32" s="20" t="n">
        <v>0.90263444</v>
      </c>
      <c r="G32" s="18" t="n">
        <v>93.21728948000001</v>
      </c>
      <c r="H32" s="20" t="n">
        <v>0.9492953200000001</v>
      </c>
      <c r="I32" s="18" t="s">
        <v>349</v>
      </c>
      <c r="J32" s="20" t="s">
        <v>349</v>
      </c>
      <c r="K32" s="18" t="n">
        <v>0.30726749</v>
      </c>
      <c r="L32" s="20" t="n">
        <v>0.21193831</v>
      </c>
      <c r="M32" s="18" t="n">
        <v>0</v>
      </c>
      <c r="N32" s="20" t="n">
        <v>0</v>
      </c>
      <c r="O32" s="18" t="n">
        <v>0</v>
      </c>
      <c r="P32" s="20" t="n">
        <v>0</v>
      </c>
      <c r="Q32" s="18" t="n">
        <v>0</v>
      </c>
      <c r="R32" s="20" t="n">
        <v>0</v>
      </c>
    </row>
    <row r="33" spans="1:18">
      <c r="A33" s="15" t="s">
        <v>375</v>
      </c>
      <c r="B33" s="17" t="n">
        <v>7325</v>
      </c>
      <c r="C33" s="18">
        <f>(6469.0/B33*100)</f>
        <v/>
      </c>
      <c r="D33" s="19" t="n">
        <v>856</v>
      </c>
      <c r="E33" s="18" t="n">
        <v>18.57506329</v>
      </c>
      <c r="F33" s="20" t="n">
        <v>1.40389815</v>
      </c>
      <c r="G33" s="18" t="n">
        <v>80.06125296</v>
      </c>
      <c r="H33" s="20" t="n">
        <v>1.52714833</v>
      </c>
      <c r="I33" s="18" t="s">
        <v>349</v>
      </c>
      <c r="J33" s="20" t="s">
        <v>349</v>
      </c>
      <c r="K33" s="18" t="n">
        <v>1.36368375</v>
      </c>
      <c r="L33" s="20" t="n">
        <v>0.68321597</v>
      </c>
      <c r="M33" s="18" t="n">
        <v>0</v>
      </c>
      <c r="N33" s="20" t="n">
        <v>0</v>
      </c>
      <c r="O33" s="18" t="n">
        <v>0</v>
      </c>
      <c r="P33" s="20" t="n">
        <v>0</v>
      </c>
      <c r="Q33" s="18" t="n">
        <v>0</v>
      </c>
      <c r="R33" s="20" t="n">
        <v>0</v>
      </c>
    </row>
    <row r="34" spans="1:18">
      <c r="A34" s="15" t="s">
        <v>376</v>
      </c>
      <c r="B34" s="17" t="n">
        <v>6350</v>
      </c>
      <c r="C34" s="18">
        <f>(5590.0/B34*100)</f>
        <v/>
      </c>
      <c r="D34" s="19" t="n">
        <v>760</v>
      </c>
      <c r="E34" s="18" t="n">
        <v>9.7317348</v>
      </c>
      <c r="F34" s="20" t="n">
        <v>1.2083363</v>
      </c>
      <c r="G34" s="18" t="n">
        <v>89.85149783999999</v>
      </c>
      <c r="H34" s="20" t="n">
        <v>1.17213643</v>
      </c>
      <c r="I34" s="18" t="s">
        <v>349</v>
      </c>
      <c r="J34" s="20" t="s">
        <v>349</v>
      </c>
      <c r="K34" s="18" t="n">
        <v>0.41676736</v>
      </c>
      <c r="L34" s="20" t="n">
        <v>0.25456124</v>
      </c>
      <c r="M34" s="18" t="n">
        <v>0</v>
      </c>
      <c r="N34" s="20" t="n">
        <v>0</v>
      </c>
      <c r="O34" s="18" t="n">
        <v>0</v>
      </c>
      <c r="P34" s="20" t="n">
        <v>0</v>
      </c>
      <c r="Q34" s="18" t="n">
        <v>0</v>
      </c>
      <c r="R34" s="20" t="n">
        <v>0</v>
      </c>
    </row>
    <row r="35" spans="1:18">
      <c r="A35" s="15" t="s">
        <v>377</v>
      </c>
      <c r="B35" s="17" t="n">
        <v>6406</v>
      </c>
      <c r="C35" s="18">
        <f>(5618.0/B35*100)</f>
        <v/>
      </c>
      <c r="D35" s="19" t="n">
        <v>788</v>
      </c>
      <c r="E35" s="18" t="n">
        <v>3.43194457</v>
      </c>
      <c r="F35" s="20" t="n">
        <v>0.79428946</v>
      </c>
      <c r="G35" s="18" t="n">
        <v>96.33886928</v>
      </c>
      <c r="H35" s="20" t="n">
        <v>0.81315825</v>
      </c>
      <c r="I35" s="18" t="s">
        <v>349</v>
      </c>
      <c r="J35" s="20" t="s">
        <v>349</v>
      </c>
      <c r="K35" s="18" t="n">
        <v>0.22918615</v>
      </c>
      <c r="L35" s="20" t="n">
        <v>0.11657846</v>
      </c>
      <c r="M35" s="18" t="n">
        <v>0</v>
      </c>
      <c r="N35" s="20" t="n">
        <v>0</v>
      </c>
      <c r="O35" s="18" t="n">
        <v>0</v>
      </c>
      <c r="P35" s="20" t="n">
        <v>0</v>
      </c>
      <c r="Q35" s="18" t="n">
        <v>0</v>
      </c>
      <c r="R35" s="20" t="n">
        <v>0</v>
      </c>
    </row>
    <row r="36" spans="1:18">
      <c r="A36" s="15" t="s">
        <v>378</v>
      </c>
      <c r="B36" s="17" t="n">
        <v>6736</v>
      </c>
      <c r="C36" s="18">
        <f>(5932.0/B36*100)</f>
        <v/>
      </c>
      <c r="D36" s="19" t="n">
        <v>804</v>
      </c>
      <c r="E36" s="18" t="n">
        <v>8.61710972</v>
      </c>
      <c r="F36" s="20" t="n">
        <v>1.00799588</v>
      </c>
      <c r="G36" s="18" t="n">
        <v>90.43484454</v>
      </c>
      <c r="H36" s="20" t="n">
        <v>1.08800633</v>
      </c>
      <c r="I36" s="18" t="s">
        <v>349</v>
      </c>
      <c r="J36" s="20" t="s">
        <v>349</v>
      </c>
      <c r="K36" s="18" t="n">
        <v>0.94804574</v>
      </c>
      <c r="L36" s="20" t="n">
        <v>0.35847374</v>
      </c>
      <c r="M36" s="18" t="n">
        <v>0</v>
      </c>
      <c r="N36" s="20" t="n">
        <v>0</v>
      </c>
      <c r="O36" s="18" t="n">
        <v>0</v>
      </c>
      <c r="P36" s="20" t="n">
        <v>0</v>
      </c>
      <c r="Q36" s="18" t="n">
        <v>0</v>
      </c>
      <c r="R36" s="20" t="n">
        <v>0</v>
      </c>
    </row>
    <row r="37" spans="1:18">
      <c r="A37" s="15" t="s">
        <v>379</v>
      </c>
      <c r="B37" s="17" t="n">
        <v>5458</v>
      </c>
      <c r="C37" s="18">
        <f>(4800.0/B37*100)</f>
        <v/>
      </c>
      <c r="D37" s="19" t="n">
        <v>658</v>
      </c>
      <c r="E37" s="18" t="n">
        <v>6.12325684</v>
      </c>
      <c r="F37" s="20" t="n">
        <v>0.95936329</v>
      </c>
      <c r="G37" s="18" t="n">
        <v>91.69894406</v>
      </c>
      <c r="H37" s="20" t="n">
        <v>1.10763409</v>
      </c>
      <c r="I37" s="18" t="s">
        <v>349</v>
      </c>
      <c r="J37" s="20" t="s">
        <v>349</v>
      </c>
      <c r="K37" s="18" t="n">
        <v>2.1777991</v>
      </c>
      <c r="L37" s="20" t="n">
        <v>0.61647683</v>
      </c>
      <c r="M37" s="18" t="n">
        <v>0</v>
      </c>
      <c r="N37" s="20" t="n">
        <v>0</v>
      </c>
      <c r="O37" s="18" t="n">
        <v>0</v>
      </c>
      <c r="P37" s="20" t="n">
        <v>0</v>
      </c>
      <c r="Q37" s="18" t="n">
        <v>0</v>
      </c>
      <c r="R37" s="20" t="n">
        <v>0</v>
      </c>
    </row>
    <row r="38" spans="1:18">
      <c r="A38" s="15" t="s">
        <v>380</v>
      </c>
      <c r="B38" s="17" t="n">
        <v>5860</v>
      </c>
      <c r="C38" s="18">
        <f>(4887.0/B38*100)</f>
        <v/>
      </c>
      <c r="D38" s="19" t="n">
        <v>973</v>
      </c>
      <c r="E38" s="18" t="n">
        <v>14.63537245</v>
      </c>
      <c r="F38" s="20" t="n">
        <v>1.24071649</v>
      </c>
      <c r="G38" s="18" t="n">
        <v>83.83063145</v>
      </c>
      <c r="H38" s="20" t="n">
        <v>1.31137235</v>
      </c>
      <c r="I38" s="18" t="s">
        <v>349</v>
      </c>
      <c r="J38" s="20" t="s">
        <v>349</v>
      </c>
      <c r="K38" s="18" t="n">
        <v>1.5339961</v>
      </c>
      <c r="L38" s="20" t="n">
        <v>0.41909409</v>
      </c>
      <c r="M38" s="18" t="n">
        <v>0</v>
      </c>
      <c r="N38" s="20" t="n">
        <v>0</v>
      </c>
      <c r="O38" s="18" t="n">
        <v>0</v>
      </c>
      <c r="P38" s="20" t="n">
        <v>0</v>
      </c>
      <c r="Q38" s="18" t="n">
        <v>0</v>
      </c>
      <c r="R38" s="20" t="n">
        <v>0</v>
      </c>
    </row>
    <row r="39" spans="1:18">
      <c r="A39" s="15" t="s">
        <v>381</v>
      </c>
      <c r="B39" s="17" t="n">
        <v>5895</v>
      </c>
      <c r="C39" s="18">
        <f>(5201.0/B39*100)</f>
        <v/>
      </c>
      <c r="D39" s="19" t="n">
        <v>694</v>
      </c>
      <c r="E39" s="18" t="n">
        <v>9.510405499999999</v>
      </c>
      <c r="F39" s="20" t="n">
        <v>1.34682129</v>
      </c>
      <c r="G39" s="18" t="n">
        <v>88.78465837</v>
      </c>
      <c r="H39" s="20" t="n">
        <v>1.42256205</v>
      </c>
      <c r="I39" s="18" t="s">
        <v>349</v>
      </c>
      <c r="J39" s="20" t="s">
        <v>349</v>
      </c>
      <c r="K39" s="18" t="n">
        <v>1.70493614</v>
      </c>
      <c r="L39" s="20" t="n">
        <v>0.54852539</v>
      </c>
      <c r="M39" s="18" t="n">
        <v>0</v>
      </c>
      <c r="N39" s="20" t="n">
        <v>0</v>
      </c>
      <c r="O39" s="18" t="n">
        <v>0</v>
      </c>
      <c r="P39" s="20" t="n">
        <v>0</v>
      </c>
      <c r="Q39" s="18" t="n">
        <v>0</v>
      </c>
      <c r="R39" s="20" t="n">
        <v>0</v>
      </c>
    </row>
    <row r="40" spans="1:18">
      <c r="A40" s="15" t="s">
        <v>382</v>
      </c>
      <c r="B40" s="17" t="n">
        <v>14157</v>
      </c>
      <c r="C40" s="18">
        <f>(12425.0/B40*100)</f>
        <v/>
      </c>
      <c r="D40" s="19" t="n">
        <v>1732</v>
      </c>
      <c r="E40" s="18" t="n">
        <v>13.38057621</v>
      </c>
      <c r="F40" s="20" t="n">
        <v>1.37588506</v>
      </c>
      <c r="G40" s="18" t="n">
        <v>86.15483552000001</v>
      </c>
      <c r="H40" s="20" t="n">
        <v>1.40531253</v>
      </c>
      <c r="I40" s="18" t="s">
        <v>349</v>
      </c>
      <c r="J40" s="20" t="s">
        <v>349</v>
      </c>
      <c r="K40" s="18" t="n">
        <v>0.46458827</v>
      </c>
      <c r="L40" s="20" t="n">
        <v>0.18201009</v>
      </c>
      <c r="M40" s="18" t="n">
        <v>0</v>
      </c>
      <c r="N40" s="20" t="n">
        <v>0</v>
      </c>
      <c r="O40" s="18" t="n">
        <v>0</v>
      </c>
      <c r="P40" s="20" t="n">
        <v>0</v>
      </c>
      <c r="Q40" s="18" t="n">
        <v>0</v>
      </c>
      <c r="R40" s="20" t="n">
        <v>0</v>
      </c>
    </row>
    <row r="41" spans="1:18">
      <c r="A41" s="15" t="s">
        <v>383</v>
      </c>
      <c r="B41" s="17" t="n">
        <v>5712</v>
      </c>
      <c r="C41" s="18">
        <f>(4998.0/B41*100)</f>
        <v/>
      </c>
      <c r="D41" s="19" t="n">
        <v>714</v>
      </c>
      <c r="E41" s="18" t="n">
        <v>20.82938894</v>
      </c>
      <c r="F41" s="20" t="n">
        <v>1.65233325</v>
      </c>
      <c r="G41" s="18" t="n">
        <v>78.80429166</v>
      </c>
      <c r="H41" s="20" t="n">
        <v>1.63690273</v>
      </c>
      <c r="I41" s="18" t="s">
        <v>349</v>
      </c>
      <c r="J41" s="20" t="s">
        <v>349</v>
      </c>
      <c r="K41" s="18" t="n">
        <v>0.3663194</v>
      </c>
      <c r="L41" s="20" t="n">
        <v>0.21095591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(20898.0/B46*100)</f>
        <v/>
      </c>
      <c r="D46" s="19" t="n">
        <v>2243</v>
      </c>
      <c r="E46" s="18" t="n">
        <v>21.39418363</v>
      </c>
      <c r="F46" s="20" t="n">
        <v>1.28243352</v>
      </c>
      <c r="G46" s="18" t="n">
        <v>75.98101174999999</v>
      </c>
      <c r="H46" s="20" t="n">
        <v>1.30833239</v>
      </c>
      <c r="I46" s="18" t="s">
        <v>349</v>
      </c>
      <c r="J46" s="20" t="s">
        <v>349</v>
      </c>
      <c r="K46" s="18" t="n">
        <v>2.62480462</v>
      </c>
      <c r="L46" s="20" t="n">
        <v>0.54043377</v>
      </c>
      <c r="M46" s="18" t="n">
        <v>0</v>
      </c>
      <c r="N46" s="20" t="n">
        <v>0</v>
      </c>
      <c r="O46" s="18" t="n">
        <v>0</v>
      </c>
      <c r="P46" s="20" t="n">
        <v>0</v>
      </c>
      <c r="Q46" s="18" t="n">
        <v>0</v>
      </c>
      <c r="R46" s="20" t="n">
        <v>0</v>
      </c>
    </row>
    <row r="47" spans="1:18">
      <c r="A47" s="15" t="s">
        <v>389</v>
      </c>
      <c r="B47" s="17" t="n">
        <v>5928</v>
      </c>
      <c r="C47" s="18">
        <f>(5202.0/B47*100)</f>
        <v/>
      </c>
      <c r="D47" s="19" t="n">
        <v>726</v>
      </c>
      <c r="E47" s="18" t="n">
        <v>11.99768502</v>
      </c>
      <c r="F47" s="20" t="n">
        <v>1.47145603</v>
      </c>
      <c r="G47" s="18" t="n">
        <v>86.90491482</v>
      </c>
      <c r="H47" s="20" t="n">
        <v>1.52998857</v>
      </c>
      <c r="I47" s="18" t="s">
        <v>349</v>
      </c>
      <c r="J47" s="20" t="s">
        <v>349</v>
      </c>
      <c r="K47" s="18" t="n">
        <v>1.09740017</v>
      </c>
      <c r="L47" s="20" t="n">
        <v>0.36823146</v>
      </c>
      <c r="M47" s="18" t="n">
        <v>0</v>
      </c>
      <c r="N47" s="20" t="n">
        <v>0</v>
      </c>
      <c r="O47" s="18" t="n">
        <v>0</v>
      </c>
      <c r="P47" s="20" t="n">
        <v>0</v>
      </c>
      <c r="Q47" s="18" t="n">
        <v>0</v>
      </c>
      <c r="R47" s="20" t="n">
        <v>0</v>
      </c>
    </row>
    <row r="48" spans="1:18">
      <c r="A48" s="15" t="s">
        <v>390</v>
      </c>
      <c r="B48" s="17" t="n">
        <v>9841</v>
      </c>
      <c r="C48" s="18">
        <f>(8655.0/B48*100)</f>
        <v/>
      </c>
      <c r="D48" s="19" t="n">
        <v>1186</v>
      </c>
      <c r="E48" s="18" t="n">
        <v>4.17407824</v>
      </c>
      <c r="F48" s="20" t="n">
        <v>0.79269332</v>
      </c>
      <c r="G48" s="18" t="n">
        <v>95.10793216</v>
      </c>
      <c r="H48" s="20" t="n">
        <v>0.7902008700000001</v>
      </c>
      <c r="I48" s="18" t="s">
        <v>349</v>
      </c>
      <c r="J48" s="20" t="s">
        <v>349</v>
      </c>
      <c r="K48" s="18" t="n">
        <v>0.7179896</v>
      </c>
      <c r="L48" s="20" t="n">
        <v>0.3312097</v>
      </c>
      <c r="M48" s="18" t="n">
        <v>0</v>
      </c>
      <c r="N48" s="20" t="n">
        <v>0</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(10432.0/B50*100)</f>
        <v/>
      </c>
      <c r="D50" s="19" t="n">
        <v>1363</v>
      </c>
      <c r="E50" s="18" t="n">
        <v>23.07436047</v>
      </c>
      <c r="F50" s="20" t="n">
        <v>1.40063106</v>
      </c>
      <c r="G50" s="18" t="n">
        <v>74.87248538</v>
      </c>
      <c r="H50" s="20" t="n">
        <v>1.4574536</v>
      </c>
      <c r="I50" s="18" t="s">
        <v>349</v>
      </c>
      <c r="J50" s="20" t="s">
        <v>349</v>
      </c>
      <c r="K50" s="18" t="n">
        <v>2.05315415</v>
      </c>
      <c r="L50" s="20" t="n">
        <v>0.44026642</v>
      </c>
      <c r="M50" s="18" t="n">
        <v>0</v>
      </c>
      <c r="N50" s="20" t="n">
        <v>0</v>
      </c>
      <c r="O50" s="18" t="n">
        <v>0</v>
      </c>
      <c r="P50" s="20" t="n">
        <v>0</v>
      </c>
      <c r="Q50" s="18" t="n">
        <v>0</v>
      </c>
      <c r="R50" s="20" t="n">
        <v>0</v>
      </c>
    </row>
    <row r="51" spans="1:18">
      <c r="A51" s="15" t="s">
        <v>393</v>
      </c>
      <c r="B51" s="17" t="n">
        <v>6866</v>
      </c>
      <c r="C51" s="18">
        <f>(6156.0/B51*100)</f>
        <v/>
      </c>
      <c r="D51" s="19" t="n">
        <v>710</v>
      </c>
      <c r="E51" s="18" t="n">
        <v>13.49107344</v>
      </c>
      <c r="F51" s="20" t="n">
        <v>1.31605021</v>
      </c>
      <c r="G51" s="18" t="n">
        <v>85.01382214</v>
      </c>
      <c r="H51" s="20" t="n">
        <v>1.42728977</v>
      </c>
      <c r="I51" s="18" t="s">
        <v>349</v>
      </c>
      <c r="J51" s="20" t="s">
        <v>349</v>
      </c>
      <c r="K51" s="18" t="n">
        <v>1.49510442</v>
      </c>
      <c r="L51" s="20" t="n">
        <v>0.45703401</v>
      </c>
      <c r="M51" s="18" t="n">
        <v>0</v>
      </c>
      <c r="N51" s="20" t="n">
        <v>0</v>
      </c>
      <c r="O51" s="18" t="n">
        <v>0</v>
      </c>
      <c r="P51" s="20" t="n">
        <v>0</v>
      </c>
      <c r="Q51" s="18" t="n">
        <v>0</v>
      </c>
      <c r="R51" s="20" t="n">
        <v>0</v>
      </c>
    </row>
    <row r="52" spans="1:18">
      <c r="A52" s="15" t="s">
        <v>394</v>
      </c>
      <c r="B52" s="17" t="n">
        <v>5809</v>
      </c>
      <c r="C52" s="18">
        <f>(5094.0/B52*100)</f>
        <v/>
      </c>
      <c r="D52" s="19" t="n">
        <v>715</v>
      </c>
      <c r="E52" s="18" t="n">
        <v>10.53975032</v>
      </c>
      <c r="F52" s="20" t="n">
        <v>1.09819424</v>
      </c>
      <c r="G52" s="18" t="n">
        <v>88.74667347</v>
      </c>
      <c r="H52" s="20" t="n">
        <v>1.17414008</v>
      </c>
      <c r="I52" s="18" t="s">
        <v>349</v>
      </c>
      <c r="J52" s="20" t="s">
        <v>349</v>
      </c>
      <c r="K52" s="18" t="n">
        <v>0.71357621</v>
      </c>
      <c r="L52" s="20" t="n">
        <v>0.33230687</v>
      </c>
      <c r="M52" s="18" t="n">
        <v>0</v>
      </c>
      <c r="N52" s="20" t="n">
        <v>0</v>
      </c>
      <c r="O52" s="18" t="n">
        <v>0</v>
      </c>
      <c r="P52" s="20" t="n">
        <v>0</v>
      </c>
      <c r="Q52" s="18" t="n">
        <v>0</v>
      </c>
      <c r="R52" s="20" t="n">
        <v>0</v>
      </c>
    </row>
    <row r="53" spans="1:18">
      <c r="A53" s="15" t="s">
        <v>395</v>
      </c>
      <c r="B53" s="17" t="n">
        <v>5571</v>
      </c>
      <c r="C53" s="18">
        <f>(4893.0/B53*100)</f>
        <v/>
      </c>
      <c r="D53" s="19" t="n">
        <v>678</v>
      </c>
      <c r="E53" s="18" t="n">
        <v>10.99495937</v>
      </c>
      <c r="F53" s="20" t="n">
        <v>1.18844239</v>
      </c>
      <c r="G53" s="18" t="n">
        <v>88.32855029</v>
      </c>
      <c r="H53" s="20" t="n">
        <v>1.22057682</v>
      </c>
      <c r="I53" s="18" t="s">
        <v>349</v>
      </c>
      <c r="J53" s="20" t="s">
        <v>349</v>
      </c>
      <c r="K53" s="18" t="n">
        <v>0.67649034</v>
      </c>
      <c r="L53" s="20" t="n">
        <v>0.27674136</v>
      </c>
      <c r="M53" s="18" t="n">
        <v>0</v>
      </c>
      <c r="N53" s="20" t="n">
        <v>0</v>
      </c>
      <c r="O53" s="18" t="n">
        <v>0</v>
      </c>
      <c r="P53" s="20" t="n">
        <v>0</v>
      </c>
      <c r="Q53" s="18" t="n">
        <v>0</v>
      </c>
      <c r="R53" s="20" t="n">
        <v>0</v>
      </c>
    </row>
    <row r="54" spans="1:18">
      <c r="A54" s="15" t="s">
        <v>396</v>
      </c>
      <c r="B54" s="17" t="n">
        <v>4740</v>
      </c>
      <c r="C54" s="18">
        <f>(3956.0/B54*100)</f>
        <v/>
      </c>
      <c r="D54" s="19" t="n">
        <v>784</v>
      </c>
      <c r="E54" s="18" t="n">
        <v>24.92578346</v>
      </c>
      <c r="F54" s="20" t="n">
        <v>1.90242632</v>
      </c>
      <c r="G54" s="18" t="n">
        <v>62.45564445</v>
      </c>
      <c r="H54" s="20" t="n">
        <v>2.02402419</v>
      </c>
      <c r="I54" s="18" t="s">
        <v>349</v>
      </c>
      <c r="J54" s="20" t="s">
        <v>349</v>
      </c>
      <c r="K54" s="18" t="n">
        <v>12.61857208</v>
      </c>
      <c r="L54" s="20" t="n">
        <v>1.36183255</v>
      </c>
      <c r="M54" s="18" t="n">
        <v>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(4707.0/B56*100)</f>
        <v/>
      </c>
      <c r="D56" s="19" t="n">
        <v>652</v>
      </c>
      <c r="E56" s="18" t="n">
        <v>3.39185831</v>
      </c>
      <c r="F56" s="20" t="n">
        <v>0.67195633</v>
      </c>
      <c r="G56" s="18" t="n">
        <v>95.74547771</v>
      </c>
      <c r="H56" s="20" t="n">
        <v>0.76286875</v>
      </c>
      <c r="I56" s="18" t="s">
        <v>349</v>
      </c>
      <c r="J56" s="20" t="s">
        <v>349</v>
      </c>
      <c r="K56" s="18" t="n">
        <v>0.86266398</v>
      </c>
      <c r="L56" s="20" t="n">
        <v>0.37378136</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(5722.0/B61*100)</f>
        <v/>
      </c>
      <c r="D61" s="19" t="n">
        <v>803</v>
      </c>
      <c r="E61" s="18" t="n">
        <v>6.17919623</v>
      </c>
      <c r="F61" s="20" t="n">
        <v>0.99638825</v>
      </c>
      <c r="G61" s="18" t="n">
        <v>92.94940929000001</v>
      </c>
      <c r="H61" s="20" t="n">
        <v>1.0663602</v>
      </c>
      <c r="I61" s="18" t="s">
        <v>349</v>
      </c>
      <c r="J61" s="20" t="s">
        <v>349</v>
      </c>
      <c r="K61" s="18" t="n">
        <v>0.87139448</v>
      </c>
      <c r="L61" s="20" t="n">
        <v>0.43502239</v>
      </c>
      <c r="M61" s="18" t="n">
        <v>0</v>
      </c>
      <c r="N61" s="20" t="n">
        <v>0</v>
      </c>
      <c r="O61" s="18" t="n">
        <v>0</v>
      </c>
      <c r="P61" s="20" t="n">
        <v>0</v>
      </c>
      <c r="Q61" s="18" t="n">
        <v>0</v>
      </c>
      <c r="R61" s="20" t="n">
        <v>0</v>
      </c>
    </row>
    <row r="62" spans="1:18">
      <c r="A62" s="15" t="s">
        <v>404</v>
      </c>
      <c r="B62" s="17" t="n">
        <v>4476</v>
      </c>
      <c r="C62" s="18">
        <f>(3936.0/B62*100)</f>
        <v/>
      </c>
      <c r="D62" s="19" t="n">
        <v>540</v>
      </c>
      <c r="E62" s="18" t="n">
        <v>3.72618968</v>
      </c>
      <c r="F62" s="20" t="n">
        <v>0.7418606800000001</v>
      </c>
      <c r="G62" s="18" t="n">
        <v>96.27381032</v>
      </c>
      <c r="H62" s="20" t="n">
        <v>0.7418606800000001</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(4988.0/B66*100)</f>
        <v/>
      </c>
      <c r="D66" s="19" t="n">
        <v>677</v>
      </c>
      <c r="E66" s="18" t="n">
        <v>18.23236018</v>
      </c>
      <c r="F66" s="20" t="n">
        <v>1.54459307</v>
      </c>
      <c r="G66" s="18" t="n">
        <v>80.19523999</v>
      </c>
      <c r="H66" s="20" t="n">
        <v>1.5849511</v>
      </c>
      <c r="I66" s="18" t="s">
        <v>349</v>
      </c>
      <c r="J66" s="20" t="s">
        <v>349</v>
      </c>
      <c r="K66" s="18" t="n">
        <v>1.57239983</v>
      </c>
      <c r="L66" s="20" t="n">
        <v>0.45648534</v>
      </c>
      <c r="M66" s="18" t="n">
        <v>0</v>
      </c>
      <c r="N66" s="20" t="n">
        <v>0</v>
      </c>
      <c r="O66" s="18" t="n">
        <v>0</v>
      </c>
      <c r="P66" s="20" t="n">
        <v>0</v>
      </c>
      <c r="Q66" s="18" t="n">
        <v>0</v>
      </c>
      <c r="R66" s="20" t="n">
        <v>0</v>
      </c>
    </row>
    <row r="67" spans="1:18">
      <c r="A67" s="15" t="s">
        <v>409</v>
      </c>
      <c r="B67" s="17" t="n">
        <v>6971</v>
      </c>
      <c r="C67" s="18">
        <f>(6232.0/B67*100)</f>
        <v/>
      </c>
      <c r="D67" s="19" t="n">
        <v>739</v>
      </c>
      <c r="E67" s="18" t="n">
        <v>17.88425449</v>
      </c>
      <c r="F67" s="20" t="n">
        <v>1.41190546</v>
      </c>
      <c r="G67" s="18" t="n">
        <v>81.652961</v>
      </c>
      <c r="H67" s="20" t="n">
        <v>1.46678771</v>
      </c>
      <c r="I67" s="18" t="s">
        <v>349</v>
      </c>
      <c r="J67" s="20" t="s">
        <v>349</v>
      </c>
      <c r="K67" s="18" t="n">
        <v>0.46278451</v>
      </c>
      <c r="L67" s="20" t="n">
        <v>0.37146118</v>
      </c>
      <c r="M67" s="18" t="n">
        <v>0</v>
      </c>
      <c r="N67" s="20" t="n">
        <v>0</v>
      </c>
      <c r="O67" s="18" t="n">
        <v>0</v>
      </c>
      <c r="P67" s="20" t="n">
        <v>0</v>
      </c>
      <c r="Q67" s="18" t="n">
        <v>0</v>
      </c>
      <c r="R67" s="20" t="n">
        <v>0</v>
      </c>
    </row>
    <row r="68" spans="1:18">
      <c r="A68" s="15" t="s">
        <v>410</v>
      </c>
      <c r="B68" s="17" t="n">
        <v>12083</v>
      </c>
      <c r="C68" s="18">
        <f>(10107.0/B68*100)</f>
        <v/>
      </c>
      <c r="D68" s="19" t="n">
        <v>1976</v>
      </c>
      <c r="E68" s="18" t="n">
        <v>20.93339675</v>
      </c>
      <c r="F68" s="20" t="n">
        <v>0.88155717</v>
      </c>
      <c r="G68" s="18" t="n">
        <v>75.76096004</v>
      </c>
      <c r="H68" s="20" t="n">
        <v>0.92607277</v>
      </c>
      <c r="I68" s="18" t="s">
        <v>349</v>
      </c>
      <c r="J68" s="20" t="s">
        <v>349</v>
      </c>
      <c r="K68" s="18" t="n">
        <v>3.30564321</v>
      </c>
      <c r="L68" s="20" t="n">
        <v>0.34175518</v>
      </c>
      <c r="M68" s="18" t="n">
        <v>0</v>
      </c>
      <c r="N68" s="20" t="n">
        <v>0</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(5341.0/B70*100)</f>
        <v/>
      </c>
      <c r="D70" s="19" t="n">
        <v>695</v>
      </c>
      <c r="E70" s="18" t="n">
        <v>6.67069201</v>
      </c>
      <c r="F70" s="20" t="n">
        <v>1.07275797</v>
      </c>
      <c r="G70" s="18" t="n">
        <v>92.39124751999999</v>
      </c>
      <c r="H70" s="20" t="n">
        <v>1.06065395</v>
      </c>
      <c r="I70" s="18" t="s">
        <v>349</v>
      </c>
      <c r="J70" s="20" t="s">
        <v>349</v>
      </c>
      <c r="K70" s="18" t="n">
        <v>0.93806046</v>
      </c>
      <c r="L70" s="20" t="n">
        <v>0.32973976</v>
      </c>
      <c r="M70" s="18" t="n">
        <v>0</v>
      </c>
      <c r="N70" s="20" t="n">
        <v>0</v>
      </c>
      <c r="O70" s="18" t="n">
        <v>0</v>
      </c>
      <c r="P70" s="20" t="n">
        <v>0</v>
      </c>
      <c r="Q70" s="18" t="n">
        <v>0</v>
      </c>
      <c r="R70" s="20" t="n">
        <v>0</v>
      </c>
    </row>
    <row r="71" spans="1:18">
      <c r="A71" s="15" t="s">
        <v>413</v>
      </c>
      <c r="B71" s="17" t="n">
        <v>6115</v>
      </c>
      <c r="C71" s="18">
        <f>(5383.0/B71*100)</f>
        <v/>
      </c>
      <c r="D71" s="19" t="n">
        <v>732</v>
      </c>
      <c r="E71" s="18" t="n">
        <v>6.98378353</v>
      </c>
      <c r="F71" s="20" t="n">
        <v>0.81069877</v>
      </c>
      <c r="G71" s="18" t="n">
        <v>92.85413183</v>
      </c>
      <c r="H71" s="20" t="n">
        <v>0.8313673</v>
      </c>
      <c r="I71" s="18" t="s">
        <v>349</v>
      </c>
      <c r="J71" s="20" t="s">
        <v>349</v>
      </c>
      <c r="K71" s="18" t="n">
        <v>0.16208464</v>
      </c>
      <c r="L71" s="20" t="n">
        <v>0.16192938</v>
      </c>
      <c r="M71" s="18" t="n">
        <v>0</v>
      </c>
      <c r="N71" s="20" t="n">
        <v>0</v>
      </c>
      <c r="O71" s="18" t="n">
        <v>0</v>
      </c>
      <c r="P71" s="20" t="n">
        <v>0</v>
      </c>
      <c r="Q71" s="18" t="n">
        <v>0</v>
      </c>
      <c r="R71" s="20" t="n">
        <v>0</v>
      </c>
    </row>
    <row r="72" spans="1:18">
      <c r="A72" s="15" t="s">
        <v>414</v>
      </c>
      <c r="B72" s="17" t="n">
        <v>7708</v>
      </c>
      <c r="C72" s="18">
        <f>(6752.0/B72*100)</f>
        <v/>
      </c>
      <c r="D72" s="19" t="n">
        <v>956</v>
      </c>
      <c r="E72" s="18" t="n">
        <v>3.46580549</v>
      </c>
      <c r="F72" s="20" t="n">
        <v>0.57042958</v>
      </c>
      <c r="G72" s="18" t="n">
        <v>95.94355912</v>
      </c>
      <c r="H72" s="20" t="n">
        <v>0.61213662</v>
      </c>
      <c r="I72" s="18" t="s">
        <v>349</v>
      </c>
      <c r="J72" s="20" t="s">
        <v>349</v>
      </c>
      <c r="K72" s="18" t="n">
        <v>0.5906354</v>
      </c>
      <c r="L72" s="20" t="n">
        <v>0.26701067</v>
      </c>
      <c r="M72" s="18" t="n">
        <v>0</v>
      </c>
      <c r="N72" s="20" t="n">
        <v>0</v>
      </c>
      <c r="O72" s="18" t="n">
        <v>0</v>
      </c>
      <c r="P72" s="20" t="n">
        <v>0</v>
      </c>
      <c r="Q72" s="18" t="n">
        <v>0</v>
      </c>
      <c r="R72" s="20" t="n">
        <v>0</v>
      </c>
    </row>
    <row r="73" spans="1:18">
      <c r="A73" s="15" t="s">
        <v>415</v>
      </c>
      <c r="B73" s="17" t="n">
        <v>8249</v>
      </c>
      <c r="C73" s="18">
        <f>(7268.0/B73*100)</f>
        <v/>
      </c>
      <c r="D73" s="19" t="n">
        <v>981</v>
      </c>
      <c r="E73" s="18" t="n">
        <v>9.8906174</v>
      </c>
      <c r="F73" s="20" t="n">
        <v>1.11319291</v>
      </c>
      <c r="G73" s="18" t="n">
        <v>89.79791609</v>
      </c>
      <c r="H73" s="20" t="n">
        <v>1.12284295</v>
      </c>
      <c r="I73" s="18" t="s">
        <v>349</v>
      </c>
      <c r="J73" s="20" t="s">
        <v>349</v>
      </c>
      <c r="K73" s="18" t="n">
        <v>0.31146651</v>
      </c>
      <c r="L73" s="20" t="n">
        <v>0.21325397</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(4777.0/B75*100)</f>
        <v/>
      </c>
      <c r="D75" s="19" t="n">
        <v>598</v>
      </c>
      <c r="E75" s="18" t="n">
        <v>0</v>
      </c>
      <c r="F75" s="20" t="n">
        <v>0</v>
      </c>
      <c r="G75" s="18" t="n">
        <v>0</v>
      </c>
      <c r="H75" s="20" t="n">
        <v>0</v>
      </c>
      <c r="I75" s="18" t="s">
        <v>349</v>
      </c>
      <c r="J75" s="20" t="s">
        <v>349</v>
      </c>
      <c r="K75" s="18" t="n">
        <v>0</v>
      </c>
      <c r="L75" s="20" t="n">
        <v>0</v>
      </c>
      <c r="M75" s="18" t="n">
        <v>100</v>
      </c>
      <c r="N75" s="20" t="n">
        <v>0</v>
      </c>
      <c r="O75" s="18" t="n">
        <v>0</v>
      </c>
      <c r="P75" s="20" t="n">
        <v>0</v>
      </c>
      <c r="Q75" s="18" t="n">
        <v>0</v>
      </c>
      <c r="R75" s="20" t="n">
        <v>0</v>
      </c>
    </row>
    <row r="76" spans="1:18">
      <c r="A76" s="15" t="s">
        <v>418</v>
      </c>
      <c r="B76" s="17" t="n">
        <v>14167</v>
      </c>
      <c r="C76" s="18">
        <f>(12488.0/B76*100)</f>
        <v/>
      </c>
      <c r="D76" s="19" t="n">
        <v>1679</v>
      </c>
      <c r="E76" s="18" t="n">
        <v>16.45170135</v>
      </c>
      <c r="F76" s="20" t="n">
        <v>1.08980328</v>
      </c>
      <c r="G76" s="18" t="n">
        <v>81.44660167000001</v>
      </c>
      <c r="H76" s="20" t="n">
        <v>1.14989057</v>
      </c>
      <c r="I76" s="18" t="s">
        <v>349</v>
      </c>
      <c r="J76" s="20" t="s">
        <v>349</v>
      </c>
      <c r="K76" s="18" t="n">
        <v>2.10169698</v>
      </c>
      <c r="L76" s="20" t="n">
        <v>0.50130908</v>
      </c>
      <c r="M76" s="18" t="n">
        <v>0</v>
      </c>
      <c r="N76" s="20" t="n">
        <v>0</v>
      </c>
      <c r="O76" s="18" t="n">
        <v>0</v>
      </c>
      <c r="P76" s="20" t="n">
        <v>0</v>
      </c>
      <c r="Q76" s="18" t="n">
        <v>0</v>
      </c>
      <c r="R76" s="20" t="n">
        <v>0</v>
      </c>
    </row>
    <row r="77" spans="1:18">
      <c r="A77" s="15" t="s">
        <v>419</v>
      </c>
      <c r="B77" s="17" t="n">
        <v>6062</v>
      </c>
      <c r="C77" s="18">
        <f>(5355.0/B77*100)</f>
        <v/>
      </c>
      <c r="D77" s="19" t="n">
        <v>707</v>
      </c>
      <c r="E77" s="18" t="n">
        <v>20.70392673</v>
      </c>
      <c r="F77" s="20" t="n">
        <v>1.60419648</v>
      </c>
      <c r="G77" s="18" t="n">
        <v>76.76557241</v>
      </c>
      <c r="H77" s="20" t="n">
        <v>1.65310649</v>
      </c>
      <c r="I77" s="18" t="s">
        <v>349</v>
      </c>
      <c r="J77" s="20" t="s">
        <v>349</v>
      </c>
      <c r="K77" s="18" t="n">
        <v>2.53050087</v>
      </c>
      <c r="L77" s="20" t="n">
        <v>0.72756199</v>
      </c>
      <c r="M77" s="18" t="n">
        <v>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(7773.0/B81*100)</f>
        <v/>
      </c>
      <c r="D81" s="19" t="n">
        <v>1088</v>
      </c>
      <c r="E81" s="18" t="n">
        <v>13.24714379</v>
      </c>
      <c r="F81" s="20" t="n">
        <v>1.25525536</v>
      </c>
      <c r="G81" s="18" t="n">
        <v>86.41195906999999</v>
      </c>
      <c r="H81" s="20" t="n">
        <v>1.27682608</v>
      </c>
      <c r="I81" s="18" t="s">
        <v>349</v>
      </c>
      <c r="J81" s="20" t="s">
        <v>349</v>
      </c>
      <c r="K81" s="18" t="n">
        <v>0.34089715</v>
      </c>
      <c r="L81" s="20" t="n">
        <v>0.23409772</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(12776.0/B7*100)</f>
        <v/>
      </c>
      <c r="D7" s="19" t="n">
        <v>1754</v>
      </c>
      <c r="E7" s="18" t="n">
        <v>12.86789562</v>
      </c>
      <c r="F7" s="20" t="n">
        <v>0.86796559</v>
      </c>
      <c r="G7" s="18" t="n">
        <v>84.6286815</v>
      </c>
      <c r="H7" s="20" t="n">
        <v>0.91073505</v>
      </c>
      <c r="I7" s="18" t="s">
        <v>349</v>
      </c>
      <c r="J7" s="20" t="s">
        <v>349</v>
      </c>
      <c r="K7" s="18" t="n">
        <v>0.41209307</v>
      </c>
      <c r="L7" s="20" t="n">
        <v>0.19237249</v>
      </c>
      <c r="M7" s="18" t="n">
        <v>0</v>
      </c>
      <c r="N7" s="20" t="n">
        <v>0</v>
      </c>
      <c r="O7" s="18" t="n">
        <v>0</v>
      </c>
      <c r="P7" s="20" t="n">
        <v>0</v>
      </c>
      <c r="Q7" s="18" t="n">
        <v>2.0913298</v>
      </c>
      <c r="R7" s="20" t="n">
        <v>0.41605501</v>
      </c>
    </row>
    <row r="8" spans="1:18">
      <c r="A8" s="15" t="s">
        <v>350</v>
      </c>
      <c r="B8" s="17" t="n">
        <v>7007</v>
      </c>
      <c r="C8" s="18">
        <f>(6118.0/B8*100)</f>
        <v/>
      </c>
      <c r="D8" s="19" t="n">
        <v>889</v>
      </c>
      <c r="E8" s="18" t="n">
        <v>11.9789066</v>
      </c>
      <c r="F8" s="20" t="n">
        <v>1.29077804</v>
      </c>
      <c r="G8" s="18" t="n">
        <v>87.17050377</v>
      </c>
      <c r="H8" s="20" t="n">
        <v>1.30355591</v>
      </c>
      <c r="I8" s="18" t="s">
        <v>349</v>
      </c>
      <c r="J8" s="20" t="s">
        <v>349</v>
      </c>
      <c r="K8" s="18" t="n">
        <v>0</v>
      </c>
      <c r="L8" s="20" t="n">
        <v>0</v>
      </c>
      <c r="M8" s="18" t="n">
        <v>0</v>
      </c>
      <c r="N8" s="20" t="n">
        <v>0</v>
      </c>
      <c r="O8" s="18" t="n">
        <v>0</v>
      </c>
      <c r="P8" s="20" t="n">
        <v>0</v>
      </c>
      <c r="Q8" s="18" t="n">
        <v>0.85058963</v>
      </c>
      <c r="R8" s="20" t="n">
        <v>0.34802523</v>
      </c>
    </row>
    <row r="9" spans="1:18">
      <c r="A9" s="15" t="s">
        <v>351</v>
      </c>
      <c r="B9" s="17" t="n">
        <v>9651</v>
      </c>
      <c r="C9" s="18">
        <f>(8505.0/B9*100)</f>
        <v/>
      </c>
      <c r="D9" s="19" t="n">
        <v>1146</v>
      </c>
      <c r="E9" s="18" t="n">
        <v>11.42316325</v>
      </c>
      <c r="F9" s="20" t="n">
        <v>1.04001681</v>
      </c>
      <c r="G9" s="18" t="n">
        <v>88.08486006</v>
      </c>
      <c r="H9" s="20" t="n">
        <v>1.0672649</v>
      </c>
      <c r="I9" s="18" t="s">
        <v>349</v>
      </c>
      <c r="J9" s="20" t="s">
        <v>349</v>
      </c>
      <c r="K9" s="18" t="n">
        <v>0</v>
      </c>
      <c r="L9" s="20" t="n">
        <v>0</v>
      </c>
      <c r="M9" s="18" t="n">
        <v>0</v>
      </c>
      <c r="N9" s="20" t="n">
        <v>0</v>
      </c>
      <c r="O9" s="18" t="n">
        <v>0</v>
      </c>
      <c r="P9" s="20" t="n">
        <v>0</v>
      </c>
      <c r="Q9" s="18" t="n">
        <v>0.49197669</v>
      </c>
      <c r="R9" s="20" t="n">
        <v>0.21984041</v>
      </c>
    </row>
    <row r="10" spans="1:18">
      <c r="A10" s="15" t="s">
        <v>352</v>
      </c>
      <c r="B10" s="17" t="n">
        <v>20058</v>
      </c>
      <c r="C10" s="18">
        <f>(17582.0/B10*100)</f>
        <v/>
      </c>
      <c r="D10" s="19" t="n">
        <v>2476</v>
      </c>
      <c r="E10" s="18" t="n">
        <v>15.01765445</v>
      </c>
      <c r="F10" s="20" t="n">
        <v>1.05892539</v>
      </c>
      <c r="G10" s="18" t="n">
        <v>84.01017086</v>
      </c>
      <c r="H10" s="20" t="n">
        <v>1.10725487</v>
      </c>
      <c r="I10" s="18" t="s">
        <v>349</v>
      </c>
      <c r="J10" s="20" t="s">
        <v>349</v>
      </c>
      <c r="K10" s="18" t="n">
        <v>0.14710249</v>
      </c>
      <c r="L10" s="20" t="n">
        <v>0.08100279000000001</v>
      </c>
      <c r="M10" s="18" t="n">
        <v>0</v>
      </c>
      <c r="N10" s="20" t="n">
        <v>0</v>
      </c>
      <c r="O10" s="18" t="n">
        <v>0</v>
      </c>
      <c r="P10" s="20" t="n">
        <v>0</v>
      </c>
      <c r="Q10" s="18" t="n">
        <v>0.8250722</v>
      </c>
      <c r="R10" s="20" t="n">
        <v>0.2224498</v>
      </c>
    </row>
    <row r="11" spans="1:18">
      <c r="A11" s="15" t="s">
        <v>353</v>
      </c>
      <c r="B11" s="17" t="n">
        <v>7053</v>
      </c>
      <c r="C11" s="18">
        <f>(6176.0/B11*100)</f>
        <v/>
      </c>
      <c r="D11" s="19" t="n">
        <v>877</v>
      </c>
      <c r="E11" s="18" t="n">
        <v>25.55013892</v>
      </c>
      <c r="F11" s="20" t="n">
        <v>1.69678146</v>
      </c>
      <c r="G11" s="18" t="n">
        <v>72.10093422999999</v>
      </c>
      <c r="H11" s="20" t="n">
        <v>1.80465047</v>
      </c>
      <c r="I11" s="18" t="s">
        <v>349</v>
      </c>
      <c r="J11" s="20" t="s">
        <v>349</v>
      </c>
      <c r="K11" s="18" t="n">
        <v>0</v>
      </c>
      <c r="L11" s="20" t="n">
        <v>0</v>
      </c>
      <c r="M11" s="18" t="n">
        <v>0</v>
      </c>
      <c r="N11" s="20" t="n">
        <v>0</v>
      </c>
      <c r="O11" s="18" t="n">
        <v>0</v>
      </c>
      <c r="P11" s="20" t="n">
        <v>0</v>
      </c>
      <c r="Q11" s="18" t="n">
        <v>2.34892685</v>
      </c>
      <c r="R11" s="20" t="n">
        <v>0.64432964</v>
      </c>
    </row>
    <row r="12" spans="1:18">
      <c r="A12" s="15" t="s">
        <v>354</v>
      </c>
      <c r="B12" s="17" t="n">
        <v>6894</v>
      </c>
      <c r="C12" s="18">
        <f>(6051.0/B12*100)</f>
        <v/>
      </c>
      <c r="D12" s="19" t="n">
        <v>843</v>
      </c>
      <c r="E12" s="18" t="n">
        <v>9.67382607</v>
      </c>
      <c r="F12" s="20" t="n">
        <v>1.04854243</v>
      </c>
      <c r="G12" s="18" t="n">
        <v>89.42330878999999</v>
      </c>
      <c r="H12" s="20" t="n">
        <v>1.117951</v>
      </c>
      <c r="I12" s="18" t="s">
        <v>349</v>
      </c>
      <c r="J12" s="20" t="s">
        <v>349</v>
      </c>
      <c r="K12" s="18" t="n">
        <v>0.16631164</v>
      </c>
      <c r="L12" s="20" t="n">
        <v>0.27112028</v>
      </c>
      <c r="M12" s="18" t="n">
        <v>0</v>
      </c>
      <c r="N12" s="20" t="n">
        <v>0</v>
      </c>
      <c r="O12" s="18" t="n">
        <v>0</v>
      </c>
      <c r="P12" s="20" t="n">
        <v>0</v>
      </c>
      <c r="Q12" s="18" t="n">
        <v>0.7365535</v>
      </c>
      <c r="R12" s="20" t="n">
        <v>0.3440729</v>
      </c>
    </row>
    <row r="13" spans="1:18">
      <c r="A13" s="15" t="s">
        <v>355</v>
      </c>
      <c r="B13" s="17" t="n">
        <v>7161</v>
      </c>
      <c r="C13" s="18">
        <f>(6320.0/B13*100)</f>
        <v/>
      </c>
      <c r="D13" s="19" t="n">
        <v>841</v>
      </c>
      <c r="E13" s="18" t="n">
        <v>7.30126578</v>
      </c>
      <c r="F13" s="20" t="n">
        <v>0.88918736</v>
      </c>
      <c r="G13" s="18" t="n">
        <v>91.48213560000001</v>
      </c>
      <c r="H13" s="20" t="n">
        <v>0.95025062</v>
      </c>
      <c r="I13" s="18" t="s">
        <v>349</v>
      </c>
      <c r="J13" s="20" t="s">
        <v>349</v>
      </c>
      <c r="K13" s="18" t="n">
        <v>0.86977544</v>
      </c>
      <c r="L13" s="20" t="n">
        <v>0.46262185</v>
      </c>
      <c r="M13" s="18" t="n">
        <v>0</v>
      </c>
      <c r="N13" s="20" t="n">
        <v>0</v>
      </c>
      <c r="O13" s="18" t="n">
        <v>0</v>
      </c>
      <c r="P13" s="20" t="n">
        <v>0</v>
      </c>
      <c r="Q13" s="18" t="n">
        <v>0.34682318</v>
      </c>
      <c r="R13" s="20" t="n">
        <v>0.19467599</v>
      </c>
    </row>
    <row r="14" spans="1:18">
      <c r="A14" s="15" t="s">
        <v>356</v>
      </c>
      <c r="B14" s="17" t="n">
        <v>5587</v>
      </c>
      <c r="C14" s="18">
        <f>(4904.0/B14*100)</f>
        <v/>
      </c>
      <c r="D14" s="19" t="n">
        <v>683</v>
      </c>
      <c r="E14" s="18" t="n">
        <v>6.67752365</v>
      </c>
      <c r="F14" s="20" t="n">
        <v>0.94020042</v>
      </c>
      <c r="G14" s="18" t="n">
        <v>93.09453292000001</v>
      </c>
      <c r="H14" s="20" t="n">
        <v>0.9662770899999999</v>
      </c>
      <c r="I14" s="18" t="s">
        <v>349</v>
      </c>
      <c r="J14" s="20" t="s">
        <v>349</v>
      </c>
      <c r="K14" s="18" t="n">
        <v>0</v>
      </c>
      <c r="L14" s="20" t="n">
        <v>0</v>
      </c>
      <c r="M14" s="18" t="n">
        <v>0</v>
      </c>
      <c r="N14" s="20" t="n">
        <v>0</v>
      </c>
      <c r="O14" s="18" t="n">
        <v>0</v>
      </c>
      <c r="P14" s="20" t="n">
        <v>0</v>
      </c>
      <c r="Q14" s="18" t="n">
        <v>0.22794343</v>
      </c>
      <c r="R14" s="20" t="n">
        <v>0.16192551</v>
      </c>
    </row>
    <row r="15" spans="1:18">
      <c r="A15" s="15" t="s">
        <v>357</v>
      </c>
      <c r="B15" s="17" t="n">
        <v>5882</v>
      </c>
      <c r="C15" s="18">
        <f>(5177.0/B15*100)</f>
        <v/>
      </c>
      <c r="D15" s="19" t="n">
        <v>705</v>
      </c>
      <c r="E15" s="18" t="n">
        <v>9.870130789999999</v>
      </c>
      <c r="F15" s="20" t="n">
        <v>1.12666552</v>
      </c>
      <c r="G15" s="18" t="n">
        <v>89.33841114000001</v>
      </c>
      <c r="H15" s="20" t="n">
        <v>1.14387791</v>
      </c>
      <c r="I15" s="18" t="s">
        <v>349</v>
      </c>
      <c r="J15" s="20" t="s">
        <v>349</v>
      </c>
      <c r="K15" s="18" t="n">
        <v>0</v>
      </c>
      <c r="L15" s="20" t="n">
        <v>0</v>
      </c>
      <c r="M15" s="18" t="n">
        <v>0</v>
      </c>
      <c r="N15" s="20" t="n">
        <v>0</v>
      </c>
      <c r="O15" s="18" t="n">
        <v>0</v>
      </c>
      <c r="P15" s="20" t="n">
        <v>0</v>
      </c>
      <c r="Q15" s="18" t="n">
        <v>0.79145807</v>
      </c>
      <c r="R15" s="20" t="n">
        <v>0.29519057</v>
      </c>
    </row>
    <row r="16" spans="1:18">
      <c r="A16" s="15" t="s">
        <v>358</v>
      </c>
      <c r="B16" s="17" t="n">
        <v>6108</v>
      </c>
      <c r="C16" s="18">
        <f>(5360.0/B16*100)</f>
        <v/>
      </c>
      <c r="D16" s="19" t="n">
        <v>748</v>
      </c>
      <c r="E16" s="18" t="n">
        <v>12.62713829</v>
      </c>
      <c r="F16" s="20" t="n">
        <v>1.14836566</v>
      </c>
      <c r="G16" s="18" t="n">
        <v>86.60854241</v>
      </c>
      <c r="H16" s="20" t="n">
        <v>1.18146366</v>
      </c>
      <c r="I16" s="18" t="s">
        <v>349</v>
      </c>
      <c r="J16" s="20" t="s">
        <v>349</v>
      </c>
      <c r="K16" s="18" t="n">
        <v>0.14225797</v>
      </c>
      <c r="L16" s="20" t="n">
        <v>0.14314983</v>
      </c>
      <c r="M16" s="18" t="n">
        <v>0</v>
      </c>
      <c r="N16" s="20" t="n">
        <v>0</v>
      </c>
      <c r="O16" s="18" t="n">
        <v>0</v>
      </c>
      <c r="P16" s="20" t="n">
        <v>0</v>
      </c>
      <c r="Q16" s="18" t="n">
        <v>0.62206132</v>
      </c>
      <c r="R16" s="20" t="n">
        <v>0.19750539</v>
      </c>
    </row>
    <row r="17" spans="1:18">
      <c r="A17" s="15" t="s">
        <v>359</v>
      </c>
      <c r="B17" s="17" t="n">
        <v>6504</v>
      </c>
      <c r="C17" s="18">
        <f>(5719.0/B17*100)</f>
        <v/>
      </c>
      <c r="D17" s="19" t="n">
        <v>785</v>
      </c>
      <c r="E17" s="18" t="n">
        <v>13.17908714</v>
      </c>
      <c r="F17" s="20" t="n">
        <v>1.11796046</v>
      </c>
      <c r="G17" s="18" t="n">
        <v>85.66064412999999</v>
      </c>
      <c r="H17" s="20" t="n">
        <v>1.13411262</v>
      </c>
      <c r="I17" s="18" t="s">
        <v>349</v>
      </c>
      <c r="J17" s="20" t="s">
        <v>349</v>
      </c>
      <c r="K17" s="18" t="n">
        <v>0</v>
      </c>
      <c r="L17" s="20" t="n">
        <v>0</v>
      </c>
      <c r="M17" s="18" t="n">
        <v>0</v>
      </c>
      <c r="N17" s="20" t="n">
        <v>0</v>
      </c>
      <c r="O17" s="18" t="n">
        <v>0</v>
      </c>
      <c r="P17" s="20" t="n">
        <v>0</v>
      </c>
      <c r="Q17" s="18" t="n">
        <v>1.16026873</v>
      </c>
      <c r="R17" s="20" t="n">
        <v>0.52248276</v>
      </c>
    </row>
    <row r="18" spans="1:18">
      <c r="A18" s="15" t="s">
        <v>360</v>
      </c>
      <c r="B18" s="17" t="n">
        <v>5532</v>
      </c>
      <c r="C18" s="18">
        <f>(4858.0/B18*100)</f>
        <v/>
      </c>
      <c r="D18" s="19" t="n">
        <v>674</v>
      </c>
      <c r="E18" s="18" t="n">
        <v>19.53442068</v>
      </c>
      <c r="F18" s="20" t="n">
        <v>1.69815594</v>
      </c>
      <c r="G18" s="18" t="n">
        <v>78.95243608</v>
      </c>
      <c r="H18" s="20" t="n">
        <v>1.75786602</v>
      </c>
      <c r="I18" s="18" t="s">
        <v>349</v>
      </c>
      <c r="J18" s="20" t="s">
        <v>349</v>
      </c>
      <c r="K18" s="18" t="n">
        <v>0</v>
      </c>
      <c r="L18" s="20" t="n">
        <v>0</v>
      </c>
      <c r="M18" s="18" t="n">
        <v>0</v>
      </c>
      <c r="N18" s="20" t="n">
        <v>0</v>
      </c>
      <c r="O18" s="18" t="n">
        <v>0</v>
      </c>
      <c r="P18" s="20" t="n">
        <v>0</v>
      </c>
      <c r="Q18" s="18" t="n">
        <v>1.51314325</v>
      </c>
      <c r="R18" s="20" t="n">
        <v>0.5705377700000001</v>
      </c>
    </row>
    <row r="19" spans="1:18">
      <c r="A19" s="15" t="s">
        <v>361</v>
      </c>
      <c r="B19" s="17" t="n">
        <v>5658</v>
      </c>
      <c r="C19" s="18">
        <f>(4968.0/B19*100)</f>
        <v/>
      </c>
      <c r="D19" s="19" t="n">
        <v>690</v>
      </c>
      <c r="E19" s="18" t="n">
        <v>11.06639541</v>
      </c>
      <c r="F19" s="20" t="n">
        <v>1.38908157</v>
      </c>
      <c r="G19" s="18" t="n">
        <v>86.62308655</v>
      </c>
      <c r="H19" s="20" t="n">
        <v>1.37251952</v>
      </c>
      <c r="I19" s="18" t="s">
        <v>349</v>
      </c>
      <c r="J19" s="20" t="s">
        <v>349</v>
      </c>
      <c r="K19" s="18" t="n">
        <v>0.11543201</v>
      </c>
      <c r="L19" s="20" t="n">
        <v>0.11666882</v>
      </c>
      <c r="M19" s="18" t="n">
        <v>0</v>
      </c>
      <c r="N19" s="20" t="n">
        <v>0</v>
      </c>
      <c r="O19" s="18" t="n">
        <v>0</v>
      </c>
      <c r="P19" s="20" t="n">
        <v>0</v>
      </c>
      <c r="Q19" s="18" t="n">
        <v>2.19508603</v>
      </c>
      <c r="R19" s="20" t="n">
        <v>0.57869964</v>
      </c>
    </row>
    <row r="20" spans="1:18">
      <c r="A20" s="15" t="s">
        <v>362</v>
      </c>
      <c r="B20" s="17" t="n">
        <v>3371</v>
      </c>
      <c r="C20" s="18">
        <f>(2949.0/B20*100)</f>
        <v/>
      </c>
      <c r="D20" s="19" t="n">
        <v>422</v>
      </c>
      <c r="E20" s="18" t="n">
        <v>21.49912374</v>
      </c>
      <c r="F20" s="20" t="n">
        <v>2.01661696</v>
      </c>
      <c r="G20" s="18" t="n">
        <v>76.78278166</v>
      </c>
      <c r="H20" s="20" t="n">
        <v>1.93426122</v>
      </c>
      <c r="I20" s="18" t="s">
        <v>349</v>
      </c>
      <c r="J20" s="20" t="s">
        <v>349</v>
      </c>
      <c r="K20" s="18" t="n">
        <v>0.22451467</v>
      </c>
      <c r="L20" s="20" t="n">
        <v>0.22442692</v>
      </c>
      <c r="M20" s="18" t="n">
        <v>0</v>
      </c>
      <c r="N20" s="20" t="n">
        <v>0</v>
      </c>
      <c r="O20" s="18" t="n">
        <v>0</v>
      </c>
      <c r="P20" s="20" t="n">
        <v>0</v>
      </c>
      <c r="Q20" s="18" t="n">
        <v>1.49357993</v>
      </c>
      <c r="R20" s="20" t="n">
        <v>0.64366736</v>
      </c>
    </row>
    <row r="21" spans="1:18">
      <c r="A21" s="15" t="s">
        <v>363</v>
      </c>
      <c r="B21" s="17" t="n">
        <v>5741</v>
      </c>
      <c r="C21" s="18">
        <f>(4756.0/B21*100)</f>
        <v/>
      </c>
      <c r="D21" s="19" t="n">
        <v>985</v>
      </c>
      <c r="E21" s="18" t="n">
        <v>9.447837229999999</v>
      </c>
      <c r="F21" s="20" t="n">
        <v>0.93523016</v>
      </c>
      <c r="G21" s="18" t="n">
        <v>89.65423303999999</v>
      </c>
      <c r="H21" s="20" t="n">
        <v>1.0116556</v>
      </c>
      <c r="I21" s="18" t="s">
        <v>349</v>
      </c>
      <c r="J21" s="20" t="s">
        <v>349</v>
      </c>
      <c r="K21" s="18" t="n">
        <v>0.09622247</v>
      </c>
      <c r="L21" s="20" t="n">
        <v>0.09618208</v>
      </c>
      <c r="M21" s="18" t="n">
        <v>0</v>
      </c>
      <c r="N21" s="20" t="n">
        <v>0</v>
      </c>
      <c r="O21" s="18" t="n">
        <v>0</v>
      </c>
      <c r="P21" s="20" t="n">
        <v>0</v>
      </c>
      <c r="Q21" s="18" t="n">
        <v>0.80170726</v>
      </c>
      <c r="R21" s="20" t="n">
        <v>0.3121173</v>
      </c>
    </row>
    <row r="22" spans="1:18">
      <c r="A22" s="15" t="s">
        <v>364</v>
      </c>
      <c r="B22" s="17" t="n">
        <v>6598</v>
      </c>
      <c r="C22" s="18">
        <f>(5737.0/B22*100)</f>
        <v/>
      </c>
      <c r="D22" s="19" t="n">
        <v>861</v>
      </c>
      <c r="E22" s="18" t="n">
        <v>15.28836794</v>
      </c>
      <c r="F22" s="20" t="n">
        <v>1.31519893</v>
      </c>
      <c r="G22" s="18" t="n">
        <v>81.65441292</v>
      </c>
      <c r="H22" s="20" t="n">
        <v>1.56206724</v>
      </c>
      <c r="I22" s="18" t="s">
        <v>349</v>
      </c>
      <c r="J22" s="20" t="s">
        <v>349</v>
      </c>
      <c r="K22" s="18" t="n">
        <v>0.76136986</v>
      </c>
      <c r="L22" s="20" t="n">
        <v>0.36041633</v>
      </c>
      <c r="M22" s="18" t="n">
        <v>0</v>
      </c>
      <c r="N22" s="20" t="n">
        <v>0</v>
      </c>
      <c r="O22" s="18" t="n">
        <v>0</v>
      </c>
      <c r="P22" s="20" t="n">
        <v>0</v>
      </c>
      <c r="Q22" s="18" t="n">
        <v>2.29584928</v>
      </c>
      <c r="R22" s="20" t="n">
        <v>0.74715284</v>
      </c>
    </row>
    <row r="23" spans="1:18">
      <c r="A23" s="15" t="s">
        <v>365</v>
      </c>
      <c r="B23" s="17" t="n">
        <v>11583</v>
      </c>
      <c r="C23" s="18">
        <f>(10171.0/B23*100)</f>
        <v/>
      </c>
      <c r="D23" s="19" t="n">
        <v>1412</v>
      </c>
      <c r="E23" s="18" t="n">
        <v>13.06079883</v>
      </c>
      <c r="F23" s="20" t="n">
        <v>1.32287732</v>
      </c>
      <c r="G23" s="18" t="n">
        <v>84.86582124</v>
      </c>
      <c r="H23" s="20" t="n">
        <v>1.24855255</v>
      </c>
      <c r="I23" s="18" t="s">
        <v>349</v>
      </c>
      <c r="J23" s="20" t="s">
        <v>349</v>
      </c>
      <c r="K23" s="18" t="n">
        <v>0.18973644</v>
      </c>
      <c r="L23" s="20" t="n">
        <v>0.15933486</v>
      </c>
      <c r="M23" s="18" t="n">
        <v>0</v>
      </c>
      <c r="N23" s="20" t="n">
        <v>0</v>
      </c>
      <c r="O23" s="18" t="n">
        <v>0</v>
      </c>
      <c r="P23" s="20" t="n">
        <v>0</v>
      </c>
      <c r="Q23" s="18" t="n">
        <v>1.88364349</v>
      </c>
      <c r="R23" s="20" t="n">
        <v>0.6088276</v>
      </c>
    </row>
    <row r="24" spans="1:18">
      <c r="A24" s="15" t="s">
        <v>366</v>
      </c>
      <c r="B24" s="17" t="n">
        <v>6647</v>
      </c>
      <c r="C24" s="18">
        <f>(5846.0/B24*100)</f>
        <v/>
      </c>
      <c r="D24" s="19" t="n">
        <v>801</v>
      </c>
      <c r="E24" s="18" t="n">
        <v>21.23817526</v>
      </c>
      <c r="F24" s="20" t="n">
        <v>1.46808988</v>
      </c>
      <c r="G24" s="18" t="n">
        <v>78.51612274999999</v>
      </c>
      <c r="H24" s="20" t="n">
        <v>1.43813296</v>
      </c>
      <c r="I24" s="18" t="s">
        <v>349</v>
      </c>
      <c r="J24" s="20" t="s">
        <v>349</v>
      </c>
      <c r="K24" s="18" t="n">
        <v>0.11607671</v>
      </c>
      <c r="L24" s="20" t="n">
        <v>0.11785017</v>
      </c>
      <c r="M24" s="18" t="n">
        <v>0</v>
      </c>
      <c r="N24" s="20" t="n">
        <v>0</v>
      </c>
      <c r="O24" s="18" t="n">
        <v>0</v>
      </c>
      <c r="P24" s="20" t="n">
        <v>0</v>
      </c>
      <c r="Q24" s="18" t="n">
        <v>0.12962528</v>
      </c>
      <c r="R24" s="20" t="n">
        <v>0.1297628</v>
      </c>
    </row>
    <row r="25" spans="1:18">
      <c r="A25" s="15" t="s">
        <v>367</v>
      </c>
      <c r="B25" s="17" t="n">
        <v>5581</v>
      </c>
      <c r="C25" s="18">
        <f>(4896.0/B25*100)</f>
        <v/>
      </c>
      <c r="D25" s="19" t="n">
        <v>685</v>
      </c>
      <c r="E25" s="18" t="n">
        <v>19.03052485</v>
      </c>
      <c r="F25" s="20" t="n">
        <v>1.36708175</v>
      </c>
      <c r="G25" s="18" t="n">
        <v>80.55828989</v>
      </c>
      <c r="H25" s="20" t="n">
        <v>1.42172494</v>
      </c>
      <c r="I25" s="18" t="s">
        <v>349</v>
      </c>
      <c r="J25" s="20" t="s">
        <v>349</v>
      </c>
      <c r="K25" s="18" t="n">
        <v>0.28324231</v>
      </c>
      <c r="L25" s="20" t="n">
        <v>0.2418505</v>
      </c>
      <c r="M25" s="18" t="n">
        <v>0</v>
      </c>
      <c r="N25" s="20" t="n">
        <v>0</v>
      </c>
      <c r="O25" s="18" t="n">
        <v>0</v>
      </c>
      <c r="P25" s="20" t="n">
        <v>0</v>
      </c>
      <c r="Q25" s="18" t="n">
        <v>0.12794294</v>
      </c>
      <c r="R25" s="20" t="n">
        <v>0.12845063</v>
      </c>
    </row>
    <row r="26" spans="1:18">
      <c r="A26" s="15" t="s">
        <v>368</v>
      </c>
      <c r="B26" s="17" t="n">
        <v>4869</v>
      </c>
      <c r="C26" s="18">
        <f>(4276.0/B26*100)</f>
        <v/>
      </c>
      <c r="D26" s="19" t="n">
        <v>593</v>
      </c>
      <c r="E26" s="18" t="n">
        <v>11.02846888</v>
      </c>
      <c r="F26" s="20" t="n">
        <v>1.52658867</v>
      </c>
      <c r="G26" s="18" t="n">
        <v>88.3868765</v>
      </c>
      <c r="H26" s="20" t="n">
        <v>1.58142355</v>
      </c>
      <c r="I26" s="18" t="s">
        <v>349</v>
      </c>
      <c r="J26" s="20" t="s">
        <v>349</v>
      </c>
      <c r="K26" s="18" t="n">
        <v>0</v>
      </c>
      <c r="L26" s="20" t="n">
        <v>0</v>
      </c>
      <c r="M26" s="18" t="n">
        <v>0</v>
      </c>
      <c r="N26" s="20" t="n">
        <v>0</v>
      </c>
      <c r="O26" s="18" t="n">
        <v>0</v>
      </c>
      <c r="P26" s="20" t="n">
        <v>0</v>
      </c>
      <c r="Q26" s="18" t="n">
        <v>0.58465462</v>
      </c>
      <c r="R26" s="20" t="n">
        <v>0.29932437</v>
      </c>
    </row>
    <row r="27" spans="1:18">
      <c r="A27" s="15" t="s">
        <v>369</v>
      </c>
      <c r="B27" s="17" t="n">
        <v>5299</v>
      </c>
      <c r="C27" s="18">
        <f>(4652.0/B27*100)</f>
        <v/>
      </c>
      <c r="D27" s="19" t="n">
        <v>647</v>
      </c>
      <c r="E27" s="18" t="n">
        <v>14.70293135</v>
      </c>
      <c r="F27" s="20" t="n">
        <v>1.50952975</v>
      </c>
      <c r="G27" s="18" t="n">
        <v>84.67880873999999</v>
      </c>
      <c r="H27" s="20" t="n">
        <v>1.54333549</v>
      </c>
      <c r="I27" s="18" t="s">
        <v>349</v>
      </c>
      <c r="J27" s="20" t="s">
        <v>349</v>
      </c>
      <c r="K27" s="18" t="n">
        <v>0</v>
      </c>
      <c r="L27" s="20" t="n">
        <v>0</v>
      </c>
      <c r="M27" s="18" t="n">
        <v>0</v>
      </c>
      <c r="N27" s="20" t="n">
        <v>0</v>
      </c>
      <c r="O27" s="18" t="n">
        <v>0</v>
      </c>
      <c r="P27" s="20" t="n">
        <v>0</v>
      </c>
      <c r="Q27" s="18" t="n">
        <v>0.61825991</v>
      </c>
      <c r="R27" s="20" t="n">
        <v>0.30498519</v>
      </c>
    </row>
    <row r="28" spans="1:18">
      <c r="A28" s="15" t="s">
        <v>370</v>
      </c>
      <c r="B28" s="17" t="n">
        <v>7568</v>
      </c>
      <c r="C28" s="18">
        <f>(6620.0/B28*100)</f>
        <v/>
      </c>
      <c r="D28" s="19" t="n">
        <v>948</v>
      </c>
      <c r="E28" s="18" t="n">
        <v>21.27961598</v>
      </c>
      <c r="F28" s="20" t="n">
        <v>1.45441575</v>
      </c>
      <c r="G28" s="18" t="n">
        <v>77.82754231</v>
      </c>
      <c r="H28" s="20" t="n">
        <v>1.47303172</v>
      </c>
      <c r="I28" s="18" t="s">
        <v>349</v>
      </c>
      <c r="J28" s="20" t="s">
        <v>349</v>
      </c>
      <c r="K28" s="18" t="n">
        <v>0.08003233999999999</v>
      </c>
      <c r="L28" s="20" t="n">
        <v>0.08040023</v>
      </c>
      <c r="M28" s="18" t="n">
        <v>0</v>
      </c>
      <c r="N28" s="20" t="n">
        <v>0</v>
      </c>
      <c r="O28" s="18" t="n">
        <v>0</v>
      </c>
      <c r="P28" s="20" t="n">
        <v>0</v>
      </c>
      <c r="Q28" s="18" t="n">
        <v>0.81280936</v>
      </c>
      <c r="R28" s="20" t="n">
        <v>0.25145569</v>
      </c>
    </row>
    <row r="29" spans="1:18">
      <c r="A29" s="15" t="s">
        <v>371</v>
      </c>
      <c r="B29" s="17" t="n">
        <v>5385</v>
      </c>
      <c r="C29" s="18">
        <f>(4732.0/B29*100)</f>
        <v/>
      </c>
      <c r="D29" s="19" t="n">
        <v>653</v>
      </c>
      <c r="E29" s="18" t="n">
        <v>12.6949192</v>
      </c>
      <c r="F29" s="20" t="n">
        <v>1.41256928</v>
      </c>
      <c r="G29" s="18" t="n">
        <v>86.04979066</v>
      </c>
      <c r="H29" s="20" t="n">
        <v>1.4425565</v>
      </c>
      <c r="I29" s="18" t="s">
        <v>349</v>
      </c>
      <c r="J29" s="20" t="s">
        <v>349</v>
      </c>
      <c r="K29" s="18" t="n">
        <v>0.49957536</v>
      </c>
      <c r="L29" s="20" t="n">
        <v>0.25814165</v>
      </c>
      <c r="M29" s="18" t="n">
        <v>0</v>
      </c>
      <c r="N29" s="20" t="n">
        <v>0</v>
      </c>
      <c r="O29" s="18" t="n">
        <v>0</v>
      </c>
      <c r="P29" s="20" t="n">
        <v>0</v>
      </c>
      <c r="Q29" s="18" t="n">
        <v>0.75571477</v>
      </c>
      <c r="R29" s="20" t="n">
        <v>0.27932827</v>
      </c>
    </row>
    <row r="30" spans="1:18">
      <c r="A30" s="15" t="s">
        <v>372</v>
      </c>
      <c r="B30" s="17" t="n">
        <v>4520</v>
      </c>
      <c r="C30" s="18">
        <f>(3968.0/B30*100)</f>
        <v/>
      </c>
      <c r="D30" s="19" t="n">
        <v>552</v>
      </c>
      <c r="E30" s="18" t="n">
        <v>10.51291806</v>
      </c>
      <c r="F30" s="20" t="n">
        <v>1.25843891</v>
      </c>
      <c r="G30" s="18" t="n">
        <v>88.23580656</v>
      </c>
      <c r="H30" s="20" t="n">
        <v>1.32851004</v>
      </c>
      <c r="I30" s="18" t="s">
        <v>349</v>
      </c>
      <c r="J30" s="20" t="s">
        <v>349</v>
      </c>
      <c r="K30" s="18" t="n">
        <v>0</v>
      </c>
      <c r="L30" s="20" t="n">
        <v>0</v>
      </c>
      <c r="M30" s="18" t="n">
        <v>0</v>
      </c>
      <c r="N30" s="20" t="n">
        <v>0</v>
      </c>
      <c r="O30" s="18" t="n">
        <v>0</v>
      </c>
      <c r="P30" s="20" t="n">
        <v>0</v>
      </c>
      <c r="Q30" s="18" t="n">
        <v>1.25127538</v>
      </c>
      <c r="R30" s="20" t="n">
        <v>0.4759581</v>
      </c>
    </row>
    <row r="31" spans="1:18">
      <c r="A31" s="15" t="s">
        <v>373</v>
      </c>
      <c r="B31" s="17" t="n">
        <v>5456</v>
      </c>
      <c r="C31" s="18">
        <f>(4805.0/B31*100)</f>
        <v/>
      </c>
      <c r="D31" s="19" t="n">
        <v>651</v>
      </c>
      <c r="E31" s="18" t="n">
        <v>8.40976569</v>
      </c>
      <c r="F31" s="20" t="n">
        <v>1.06535149</v>
      </c>
      <c r="G31" s="18" t="n">
        <v>90.12558032</v>
      </c>
      <c r="H31" s="20" t="n">
        <v>1.25389407</v>
      </c>
      <c r="I31" s="18" t="s">
        <v>349</v>
      </c>
      <c r="J31" s="20" t="s">
        <v>349</v>
      </c>
      <c r="K31" s="18" t="n">
        <v>0.3597799</v>
      </c>
      <c r="L31" s="20" t="n">
        <v>0.28413936</v>
      </c>
      <c r="M31" s="18" t="n">
        <v>0</v>
      </c>
      <c r="N31" s="20" t="n">
        <v>0</v>
      </c>
      <c r="O31" s="18" t="n">
        <v>0</v>
      </c>
      <c r="P31" s="20" t="n">
        <v>0</v>
      </c>
      <c r="Q31" s="18" t="n">
        <v>1.10487409</v>
      </c>
      <c r="R31" s="20" t="n">
        <v>0.49478026</v>
      </c>
    </row>
    <row r="32" spans="1:18">
      <c r="A32" s="15" t="s">
        <v>374</v>
      </c>
      <c r="B32" s="17" t="n">
        <v>4478</v>
      </c>
      <c r="C32" s="18">
        <f>(3702.0/B32*100)</f>
        <v/>
      </c>
      <c r="D32" s="19" t="n">
        <v>776</v>
      </c>
      <c r="E32" s="18" t="n">
        <v>10.28609619</v>
      </c>
      <c r="F32" s="20" t="n">
        <v>1.09754889</v>
      </c>
      <c r="G32" s="18" t="n">
        <v>89.46312815</v>
      </c>
      <c r="H32" s="20" t="n">
        <v>1.09977978</v>
      </c>
      <c r="I32" s="18" t="s">
        <v>349</v>
      </c>
      <c r="J32" s="20" t="s">
        <v>349</v>
      </c>
      <c r="K32" s="18" t="n">
        <v>0.12910101</v>
      </c>
      <c r="L32" s="20" t="n">
        <v>0.12907019</v>
      </c>
      <c r="M32" s="18" t="n">
        <v>0</v>
      </c>
      <c r="N32" s="20" t="n">
        <v>0</v>
      </c>
      <c r="O32" s="18" t="n">
        <v>0</v>
      </c>
      <c r="P32" s="20" t="n">
        <v>0</v>
      </c>
      <c r="Q32" s="18" t="n">
        <v>0.12167465</v>
      </c>
      <c r="R32" s="20" t="n">
        <v>0.12305004</v>
      </c>
    </row>
    <row r="33" spans="1:18">
      <c r="A33" s="15" t="s">
        <v>375</v>
      </c>
      <c r="B33" s="17" t="n">
        <v>7325</v>
      </c>
      <c r="C33" s="18">
        <f>(6446.0/B33*100)</f>
        <v/>
      </c>
      <c r="D33" s="19" t="n">
        <v>879</v>
      </c>
      <c r="E33" s="18" t="n">
        <v>9.91076063</v>
      </c>
      <c r="F33" s="20" t="n">
        <v>1.2417751</v>
      </c>
      <c r="G33" s="18" t="n">
        <v>89.24175471</v>
      </c>
      <c r="H33" s="20" t="n">
        <v>1.35461896</v>
      </c>
      <c r="I33" s="18" t="s">
        <v>349</v>
      </c>
      <c r="J33" s="20" t="s">
        <v>349</v>
      </c>
      <c r="K33" s="18" t="n">
        <v>0.34468423</v>
      </c>
      <c r="L33" s="20" t="n">
        <v>0.40135083</v>
      </c>
      <c r="M33" s="18" t="n">
        <v>0</v>
      </c>
      <c r="N33" s="20" t="n">
        <v>0</v>
      </c>
      <c r="O33" s="18" t="n">
        <v>0</v>
      </c>
      <c r="P33" s="20" t="n">
        <v>0</v>
      </c>
      <c r="Q33" s="18" t="n">
        <v>0.50280042</v>
      </c>
      <c r="R33" s="20" t="n">
        <v>0.3486641</v>
      </c>
    </row>
    <row r="34" spans="1:18">
      <c r="A34" s="15" t="s">
        <v>376</v>
      </c>
      <c r="B34" s="17" t="n">
        <v>6350</v>
      </c>
      <c r="C34" s="18">
        <f>(5561.0/B34*100)</f>
        <v/>
      </c>
      <c r="D34" s="19" t="n">
        <v>789</v>
      </c>
      <c r="E34" s="18" t="n">
        <v>12.37207429</v>
      </c>
      <c r="F34" s="20" t="n">
        <v>1.06842035</v>
      </c>
      <c r="G34" s="18" t="n">
        <v>85.70617867</v>
      </c>
      <c r="H34" s="20" t="n">
        <v>1.20853174</v>
      </c>
      <c r="I34" s="18" t="s">
        <v>349</v>
      </c>
      <c r="J34" s="20" t="s">
        <v>349</v>
      </c>
      <c r="K34" s="18" t="n">
        <v>0.1020181</v>
      </c>
      <c r="L34" s="20" t="n">
        <v>0.1023443</v>
      </c>
      <c r="M34" s="18" t="n">
        <v>0</v>
      </c>
      <c r="N34" s="20" t="n">
        <v>0</v>
      </c>
      <c r="O34" s="18" t="n">
        <v>0</v>
      </c>
      <c r="P34" s="20" t="n">
        <v>0</v>
      </c>
      <c r="Q34" s="18" t="n">
        <v>1.81972894</v>
      </c>
      <c r="R34" s="20" t="n">
        <v>0.46385617</v>
      </c>
    </row>
    <row r="35" spans="1:18">
      <c r="A35" s="15" t="s">
        <v>377</v>
      </c>
      <c r="B35" s="17" t="n">
        <v>6406</v>
      </c>
      <c r="C35" s="18">
        <f>(5641.0/B35*100)</f>
        <v/>
      </c>
      <c r="D35" s="19" t="n">
        <v>765</v>
      </c>
      <c r="E35" s="18" t="n">
        <v>10.69030203</v>
      </c>
      <c r="F35" s="20" t="n">
        <v>1.39306213</v>
      </c>
      <c r="G35" s="18" t="n">
        <v>89.17439738</v>
      </c>
      <c r="H35" s="20" t="n">
        <v>1.40216737</v>
      </c>
      <c r="I35" s="18" t="s">
        <v>349</v>
      </c>
      <c r="J35" s="20" t="s">
        <v>349</v>
      </c>
      <c r="K35" s="18" t="n">
        <v>0.06330577</v>
      </c>
      <c r="L35" s="20" t="n">
        <v>0.06342717</v>
      </c>
      <c r="M35" s="18" t="n">
        <v>0</v>
      </c>
      <c r="N35" s="20" t="n">
        <v>0</v>
      </c>
      <c r="O35" s="18" t="n">
        <v>0</v>
      </c>
      <c r="P35" s="20" t="n">
        <v>0</v>
      </c>
      <c r="Q35" s="18" t="n">
        <v>0.07199482</v>
      </c>
      <c r="R35" s="20" t="n">
        <v>0.07317461</v>
      </c>
    </row>
    <row r="36" spans="1:18">
      <c r="A36" s="15" t="s">
        <v>378</v>
      </c>
      <c r="B36" s="17" t="n">
        <v>6736</v>
      </c>
      <c r="C36" s="18">
        <f>(5896.0/B36*100)</f>
        <v/>
      </c>
      <c r="D36" s="19" t="n">
        <v>840</v>
      </c>
      <c r="E36" s="18" t="n">
        <v>14.5415301</v>
      </c>
      <c r="F36" s="20" t="n">
        <v>1.29915828</v>
      </c>
      <c r="G36" s="18" t="n">
        <v>84.56090109</v>
      </c>
      <c r="H36" s="20" t="n">
        <v>1.36118977</v>
      </c>
      <c r="I36" s="18" t="s">
        <v>349</v>
      </c>
      <c r="J36" s="20" t="s">
        <v>349</v>
      </c>
      <c r="K36" s="18" t="n">
        <v>0.31639821</v>
      </c>
      <c r="L36" s="20" t="n">
        <v>0.19950738</v>
      </c>
      <c r="M36" s="18" t="n">
        <v>0</v>
      </c>
      <c r="N36" s="20" t="n">
        <v>0</v>
      </c>
      <c r="O36" s="18" t="n">
        <v>0</v>
      </c>
      <c r="P36" s="20" t="n">
        <v>0</v>
      </c>
      <c r="Q36" s="18" t="n">
        <v>0.5811706</v>
      </c>
      <c r="R36" s="20" t="n">
        <v>0.25636358</v>
      </c>
    </row>
    <row r="37" spans="1:18">
      <c r="A37" s="15" t="s">
        <v>379</v>
      </c>
      <c r="B37" s="17" t="n">
        <v>5458</v>
      </c>
      <c r="C37" s="18">
        <f>(4795.0/B37*100)</f>
        <v/>
      </c>
      <c r="D37" s="19" t="n">
        <v>663</v>
      </c>
      <c r="E37" s="18" t="n">
        <v>12.54586351</v>
      </c>
      <c r="F37" s="20" t="n">
        <v>1.37826327</v>
      </c>
      <c r="G37" s="18" t="n">
        <v>86.07355407</v>
      </c>
      <c r="H37" s="20" t="n">
        <v>1.45033828</v>
      </c>
      <c r="I37" s="18" t="s">
        <v>349</v>
      </c>
      <c r="J37" s="20" t="s">
        <v>349</v>
      </c>
      <c r="K37" s="18" t="n">
        <v>0.30512087</v>
      </c>
      <c r="L37" s="20" t="n">
        <v>0.24919185</v>
      </c>
      <c r="M37" s="18" t="n">
        <v>0</v>
      </c>
      <c r="N37" s="20" t="n">
        <v>0</v>
      </c>
      <c r="O37" s="18" t="n">
        <v>0</v>
      </c>
      <c r="P37" s="20" t="n">
        <v>0</v>
      </c>
      <c r="Q37" s="18" t="n">
        <v>1.07546155</v>
      </c>
      <c r="R37" s="20" t="n">
        <v>0.40482541</v>
      </c>
    </row>
    <row r="38" spans="1:18">
      <c r="A38" s="15" t="s">
        <v>380</v>
      </c>
      <c r="B38" s="17" t="n">
        <v>5860</v>
      </c>
      <c r="C38" s="18">
        <f>(4852.0/B38*100)</f>
        <v/>
      </c>
      <c r="D38" s="19" t="n">
        <v>1008</v>
      </c>
      <c r="E38" s="18" t="n">
        <v>14.45506324</v>
      </c>
      <c r="F38" s="20" t="n">
        <v>1.32433197</v>
      </c>
      <c r="G38" s="18" t="n">
        <v>84.40714882</v>
      </c>
      <c r="H38" s="20" t="n">
        <v>1.38401784</v>
      </c>
      <c r="I38" s="18" t="s">
        <v>349</v>
      </c>
      <c r="J38" s="20" t="s">
        <v>349</v>
      </c>
      <c r="K38" s="18" t="n">
        <v>0.09615546</v>
      </c>
      <c r="L38" s="20" t="n">
        <v>0.10379632</v>
      </c>
      <c r="M38" s="18" t="n">
        <v>0</v>
      </c>
      <c r="N38" s="20" t="n">
        <v>0</v>
      </c>
      <c r="O38" s="18" t="n">
        <v>0</v>
      </c>
      <c r="P38" s="20" t="n">
        <v>0</v>
      </c>
      <c r="Q38" s="18" t="n">
        <v>1.04163248</v>
      </c>
      <c r="R38" s="20" t="n">
        <v>0.32061329</v>
      </c>
    </row>
    <row r="39" spans="1:18">
      <c r="A39" s="15" t="s">
        <v>381</v>
      </c>
      <c r="B39" s="17" t="n">
        <v>5895</v>
      </c>
      <c r="C39" s="18">
        <f>(5181.0/B39*100)</f>
        <v/>
      </c>
      <c r="D39" s="19" t="n">
        <v>714</v>
      </c>
      <c r="E39" s="18" t="n">
        <v>29.37470088</v>
      </c>
      <c r="F39" s="20" t="n">
        <v>1.59572324</v>
      </c>
      <c r="G39" s="18" t="n">
        <v>69.76180536</v>
      </c>
      <c r="H39" s="20" t="n">
        <v>1.56545835</v>
      </c>
      <c r="I39" s="18" t="s">
        <v>349</v>
      </c>
      <c r="J39" s="20" t="s">
        <v>349</v>
      </c>
      <c r="K39" s="18" t="n">
        <v>0</v>
      </c>
      <c r="L39" s="20" t="n">
        <v>0</v>
      </c>
      <c r="M39" s="18" t="n">
        <v>0</v>
      </c>
      <c r="N39" s="20" t="n">
        <v>0</v>
      </c>
      <c r="O39" s="18" t="n">
        <v>0</v>
      </c>
      <c r="P39" s="20" t="n">
        <v>0</v>
      </c>
      <c r="Q39" s="18" t="n">
        <v>0.86349376</v>
      </c>
      <c r="R39" s="20" t="n">
        <v>0.27333308</v>
      </c>
    </row>
    <row r="40" spans="1:18">
      <c r="A40" s="15" t="s">
        <v>382</v>
      </c>
      <c r="B40" s="17" t="n">
        <v>14157</v>
      </c>
      <c r="C40" s="18">
        <f>(12405.0/B40*100)</f>
        <v/>
      </c>
      <c r="D40" s="19" t="n">
        <v>1752</v>
      </c>
      <c r="E40" s="18" t="n">
        <v>12.72312329</v>
      </c>
      <c r="F40" s="20" t="n">
        <v>1.19175958</v>
      </c>
      <c r="G40" s="18" t="n">
        <v>85.80930852</v>
      </c>
      <c r="H40" s="20" t="n">
        <v>1.26208237</v>
      </c>
      <c r="I40" s="18" t="s">
        <v>349</v>
      </c>
      <c r="J40" s="20" t="s">
        <v>349</v>
      </c>
      <c r="K40" s="18" t="n">
        <v>0.00655705</v>
      </c>
      <c r="L40" s="20" t="n">
        <v>0.00659238</v>
      </c>
      <c r="M40" s="18" t="n">
        <v>0</v>
      </c>
      <c r="N40" s="20" t="n">
        <v>0</v>
      </c>
      <c r="O40" s="18" t="n">
        <v>0</v>
      </c>
      <c r="P40" s="20" t="n">
        <v>0</v>
      </c>
      <c r="Q40" s="18" t="n">
        <v>1.46101114</v>
      </c>
      <c r="R40" s="20" t="n">
        <v>0.47537131</v>
      </c>
    </row>
    <row r="41" spans="1:18">
      <c r="A41" s="15" t="s">
        <v>383</v>
      </c>
      <c r="B41" s="17" t="n">
        <v>5712</v>
      </c>
      <c r="C41" s="18">
        <f>(5010.0/B41*100)</f>
        <v/>
      </c>
      <c r="D41" s="19" t="n">
        <v>702</v>
      </c>
      <c r="E41" s="18" t="n">
        <v>13.68354545</v>
      </c>
      <c r="F41" s="20" t="n">
        <v>1.53260993</v>
      </c>
      <c r="G41" s="18" t="n">
        <v>85.36233858999999</v>
      </c>
      <c r="H41" s="20" t="n">
        <v>1.57959688</v>
      </c>
      <c r="I41" s="18" t="s">
        <v>349</v>
      </c>
      <c r="J41" s="20" t="s">
        <v>349</v>
      </c>
      <c r="K41" s="18" t="n">
        <v>0</v>
      </c>
      <c r="L41" s="20" t="n">
        <v>0</v>
      </c>
      <c r="M41" s="18" t="n">
        <v>0</v>
      </c>
      <c r="N41" s="20" t="n">
        <v>0</v>
      </c>
      <c r="O41" s="18" t="n">
        <v>0</v>
      </c>
      <c r="P41" s="20" t="n">
        <v>0</v>
      </c>
      <c r="Q41" s="18" t="n">
        <v>0.95411596</v>
      </c>
      <c r="R41" s="20" t="n">
        <v>0.55587206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(20404.0/B46*100)</f>
        <v/>
      </c>
      <c r="D46" s="19" t="n">
        <v>2737</v>
      </c>
      <c r="E46" s="18" t="n">
        <v>24.02139421</v>
      </c>
      <c r="F46" s="20" t="n">
        <v>1.19390431</v>
      </c>
      <c r="G46" s="18" t="n">
        <v>71.87808794</v>
      </c>
      <c r="H46" s="20" t="n">
        <v>1.2764028</v>
      </c>
      <c r="I46" s="18" t="s">
        <v>349</v>
      </c>
      <c r="J46" s="20" t="s">
        <v>349</v>
      </c>
      <c r="K46" s="18" t="n">
        <v>0.41954044</v>
      </c>
      <c r="L46" s="20" t="n">
        <v>0.17111486</v>
      </c>
      <c r="M46" s="18" t="n">
        <v>0</v>
      </c>
      <c r="N46" s="20" t="n">
        <v>0</v>
      </c>
      <c r="O46" s="18" t="n">
        <v>0</v>
      </c>
      <c r="P46" s="20" t="n">
        <v>0</v>
      </c>
      <c r="Q46" s="18" t="n">
        <v>3.68097741</v>
      </c>
      <c r="R46" s="20" t="n">
        <v>0.43035234</v>
      </c>
    </row>
    <row r="47" spans="1:18">
      <c r="A47" s="15" t="s">
        <v>389</v>
      </c>
      <c r="B47" s="17" t="n">
        <v>5928</v>
      </c>
      <c r="C47" s="18">
        <f>(5183.0/B47*100)</f>
        <v/>
      </c>
      <c r="D47" s="19" t="n">
        <v>745</v>
      </c>
      <c r="E47" s="18" t="n">
        <v>23.90000593</v>
      </c>
      <c r="F47" s="20" t="n">
        <v>1.65171364</v>
      </c>
      <c r="G47" s="18" t="n">
        <v>73.04594489</v>
      </c>
      <c r="H47" s="20" t="n">
        <v>1.91177873</v>
      </c>
      <c r="I47" s="18" t="s">
        <v>349</v>
      </c>
      <c r="J47" s="20" t="s">
        <v>349</v>
      </c>
      <c r="K47" s="18" t="n">
        <v>0</v>
      </c>
      <c r="L47" s="20" t="n">
        <v>0</v>
      </c>
      <c r="M47" s="18" t="n">
        <v>0</v>
      </c>
      <c r="N47" s="20" t="n">
        <v>0</v>
      </c>
      <c r="O47" s="18" t="n">
        <v>0</v>
      </c>
      <c r="P47" s="20" t="n">
        <v>0</v>
      </c>
      <c r="Q47" s="18" t="n">
        <v>3.05404918</v>
      </c>
      <c r="R47" s="20" t="n">
        <v>0.74736857</v>
      </c>
    </row>
    <row r="48" spans="1:18">
      <c r="A48" s="15" t="s">
        <v>390</v>
      </c>
      <c r="B48" s="17" t="n">
        <v>9841</v>
      </c>
      <c r="C48" s="18">
        <f>(8661.0/B48*100)</f>
        <v/>
      </c>
      <c r="D48" s="19" t="n">
        <v>1180</v>
      </c>
      <c r="E48" s="18" t="n">
        <v>27.51528812</v>
      </c>
      <c r="F48" s="20" t="n">
        <v>1.92898853</v>
      </c>
      <c r="G48" s="18" t="n">
        <v>71.15352181</v>
      </c>
      <c r="H48" s="20" t="n">
        <v>1.9758681</v>
      </c>
      <c r="I48" s="18" t="s">
        <v>349</v>
      </c>
      <c r="J48" s="20" t="s">
        <v>349</v>
      </c>
      <c r="K48" s="18" t="n">
        <v>0.44109485</v>
      </c>
      <c r="L48" s="20" t="n">
        <v>0.32686015</v>
      </c>
      <c r="M48" s="18" t="n">
        <v>0</v>
      </c>
      <c r="N48" s="20" t="n">
        <v>0</v>
      </c>
      <c r="O48" s="18" t="n">
        <v>0</v>
      </c>
      <c r="P48" s="20" t="n">
        <v>0</v>
      </c>
      <c r="Q48" s="18" t="n">
        <v>0.89009521</v>
      </c>
      <c r="R48" s="20" t="n">
        <v>0.35257251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(10373.0/B50*100)</f>
        <v/>
      </c>
      <c r="D50" s="19" t="n">
        <v>1422</v>
      </c>
      <c r="E50" s="18" t="n">
        <v>23.88802306</v>
      </c>
      <c r="F50" s="20" t="n">
        <v>1.66488303</v>
      </c>
      <c r="G50" s="18" t="n">
        <v>74.34423989</v>
      </c>
      <c r="H50" s="20" t="n">
        <v>1.68653481</v>
      </c>
      <c r="I50" s="18" t="s">
        <v>349</v>
      </c>
      <c r="J50" s="20" t="s">
        <v>349</v>
      </c>
      <c r="K50" s="18" t="n">
        <v>0.714263</v>
      </c>
      <c r="L50" s="20" t="n">
        <v>0.55600261</v>
      </c>
      <c r="M50" s="18" t="n">
        <v>0</v>
      </c>
      <c r="N50" s="20" t="n">
        <v>0</v>
      </c>
      <c r="O50" s="18" t="n">
        <v>0</v>
      </c>
      <c r="P50" s="20" t="n">
        <v>0</v>
      </c>
      <c r="Q50" s="18" t="n">
        <v>1.05347405</v>
      </c>
      <c r="R50" s="20" t="n">
        <v>0.36829017</v>
      </c>
    </row>
    <row r="51" spans="1:18">
      <c r="A51" s="15" t="s">
        <v>393</v>
      </c>
      <c r="B51" s="17" t="n">
        <v>6866</v>
      </c>
      <c r="C51" s="18">
        <f>(6122.0/B51*100)</f>
        <v/>
      </c>
      <c r="D51" s="19" t="n">
        <v>744</v>
      </c>
      <c r="E51" s="18" t="n">
        <v>24.21234789</v>
      </c>
      <c r="F51" s="20" t="n">
        <v>1.94424061</v>
      </c>
      <c r="G51" s="18" t="n">
        <v>74.75902130999999</v>
      </c>
      <c r="H51" s="20" t="n">
        <v>2.02288961</v>
      </c>
      <c r="I51" s="18" t="s">
        <v>349</v>
      </c>
      <c r="J51" s="20" t="s">
        <v>349</v>
      </c>
      <c r="K51" s="18" t="n">
        <v>0.02153567</v>
      </c>
      <c r="L51" s="20" t="n">
        <v>0.02170176</v>
      </c>
      <c r="M51" s="18" t="n">
        <v>0</v>
      </c>
      <c r="N51" s="20" t="n">
        <v>0</v>
      </c>
      <c r="O51" s="18" t="n">
        <v>0</v>
      </c>
      <c r="P51" s="20" t="n">
        <v>0</v>
      </c>
      <c r="Q51" s="18" t="n">
        <v>1.00709514</v>
      </c>
      <c r="R51" s="20" t="n">
        <v>0.38200196</v>
      </c>
    </row>
    <row r="52" spans="1:18">
      <c r="A52" s="15" t="s">
        <v>394</v>
      </c>
      <c r="B52" s="17" t="n">
        <v>5809</v>
      </c>
      <c r="C52" s="18">
        <f>(5102.0/B52*100)</f>
        <v/>
      </c>
      <c r="D52" s="19" t="n">
        <v>707</v>
      </c>
      <c r="E52" s="18" t="n">
        <v>20.11236848</v>
      </c>
      <c r="F52" s="20" t="n">
        <v>1.48596736</v>
      </c>
      <c r="G52" s="18" t="n">
        <v>77.81481854</v>
      </c>
      <c r="H52" s="20" t="n">
        <v>1.69522547</v>
      </c>
      <c r="I52" s="18" t="s">
        <v>349</v>
      </c>
      <c r="J52" s="20" t="s">
        <v>349</v>
      </c>
      <c r="K52" s="18" t="n">
        <v>0.26073876</v>
      </c>
      <c r="L52" s="20" t="n">
        <v>0.18576473</v>
      </c>
      <c r="M52" s="18" t="n">
        <v>0</v>
      </c>
      <c r="N52" s="20" t="n">
        <v>0</v>
      </c>
      <c r="O52" s="18" t="n">
        <v>0</v>
      </c>
      <c r="P52" s="20" t="n">
        <v>0</v>
      </c>
      <c r="Q52" s="18" t="n">
        <v>1.81207422</v>
      </c>
      <c r="R52" s="20" t="n">
        <v>0.59780039</v>
      </c>
    </row>
    <row r="53" spans="1:18">
      <c r="A53" s="15" t="s">
        <v>395</v>
      </c>
      <c r="B53" s="17" t="n">
        <v>5571</v>
      </c>
      <c r="C53" s="18">
        <f>(4910.0/B53*100)</f>
        <v/>
      </c>
      <c r="D53" s="19" t="n">
        <v>661</v>
      </c>
      <c r="E53" s="18" t="n">
        <v>16.49916956</v>
      </c>
      <c r="F53" s="20" t="n">
        <v>1.4851751</v>
      </c>
      <c r="G53" s="18" t="n">
        <v>81.16802994</v>
      </c>
      <c r="H53" s="20" t="n">
        <v>1.48333412</v>
      </c>
      <c r="I53" s="18" t="s">
        <v>349</v>
      </c>
      <c r="J53" s="20" t="s">
        <v>349</v>
      </c>
      <c r="K53" s="18" t="n">
        <v>0.21331685</v>
      </c>
      <c r="L53" s="20" t="n">
        <v>0.14781475</v>
      </c>
      <c r="M53" s="18" t="n">
        <v>0</v>
      </c>
      <c r="N53" s="20" t="n">
        <v>0</v>
      </c>
      <c r="O53" s="18" t="n">
        <v>0</v>
      </c>
      <c r="P53" s="20" t="n">
        <v>0</v>
      </c>
      <c r="Q53" s="18" t="n">
        <v>2.11948366</v>
      </c>
      <c r="R53" s="20" t="n">
        <v>0.54503422</v>
      </c>
    </row>
    <row r="54" spans="1:18">
      <c r="A54" s="15" t="s">
        <v>396</v>
      </c>
      <c r="B54" s="17" t="n">
        <v>4740</v>
      </c>
      <c r="C54" s="18">
        <f>(3943.0/B54*100)</f>
        <v/>
      </c>
      <c r="D54" s="19" t="n">
        <v>797</v>
      </c>
      <c r="E54" s="18" t="n">
        <v>39.02190682</v>
      </c>
      <c r="F54" s="20" t="n">
        <v>1.84351535</v>
      </c>
      <c r="G54" s="18" t="n">
        <v>51.97698765</v>
      </c>
      <c r="H54" s="20" t="n">
        <v>1.88957483</v>
      </c>
      <c r="I54" s="18" t="s">
        <v>349</v>
      </c>
      <c r="J54" s="20" t="s">
        <v>349</v>
      </c>
      <c r="K54" s="18" t="n">
        <v>2.55602613</v>
      </c>
      <c r="L54" s="20" t="n">
        <v>0.66493479</v>
      </c>
      <c r="M54" s="18" t="n">
        <v>0</v>
      </c>
      <c r="N54" s="20" t="n">
        <v>0</v>
      </c>
      <c r="O54" s="18" t="n">
        <v>0</v>
      </c>
      <c r="P54" s="20" t="n">
        <v>0</v>
      </c>
      <c r="Q54" s="18" t="n">
        <v>6.44507941</v>
      </c>
      <c r="R54" s="20" t="n">
        <v>1.26948272</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24.20958139</v>
      </c>
      <c r="F56" s="20" t="n">
        <v>1.68184769</v>
      </c>
      <c r="G56" s="18" t="n">
        <v>74.89154198</v>
      </c>
      <c r="H56" s="20" t="n">
        <v>1.77550915</v>
      </c>
      <c r="I56" s="18" t="s">
        <v>349</v>
      </c>
      <c r="J56" s="20" t="s">
        <v>349</v>
      </c>
      <c r="K56" s="18" t="n">
        <v>0</v>
      </c>
      <c r="L56" s="20" t="n">
        <v>0</v>
      </c>
      <c r="M56" s="18" t="n">
        <v>0</v>
      </c>
      <c r="N56" s="20" t="n">
        <v>0</v>
      </c>
      <c r="O56" s="18" t="n">
        <v>0</v>
      </c>
      <c r="P56" s="20" t="n">
        <v>0</v>
      </c>
      <c r="Q56" s="18" t="n">
        <v>0.89887663</v>
      </c>
      <c r="R56" s="20" t="n">
        <v>0.45872945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(5725.0/B61*100)</f>
        <v/>
      </c>
      <c r="D61" s="19" t="n">
        <v>800</v>
      </c>
      <c r="E61" s="18" t="n">
        <v>21.13984423</v>
      </c>
      <c r="F61" s="20" t="n">
        <v>1.70897989</v>
      </c>
      <c r="G61" s="18" t="n">
        <v>77.99884958</v>
      </c>
      <c r="H61" s="20" t="n">
        <v>1.75021803</v>
      </c>
      <c r="I61" s="18" t="s">
        <v>349</v>
      </c>
      <c r="J61" s="20" t="s">
        <v>349</v>
      </c>
      <c r="K61" s="18" t="n">
        <v>0.03280215</v>
      </c>
      <c r="L61" s="20" t="n">
        <v>0.03322103</v>
      </c>
      <c r="M61" s="18" t="n">
        <v>0</v>
      </c>
      <c r="N61" s="20" t="n">
        <v>0</v>
      </c>
      <c r="O61" s="18" t="n">
        <v>0</v>
      </c>
      <c r="P61" s="20" t="n">
        <v>0</v>
      </c>
      <c r="Q61" s="18" t="n">
        <v>0.82850404</v>
      </c>
      <c r="R61" s="20" t="n">
        <v>0.26407702</v>
      </c>
    </row>
    <row r="62" spans="1:18">
      <c r="A62" s="15" t="s">
        <v>404</v>
      </c>
      <c r="B62" s="17" t="n">
        <v>4476</v>
      </c>
      <c r="C62" s="18">
        <f>(3925.0/B62*100)</f>
        <v/>
      </c>
      <c r="D62" s="19" t="n">
        <v>551</v>
      </c>
      <c r="E62" s="18" t="n">
        <v>22.46660137</v>
      </c>
      <c r="F62" s="20" t="n">
        <v>1.85684241</v>
      </c>
      <c r="G62" s="18" t="n">
        <v>77.53339862999999</v>
      </c>
      <c r="H62" s="20" t="n">
        <v>1.85684241</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(4968.0/B66*100)</f>
        <v/>
      </c>
      <c r="D66" s="19" t="n">
        <v>697</v>
      </c>
      <c r="E66" s="18" t="n">
        <v>18.15294668</v>
      </c>
      <c r="F66" s="20" t="n">
        <v>1.43560812</v>
      </c>
      <c r="G66" s="18" t="n">
        <v>77.52284478</v>
      </c>
      <c r="H66" s="20" t="n">
        <v>1.50749522</v>
      </c>
      <c r="I66" s="18" t="s">
        <v>349</v>
      </c>
      <c r="J66" s="20" t="s">
        <v>349</v>
      </c>
      <c r="K66" s="18" t="n">
        <v>0.26651733</v>
      </c>
      <c r="L66" s="20" t="n">
        <v>0.18934359</v>
      </c>
      <c r="M66" s="18" t="n">
        <v>0</v>
      </c>
      <c r="N66" s="20" t="n">
        <v>0</v>
      </c>
      <c r="O66" s="18" t="n">
        <v>0</v>
      </c>
      <c r="P66" s="20" t="n">
        <v>0</v>
      </c>
      <c r="Q66" s="18" t="n">
        <v>4.05769122</v>
      </c>
      <c r="R66" s="20" t="n">
        <v>0.73922417</v>
      </c>
    </row>
    <row r="67" spans="1:18">
      <c r="A67" s="15" t="s">
        <v>409</v>
      </c>
      <c r="B67" s="17" t="n">
        <v>6971</v>
      </c>
      <c r="C67" s="18">
        <f>(6125.0/B67*100)</f>
        <v/>
      </c>
      <c r="D67" s="19" t="n">
        <v>846</v>
      </c>
      <c r="E67" s="18" t="n">
        <v>21.45799787</v>
      </c>
      <c r="F67" s="20" t="n">
        <v>1.3085874</v>
      </c>
      <c r="G67" s="18" t="n">
        <v>76.24920579</v>
      </c>
      <c r="H67" s="20" t="n">
        <v>1.36370642</v>
      </c>
      <c r="I67" s="18" t="s">
        <v>349</v>
      </c>
      <c r="J67" s="20" t="s">
        <v>349</v>
      </c>
      <c r="K67" s="18" t="n">
        <v>0</v>
      </c>
      <c r="L67" s="20" t="n">
        <v>0</v>
      </c>
      <c r="M67" s="18" t="n">
        <v>0</v>
      </c>
      <c r="N67" s="20" t="n">
        <v>0</v>
      </c>
      <c r="O67" s="18" t="n">
        <v>0</v>
      </c>
      <c r="P67" s="20" t="n">
        <v>0</v>
      </c>
      <c r="Q67" s="18" t="n">
        <v>2.29279635</v>
      </c>
      <c r="R67" s="20" t="n">
        <v>0.5473397800000001</v>
      </c>
    </row>
    <row r="68" spans="1:18">
      <c r="A68" s="15" t="s">
        <v>410</v>
      </c>
      <c r="B68" s="17" t="n">
        <v>12083</v>
      </c>
      <c r="C68" s="18">
        <f>(10081.0/B68*100)</f>
        <v/>
      </c>
      <c r="D68" s="19" t="n">
        <v>2002</v>
      </c>
      <c r="E68" s="18" t="n">
        <v>23.06697061</v>
      </c>
      <c r="F68" s="20" t="n">
        <v>0.91384085</v>
      </c>
      <c r="G68" s="18" t="n">
        <v>73.86686146</v>
      </c>
      <c r="H68" s="20" t="n">
        <v>0.9430662</v>
      </c>
      <c r="I68" s="18" t="s">
        <v>349</v>
      </c>
      <c r="J68" s="20" t="s">
        <v>349</v>
      </c>
      <c r="K68" s="18" t="n">
        <v>0.6879891</v>
      </c>
      <c r="L68" s="20" t="n">
        <v>0.19314738</v>
      </c>
      <c r="M68" s="18" t="n">
        <v>0</v>
      </c>
      <c r="N68" s="20" t="n">
        <v>0</v>
      </c>
      <c r="O68" s="18" t="n">
        <v>0</v>
      </c>
      <c r="P68" s="20" t="n">
        <v>0</v>
      </c>
      <c r="Q68" s="18" t="n">
        <v>2.37817883</v>
      </c>
      <c r="R68" s="20" t="n">
        <v>0.32360233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(5304.0/B70*100)</f>
        <v/>
      </c>
      <c r="D70" s="19" t="n">
        <v>732</v>
      </c>
      <c r="E70" s="18" t="n">
        <v>14.41543711</v>
      </c>
      <c r="F70" s="20" t="n">
        <v>1.7009189</v>
      </c>
      <c r="G70" s="18" t="n">
        <v>85.03263516</v>
      </c>
      <c r="H70" s="20" t="n">
        <v>1.68592378</v>
      </c>
      <c r="I70" s="18" t="s">
        <v>349</v>
      </c>
      <c r="J70" s="20" t="s">
        <v>349</v>
      </c>
      <c r="K70" s="18" t="n">
        <v>0.16380703</v>
      </c>
      <c r="L70" s="20" t="n">
        <v>0.11658081</v>
      </c>
      <c r="M70" s="18" t="n">
        <v>0</v>
      </c>
      <c r="N70" s="20" t="n">
        <v>0</v>
      </c>
      <c r="O70" s="18" t="n">
        <v>0</v>
      </c>
      <c r="P70" s="20" t="n">
        <v>0</v>
      </c>
      <c r="Q70" s="18" t="n">
        <v>0.38812069</v>
      </c>
      <c r="R70" s="20" t="n">
        <v>0.17951763</v>
      </c>
    </row>
    <row r="71" spans="1:18">
      <c r="A71" s="15" t="s">
        <v>413</v>
      </c>
      <c r="B71" s="17" t="n">
        <v>6115</v>
      </c>
      <c r="C71" s="18">
        <f>(5348.0/B71*100)</f>
        <v/>
      </c>
      <c r="D71" s="19" t="n">
        <v>767</v>
      </c>
      <c r="E71" s="18" t="n">
        <v>12.66495389</v>
      </c>
      <c r="F71" s="20" t="n">
        <v>1.24920814</v>
      </c>
      <c r="G71" s="18" t="n">
        <v>87.00361789</v>
      </c>
      <c r="H71" s="20" t="n">
        <v>1.26095675</v>
      </c>
      <c r="I71" s="18" t="s">
        <v>349</v>
      </c>
      <c r="J71" s="20" t="s">
        <v>349</v>
      </c>
      <c r="K71" s="18" t="n">
        <v>0.13993299</v>
      </c>
      <c r="L71" s="20" t="n">
        <v>0.13310089</v>
      </c>
      <c r="M71" s="18" t="n">
        <v>0</v>
      </c>
      <c r="N71" s="20" t="n">
        <v>0</v>
      </c>
      <c r="O71" s="18" t="n">
        <v>0</v>
      </c>
      <c r="P71" s="20" t="n">
        <v>0</v>
      </c>
      <c r="Q71" s="18" t="n">
        <v>0.19149522</v>
      </c>
      <c r="R71" s="20" t="n">
        <v>0.13576696</v>
      </c>
    </row>
    <row r="72" spans="1:18">
      <c r="A72" s="15" t="s">
        <v>414</v>
      </c>
      <c r="B72" s="17" t="n">
        <v>7708</v>
      </c>
      <c r="C72" s="18">
        <f>(6750.0/B72*100)</f>
        <v/>
      </c>
      <c r="D72" s="19" t="n">
        <v>958</v>
      </c>
      <c r="E72" s="18" t="n">
        <v>39.2493285</v>
      </c>
      <c r="F72" s="20" t="n">
        <v>1.81721871</v>
      </c>
      <c r="G72" s="18" t="n">
        <v>60.44530577</v>
      </c>
      <c r="H72" s="20" t="n">
        <v>1.81918517</v>
      </c>
      <c r="I72" s="18" t="s">
        <v>349</v>
      </c>
      <c r="J72" s="20" t="s">
        <v>349</v>
      </c>
      <c r="K72" s="18" t="n">
        <v>0</v>
      </c>
      <c r="L72" s="20" t="n">
        <v>0</v>
      </c>
      <c r="M72" s="18" t="n">
        <v>0</v>
      </c>
      <c r="N72" s="20" t="n">
        <v>0</v>
      </c>
      <c r="O72" s="18" t="n">
        <v>0</v>
      </c>
      <c r="P72" s="20" t="n">
        <v>0</v>
      </c>
      <c r="Q72" s="18" t="n">
        <v>0.30536573</v>
      </c>
      <c r="R72" s="20" t="n">
        <v>0.16224532</v>
      </c>
    </row>
    <row r="73" spans="1:18">
      <c r="A73" s="15" t="s">
        <v>415</v>
      </c>
      <c r="B73" s="17" t="n">
        <v>8249</v>
      </c>
      <c r="C73" s="18">
        <f>(7249.0/B73*100)</f>
        <v/>
      </c>
      <c r="D73" s="19" t="n">
        <v>1000</v>
      </c>
      <c r="E73" s="18" t="n">
        <v>25.74182583</v>
      </c>
      <c r="F73" s="20" t="n">
        <v>1.86270822</v>
      </c>
      <c r="G73" s="18" t="n">
        <v>73.05585683</v>
      </c>
      <c r="H73" s="20" t="n">
        <v>1.90332773</v>
      </c>
      <c r="I73" s="18" t="s">
        <v>349</v>
      </c>
      <c r="J73" s="20" t="s">
        <v>349</v>
      </c>
      <c r="K73" s="18" t="n">
        <v>0</v>
      </c>
      <c r="L73" s="20" t="n">
        <v>0</v>
      </c>
      <c r="M73" s="18" t="n">
        <v>0</v>
      </c>
      <c r="N73" s="20" t="n">
        <v>0</v>
      </c>
      <c r="O73" s="18" t="n">
        <v>0</v>
      </c>
      <c r="P73" s="20" t="n">
        <v>0</v>
      </c>
      <c r="Q73" s="18" t="n">
        <v>1.20231734</v>
      </c>
      <c r="R73" s="20" t="n">
        <v>0.41940816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(4728.0/B75*100)</f>
        <v/>
      </c>
      <c r="D75" s="19" t="n">
        <v>647</v>
      </c>
      <c r="E75" s="18" t="n">
        <v>21.05883518</v>
      </c>
      <c r="F75" s="20" t="n">
        <v>1.54045076</v>
      </c>
      <c r="G75" s="18" t="n">
        <v>76.44388389</v>
      </c>
      <c r="H75" s="20" t="n">
        <v>1.69129631</v>
      </c>
      <c r="I75" s="18" t="s">
        <v>349</v>
      </c>
      <c r="J75" s="20" t="s">
        <v>349</v>
      </c>
      <c r="K75" s="18" t="n">
        <v>0.81640683</v>
      </c>
      <c r="L75" s="20" t="n">
        <v>0.35287797</v>
      </c>
      <c r="M75" s="18" t="n">
        <v>0</v>
      </c>
      <c r="N75" s="20" t="n">
        <v>0</v>
      </c>
      <c r="O75" s="18" t="n">
        <v>0</v>
      </c>
      <c r="P75" s="20" t="n">
        <v>0</v>
      </c>
      <c r="Q75" s="18" t="n">
        <v>1.68087409</v>
      </c>
      <c r="R75" s="20" t="n">
        <v>0.49599534</v>
      </c>
    </row>
    <row r="76" spans="1:18">
      <c r="A76" s="15" t="s">
        <v>418</v>
      </c>
      <c r="B76" s="17" t="n">
        <v>14167</v>
      </c>
      <c r="C76" s="18">
        <f>(12432.0/B76*100)</f>
        <v/>
      </c>
      <c r="D76" s="19" t="n">
        <v>1735</v>
      </c>
      <c r="E76" s="18" t="n">
        <v>19.67959276</v>
      </c>
      <c r="F76" s="20" t="n">
        <v>1.07851913</v>
      </c>
      <c r="G76" s="18" t="n">
        <v>78.83710311999999</v>
      </c>
      <c r="H76" s="20" t="n">
        <v>1.13293931</v>
      </c>
      <c r="I76" s="18" t="s">
        <v>349</v>
      </c>
      <c r="J76" s="20" t="s">
        <v>349</v>
      </c>
      <c r="K76" s="18" t="n">
        <v>0.64299204</v>
      </c>
      <c r="L76" s="20" t="n">
        <v>0.23114389</v>
      </c>
      <c r="M76" s="18" t="n">
        <v>0</v>
      </c>
      <c r="N76" s="20" t="n">
        <v>0</v>
      </c>
      <c r="O76" s="18" t="n">
        <v>0</v>
      </c>
      <c r="P76" s="20" t="n">
        <v>0</v>
      </c>
      <c r="Q76" s="18" t="n">
        <v>0.84031209</v>
      </c>
      <c r="R76" s="20" t="n">
        <v>0.21053411</v>
      </c>
    </row>
    <row r="77" spans="1:18">
      <c r="A77" s="15" t="s">
        <v>419</v>
      </c>
      <c r="B77" s="17" t="n">
        <v>6062</v>
      </c>
      <c r="C77" s="18">
        <f>(5307.0/B77*100)</f>
        <v/>
      </c>
      <c r="D77" s="19" t="n">
        <v>755</v>
      </c>
      <c r="E77" s="18" t="n">
        <v>21.08238351</v>
      </c>
      <c r="F77" s="20" t="n">
        <v>1.56402369</v>
      </c>
      <c r="G77" s="18" t="n">
        <v>75.5830898</v>
      </c>
      <c r="H77" s="20" t="n">
        <v>1.5139375</v>
      </c>
      <c r="I77" s="18" t="s">
        <v>349</v>
      </c>
      <c r="J77" s="20" t="s">
        <v>349</v>
      </c>
      <c r="K77" s="18" t="n">
        <v>0.46584662</v>
      </c>
      <c r="L77" s="20" t="n">
        <v>0.32212754</v>
      </c>
      <c r="M77" s="18" t="n">
        <v>0</v>
      </c>
      <c r="N77" s="20" t="n">
        <v>0</v>
      </c>
      <c r="O77" s="18" t="n">
        <v>0</v>
      </c>
      <c r="P77" s="20" t="n">
        <v>0</v>
      </c>
      <c r="Q77" s="18" t="n">
        <v>2.86868007</v>
      </c>
      <c r="R77" s="20" t="n">
        <v>0.633485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(7770.0/B81*100)</f>
        <v/>
      </c>
      <c r="D81" s="19" t="n">
        <v>1091</v>
      </c>
      <c r="E81" s="18" t="n">
        <v>13.81361923</v>
      </c>
      <c r="F81" s="20" t="n">
        <v>1.26435648</v>
      </c>
      <c r="G81" s="18" t="n">
        <v>85.31054760000001</v>
      </c>
      <c r="H81" s="20" t="n">
        <v>1.3205681</v>
      </c>
      <c r="I81" s="18" t="s">
        <v>349</v>
      </c>
      <c r="J81" s="20" t="s">
        <v>349</v>
      </c>
      <c r="K81" s="18" t="n">
        <v>0.26982768</v>
      </c>
      <c r="L81" s="20" t="n">
        <v>0.16029048</v>
      </c>
      <c r="M81" s="18" t="n">
        <v>0</v>
      </c>
      <c r="N81" s="20" t="n">
        <v>0</v>
      </c>
      <c r="O81" s="18" t="n">
        <v>0</v>
      </c>
      <c r="P81" s="20" t="n">
        <v>0</v>
      </c>
      <c r="Q81" s="18" t="n">
        <v>0.6060055</v>
      </c>
      <c r="R81" s="20" t="n">
        <v>0.29799825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(12776.0/B7*100)</f>
        <v/>
      </c>
      <c r="D7" s="19" t="n">
        <v>1754</v>
      </c>
      <c r="E7" s="18" t="n">
        <v>63.49389378</v>
      </c>
      <c r="F7" s="20" t="n">
        <v>1.55104075</v>
      </c>
      <c r="G7" s="18" t="n">
        <v>34.20961581</v>
      </c>
      <c r="H7" s="20" t="n">
        <v>1.45655326</v>
      </c>
      <c r="I7" s="18" t="s">
        <v>349</v>
      </c>
      <c r="J7" s="20" t="s">
        <v>349</v>
      </c>
      <c r="K7" s="18" t="n">
        <v>0.41209307</v>
      </c>
      <c r="L7" s="20" t="n">
        <v>0.19237249</v>
      </c>
      <c r="M7" s="18" t="n">
        <v>0</v>
      </c>
      <c r="N7" s="20" t="n">
        <v>0</v>
      </c>
      <c r="O7" s="18" t="n">
        <v>0</v>
      </c>
      <c r="P7" s="20" t="n">
        <v>0</v>
      </c>
      <c r="Q7" s="18" t="n">
        <v>1.88439734</v>
      </c>
      <c r="R7" s="20" t="n">
        <v>0.41000633</v>
      </c>
    </row>
    <row r="8" spans="1:18">
      <c r="A8" s="15" t="s">
        <v>350</v>
      </c>
      <c r="B8" s="17" t="n">
        <v>7007</v>
      </c>
      <c r="C8" s="18">
        <f>(6118.0/B8*100)</f>
        <v/>
      </c>
      <c r="D8" s="19" t="n">
        <v>889</v>
      </c>
      <c r="E8" s="18" t="n">
        <v>70.3340565</v>
      </c>
      <c r="F8" s="20" t="n">
        <v>1.56037334</v>
      </c>
      <c r="G8" s="18" t="n">
        <v>27.78225243</v>
      </c>
      <c r="H8" s="20" t="n">
        <v>1.59827388</v>
      </c>
      <c r="I8" s="18" t="s">
        <v>349</v>
      </c>
      <c r="J8" s="20" t="s">
        <v>349</v>
      </c>
      <c r="K8" s="18" t="n">
        <v>0</v>
      </c>
      <c r="L8" s="20" t="n">
        <v>0</v>
      </c>
      <c r="M8" s="18" t="n">
        <v>0</v>
      </c>
      <c r="N8" s="20" t="n">
        <v>0</v>
      </c>
      <c r="O8" s="18" t="n">
        <v>0</v>
      </c>
      <c r="P8" s="20" t="n">
        <v>0</v>
      </c>
      <c r="Q8" s="18" t="n">
        <v>1.88369107</v>
      </c>
      <c r="R8" s="20" t="n">
        <v>0.49984327</v>
      </c>
    </row>
    <row r="9" spans="1:18">
      <c r="A9" s="15" t="s">
        <v>351</v>
      </c>
      <c r="B9" s="17" t="n">
        <v>9651</v>
      </c>
      <c r="C9" s="18">
        <f>(8505.0/B9*100)</f>
        <v/>
      </c>
      <c r="D9" s="19" t="n">
        <v>1146</v>
      </c>
      <c r="E9" s="18" t="n">
        <v>60.66081834</v>
      </c>
      <c r="F9" s="20" t="n">
        <v>1.63788356</v>
      </c>
      <c r="G9" s="18" t="n">
        <v>38.57766124</v>
      </c>
      <c r="H9" s="20" t="n">
        <v>1.64235345</v>
      </c>
      <c r="I9" s="18" t="s">
        <v>349</v>
      </c>
      <c r="J9" s="20" t="s">
        <v>349</v>
      </c>
      <c r="K9" s="18" t="n">
        <v>0.04131069</v>
      </c>
      <c r="L9" s="20" t="n">
        <v>0.04115265</v>
      </c>
      <c r="M9" s="18" t="n">
        <v>0</v>
      </c>
      <c r="N9" s="20" t="n">
        <v>0</v>
      </c>
      <c r="O9" s="18" t="n">
        <v>0</v>
      </c>
      <c r="P9" s="20" t="n">
        <v>0</v>
      </c>
      <c r="Q9" s="18" t="n">
        <v>0.72020973</v>
      </c>
      <c r="R9" s="20" t="n">
        <v>0.23353755</v>
      </c>
    </row>
    <row r="10" spans="1:18">
      <c r="A10" s="15" t="s">
        <v>352</v>
      </c>
      <c r="B10" s="17" t="n">
        <v>20058</v>
      </c>
      <c r="C10" s="18">
        <f>(17582.0/B10*100)</f>
        <v/>
      </c>
      <c r="D10" s="19" t="n">
        <v>2476</v>
      </c>
      <c r="E10" s="18" t="n">
        <v>61.13191559</v>
      </c>
      <c r="F10" s="20" t="n">
        <v>1.24533773</v>
      </c>
      <c r="G10" s="18" t="n">
        <v>37.91676558</v>
      </c>
      <c r="H10" s="20" t="n">
        <v>1.23865781</v>
      </c>
      <c r="I10" s="18" t="s">
        <v>349</v>
      </c>
      <c r="J10" s="20" t="s">
        <v>349</v>
      </c>
      <c r="K10" s="18" t="n">
        <v>0.1554277</v>
      </c>
      <c r="L10" s="20" t="n">
        <v>0.08150764000000001</v>
      </c>
      <c r="M10" s="18" t="n">
        <v>0</v>
      </c>
      <c r="N10" s="20" t="n">
        <v>0</v>
      </c>
      <c r="O10" s="18" t="n">
        <v>0</v>
      </c>
      <c r="P10" s="20" t="n">
        <v>0</v>
      </c>
      <c r="Q10" s="18" t="n">
        <v>0.79589113</v>
      </c>
      <c r="R10" s="20" t="n">
        <v>0.25602306</v>
      </c>
    </row>
    <row r="11" spans="1:18">
      <c r="A11" s="15" t="s">
        <v>353</v>
      </c>
      <c r="B11" s="17" t="n">
        <v>7053</v>
      </c>
      <c r="C11" s="18">
        <f>(6178.0/B11*100)</f>
        <v/>
      </c>
      <c r="D11" s="19" t="n">
        <v>875</v>
      </c>
      <c r="E11" s="18" t="n">
        <v>61.50090916</v>
      </c>
      <c r="F11" s="20" t="n">
        <v>1.92408295</v>
      </c>
      <c r="G11" s="18" t="n">
        <v>33.27104674</v>
      </c>
      <c r="H11" s="20" t="n">
        <v>1.71659105</v>
      </c>
      <c r="I11" s="18" t="s">
        <v>349</v>
      </c>
      <c r="J11" s="20" t="s">
        <v>349</v>
      </c>
      <c r="K11" s="18" t="n">
        <v>0</v>
      </c>
      <c r="L11" s="20" t="n">
        <v>0</v>
      </c>
      <c r="M11" s="18" t="n">
        <v>0</v>
      </c>
      <c r="N11" s="20" t="n">
        <v>0</v>
      </c>
      <c r="O11" s="18" t="n">
        <v>0</v>
      </c>
      <c r="P11" s="20" t="n">
        <v>0</v>
      </c>
      <c r="Q11" s="18" t="n">
        <v>5.2280441</v>
      </c>
      <c r="R11" s="20" t="n">
        <v>0.893307</v>
      </c>
    </row>
    <row r="12" spans="1:18">
      <c r="A12" s="15" t="s">
        <v>354</v>
      </c>
      <c r="B12" s="17" t="n">
        <v>6894</v>
      </c>
      <c r="C12" s="18">
        <f>(6051.0/B12*100)</f>
        <v/>
      </c>
      <c r="D12" s="19" t="n">
        <v>843</v>
      </c>
      <c r="E12" s="18" t="n">
        <v>67.13393307</v>
      </c>
      <c r="F12" s="20" t="n">
        <v>1.96548166</v>
      </c>
      <c r="G12" s="18" t="n">
        <v>31.48348287</v>
      </c>
      <c r="H12" s="20" t="n">
        <v>1.93897242</v>
      </c>
      <c r="I12" s="18" t="s">
        <v>349</v>
      </c>
      <c r="J12" s="20" t="s">
        <v>349</v>
      </c>
      <c r="K12" s="18" t="n">
        <v>0.16631164</v>
      </c>
      <c r="L12" s="20" t="n">
        <v>0.27112028</v>
      </c>
      <c r="M12" s="18" t="n">
        <v>0</v>
      </c>
      <c r="N12" s="20" t="n">
        <v>0</v>
      </c>
      <c r="O12" s="18" t="n">
        <v>0</v>
      </c>
      <c r="P12" s="20" t="n">
        <v>0</v>
      </c>
      <c r="Q12" s="18" t="n">
        <v>1.21627242</v>
      </c>
      <c r="R12" s="20" t="n">
        <v>0.40398834</v>
      </c>
    </row>
    <row r="13" spans="1:18">
      <c r="A13" s="15" t="s">
        <v>355</v>
      </c>
      <c r="B13" s="17" t="n">
        <v>7161</v>
      </c>
      <c r="C13" s="18">
        <f>(6320.0/B13*100)</f>
        <v/>
      </c>
      <c r="D13" s="19" t="n">
        <v>841</v>
      </c>
      <c r="E13" s="18" t="n">
        <v>65.25437933000001</v>
      </c>
      <c r="F13" s="20" t="n">
        <v>1.74464657</v>
      </c>
      <c r="G13" s="18" t="n">
        <v>33.09434806</v>
      </c>
      <c r="H13" s="20" t="n">
        <v>1.7547525</v>
      </c>
      <c r="I13" s="18" t="s">
        <v>349</v>
      </c>
      <c r="J13" s="20" t="s">
        <v>349</v>
      </c>
      <c r="K13" s="18" t="n">
        <v>0.86977544</v>
      </c>
      <c r="L13" s="20" t="n">
        <v>0.46262185</v>
      </c>
      <c r="M13" s="18" t="n">
        <v>0</v>
      </c>
      <c r="N13" s="20" t="n">
        <v>0</v>
      </c>
      <c r="O13" s="18" t="n">
        <v>0</v>
      </c>
      <c r="P13" s="20" t="n">
        <v>0</v>
      </c>
      <c r="Q13" s="18" t="n">
        <v>0.78149717</v>
      </c>
      <c r="R13" s="20" t="n">
        <v>0.33852218</v>
      </c>
    </row>
    <row r="14" spans="1:18">
      <c r="A14" s="15" t="s">
        <v>356</v>
      </c>
      <c r="B14" s="17" t="n">
        <v>5587</v>
      </c>
      <c r="C14" s="18">
        <f>(4904.0/B14*100)</f>
        <v/>
      </c>
      <c r="D14" s="19" t="n">
        <v>683</v>
      </c>
      <c r="E14" s="18" t="n">
        <v>72.29572478</v>
      </c>
      <c r="F14" s="20" t="n">
        <v>1.8199092</v>
      </c>
      <c r="G14" s="18" t="n">
        <v>26.48453436</v>
      </c>
      <c r="H14" s="20" t="n">
        <v>1.76302613</v>
      </c>
      <c r="I14" s="18" t="s">
        <v>349</v>
      </c>
      <c r="J14" s="20" t="s">
        <v>349</v>
      </c>
      <c r="K14" s="18" t="n">
        <v>0</v>
      </c>
      <c r="L14" s="20" t="n">
        <v>0</v>
      </c>
      <c r="M14" s="18" t="n">
        <v>0</v>
      </c>
      <c r="N14" s="20" t="n">
        <v>0</v>
      </c>
      <c r="O14" s="18" t="n">
        <v>0</v>
      </c>
      <c r="P14" s="20" t="n">
        <v>0</v>
      </c>
      <c r="Q14" s="18" t="n">
        <v>1.21974086</v>
      </c>
      <c r="R14" s="20" t="n">
        <v>0.50781378</v>
      </c>
    </row>
    <row r="15" spans="1:18">
      <c r="A15" s="15" t="s">
        <v>357</v>
      </c>
      <c r="B15" s="17" t="n">
        <v>5882</v>
      </c>
      <c r="C15" s="18">
        <f>(5178.0/B15*100)</f>
        <v/>
      </c>
      <c r="D15" s="19" t="n">
        <v>704</v>
      </c>
      <c r="E15" s="18" t="n">
        <v>76.65182741</v>
      </c>
      <c r="F15" s="20" t="n">
        <v>1.70647221</v>
      </c>
      <c r="G15" s="18" t="n">
        <v>21.81591785</v>
      </c>
      <c r="H15" s="20" t="n">
        <v>1.62244317</v>
      </c>
      <c r="I15" s="18" t="s">
        <v>349</v>
      </c>
      <c r="J15" s="20" t="s">
        <v>349</v>
      </c>
      <c r="K15" s="18" t="n">
        <v>0</v>
      </c>
      <c r="L15" s="20" t="n">
        <v>0</v>
      </c>
      <c r="M15" s="18" t="n">
        <v>0</v>
      </c>
      <c r="N15" s="20" t="n">
        <v>0</v>
      </c>
      <c r="O15" s="18" t="n">
        <v>0</v>
      </c>
      <c r="P15" s="20" t="n">
        <v>0</v>
      </c>
      <c r="Q15" s="18" t="n">
        <v>1.53225474</v>
      </c>
      <c r="R15" s="20" t="n">
        <v>0.48049464</v>
      </c>
    </row>
    <row r="16" spans="1:18">
      <c r="A16" s="15" t="s">
        <v>358</v>
      </c>
      <c r="B16" s="17" t="n">
        <v>6108</v>
      </c>
      <c r="C16" s="18">
        <f>(5360.0/B16*100)</f>
        <v/>
      </c>
      <c r="D16" s="19" t="n">
        <v>748</v>
      </c>
      <c r="E16" s="18" t="n">
        <v>64.84402159</v>
      </c>
      <c r="F16" s="20" t="n">
        <v>1.74933647</v>
      </c>
      <c r="G16" s="18" t="n">
        <v>33.53316885</v>
      </c>
      <c r="H16" s="20" t="n">
        <v>1.78693001</v>
      </c>
      <c r="I16" s="18" t="s">
        <v>349</v>
      </c>
      <c r="J16" s="20" t="s">
        <v>349</v>
      </c>
      <c r="K16" s="18" t="n">
        <v>0.14225797</v>
      </c>
      <c r="L16" s="20" t="n">
        <v>0.14314983</v>
      </c>
      <c r="M16" s="18" t="n">
        <v>0</v>
      </c>
      <c r="N16" s="20" t="n">
        <v>0</v>
      </c>
      <c r="O16" s="18" t="n">
        <v>0</v>
      </c>
      <c r="P16" s="20" t="n">
        <v>0</v>
      </c>
      <c r="Q16" s="18" t="n">
        <v>1.48055159</v>
      </c>
      <c r="R16" s="20" t="n">
        <v>0.5672357099999999</v>
      </c>
    </row>
    <row r="17" spans="1:18">
      <c r="A17" s="15" t="s">
        <v>359</v>
      </c>
      <c r="B17" s="17" t="n">
        <v>6504</v>
      </c>
      <c r="C17" s="18">
        <f>(5719.0/B17*100)</f>
        <v/>
      </c>
      <c r="D17" s="19" t="n">
        <v>785</v>
      </c>
      <c r="E17" s="18" t="n">
        <v>65.11875329</v>
      </c>
      <c r="F17" s="20" t="n">
        <v>1.89078987</v>
      </c>
      <c r="G17" s="18" t="n">
        <v>33.14838325</v>
      </c>
      <c r="H17" s="20" t="n">
        <v>1.86601144</v>
      </c>
      <c r="I17" s="18" t="s">
        <v>349</v>
      </c>
      <c r="J17" s="20" t="s">
        <v>349</v>
      </c>
      <c r="K17" s="18" t="n">
        <v>0</v>
      </c>
      <c r="L17" s="20" t="n">
        <v>0</v>
      </c>
      <c r="M17" s="18" t="n">
        <v>0</v>
      </c>
      <c r="N17" s="20" t="n">
        <v>0</v>
      </c>
      <c r="O17" s="18" t="n">
        <v>0</v>
      </c>
      <c r="P17" s="20" t="n">
        <v>0</v>
      </c>
      <c r="Q17" s="18" t="n">
        <v>1.73286346</v>
      </c>
      <c r="R17" s="20" t="n">
        <v>0.57386475</v>
      </c>
    </row>
    <row r="18" spans="1:18">
      <c r="A18" s="15" t="s">
        <v>360</v>
      </c>
      <c r="B18" s="17" t="n">
        <v>5532</v>
      </c>
      <c r="C18" s="18">
        <f>(4857.0/B18*100)</f>
        <v/>
      </c>
      <c r="D18" s="19" t="n">
        <v>675</v>
      </c>
      <c r="E18" s="18" t="n">
        <v>76.13201707</v>
      </c>
      <c r="F18" s="20" t="n">
        <v>1.58366523</v>
      </c>
      <c r="G18" s="18" t="n">
        <v>22.35163236</v>
      </c>
      <c r="H18" s="20" t="n">
        <v>1.62619962</v>
      </c>
      <c r="I18" s="18" t="s">
        <v>349</v>
      </c>
      <c r="J18" s="20" t="s">
        <v>349</v>
      </c>
      <c r="K18" s="18" t="n">
        <v>0</v>
      </c>
      <c r="L18" s="20" t="n">
        <v>0</v>
      </c>
      <c r="M18" s="18" t="n">
        <v>0</v>
      </c>
      <c r="N18" s="20" t="n">
        <v>0</v>
      </c>
      <c r="O18" s="18" t="n">
        <v>0</v>
      </c>
      <c r="P18" s="20" t="n">
        <v>0</v>
      </c>
      <c r="Q18" s="18" t="n">
        <v>1.51635057</v>
      </c>
      <c r="R18" s="20" t="n">
        <v>0.5689637400000001</v>
      </c>
    </row>
    <row r="19" spans="1:18">
      <c r="A19" s="15" t="s">
        <v>361</v>
      </c>
      <c r="B19" s="17" t="n">
        <v>5658</v>
      </c>
      <c r="C19" s="18">
        <f>(4967.0/B19*100)</f>
        <v/>
      </c>
      <c r="D19" s="19" t="n">
        <v>691</v>
      </c>
      <c r="E19" s="18" t="n">
        <v>67.78290378</v>
      </c>
      <c r="F19" s="20" t="n">
        <v>1.72083784</v>
      </c>
      <c r="G19" s="18" t="n">
        <v>30.43873065</v>
      </c>
      <c r="H19" s="20" t="n">
        <v>1.62678362</v>
      </c>
      <c r="I19" s="18" t="s">
        <v>349</v>
      </c>
      <c r="J19" s="20" t="s">
        <v>349</v>
      </c>
      <c r="K19" s="18" t="n">
        <v>0.11527475</v>
      </c>
      <c r="L19" s="20" t="n">
        <v>0.11650668</v>
      </c>
      <c r="M19" s="18" t="n">
        <v>0</v>
      </c>
      <c r="N19" s="20" t="n">
        <v>0</v>
      </c>
      <c r="O19" s="18" t="n">
        <v>0</v>
      </c>
      <c r="P19" s="20" t="n">
        <v>0</v>
      </c>
      <c r="Q19" s="18" t="n">
        <v>1.66309082</v>
      </c>
      <c r="R19" s="20" t="n">
        <v>0.5156643</v>
      </c>
    </row>
    <row r="20" spans="1:18">
      <c r="A20" s="15" t="s">
        <v>362</v>
      </c>
      <c r="B20" s="17" t="n">
        <v>3371</v>
      </c>
      <c r="C20" s="18">
        <f>(2949.0/B20*100)</f>
        <v/>
      </c>
      <c r="D20" s="19" t="n">
        <v>422</v>
      </c>
      <c r="E20" s="18" t="n">
        <v>66.84573189</v>
      </c>
      <c r="F20" s="20" t="n">
        <v>2.11090718</v>
      </c>
      <c r="G20" s="18" t="n">
        <v>30.2851052</v>
      </c>
      <c r="H20" s="20" t="n">
        <v>2.00101998</v>
      </c>
      <c r="I20" s="18" t="s">
        <v>349</v>
      </c>
      <c r="J20" s="20" t="s">
        <v>349</v>
      </c>
      <c r="K20" s="18" t="n">
        <v>0.22451467</v>
      </c>
      <c r="L20" s="20" t="n">
        <v>0.22442692</v>
      </c>
      <c r="M20" s="18" t="n">
        <v>0</v>
      </c>
      <c r="N20" s="20" t="n">
        <v>0</v>
      </c>
      <c r="O20" s="18" t="n">
        <v>0</v>
      </c>
      <c r="P20" s="20" t="n">
        <v>0</v>
      </c>
      <c r="Q20" s="18" t="n">
        <v>2.64464825</v>
      </c>
      <c r="R20" s="20" t="n">
        <v>0.7461196</v>
      </c>
    </row>
    <row r="21" spans="1:18">
      <c r="A21" s="15" t="s">
        <v>363</v>
      </c>
      <c r="B21" s="17" t="n">
        <v>5741</v>
      </c>
      <c r="C21" s="18">
        <f>(4756.0/B21*100)</f>
        <v/>
      </c>
      <c r="D21" s="19" t="n">
        <v>985</v>
      </c>
      <c r="E21" s="18" t="n">
        <v>56.40077919</v>
      </c>
      <c r="F21" s="20" t="n">
        <v>1.72558147</v>
      </c>
      <c r="G21" s="18" t="n">
        <v>42.28918326</v>
      </c>
      <c r="H21" s="20" t="n">
        <v>1.71477757</v>
      </c>
      <c r="I21" s="18" t="s">
        <v>349</v>
      </c>
      <c r="J21" s="20" t="s">
        <v>349</v>
      </c>
      <c r="K21" s="18" t="n">
        <v>0.09622247</v>
      </c>
      <c r="L21" s="20" t="n">
        <v>0.09618208</v>
      </c>
      <c r="M21" s="18" t="n">
        <v>0</v>
      </c>
      <c r="N21" s="20" t="n">
        <v>0</v>
      </c>
      <c r="O21" s="18" t="n">
        <v>0</v>
      </c>
      <c r="P21" s="20" t="n">
        <v>0</v>
      </c>
      <c r="Q21" s="18" t="n">
        <v>1.21381508</v>
      </c>
      <c r="R21" s="20" t="n">
        <v>0.30367138</v>
      </c>
    </row>
    <row r="22" spans="1:18">
      <c r="A22" s="15" t="s">
        <v>364</v>
      </c>
      <c r="B22" s="17" t="n">
        <v>6598</v>
      </c>
      <c r="C22" s="18">
        <f>(5737.0/B22*100)</f>
        <v/>
      </c>
      <c r="D22" s="19" t="n">
        <v>861</v>
      </c>
      <c r="E22" s="18" t="n">
        <v>71.08013586</v>
      </c>
      <c r="F22" s="20" t="n">
        <v>1.57880567</v>
      </c>
      <c r="G22" s="18" t="n">
        <v>25.50274421</v>
      </c>
      <c r="H22" s="20" t="n">
        <v>1.66362546</v>
      </c>
      <c r="I22" s="18" t="s">
        <v>349</v>
      </c>
      <c r="J22" s="20" t="s">
        <v>349</v>
      </c>
      <c r="K22" s="18" t="n">
        <v>0.76136986</v>
      </c>
      <c r="L22" s="20" t="n">
        <v>0.36041633</v>
      </c>
      <c r="M22" s="18" t="n">
        <v>0</v>
      </c>
      <c r="N22" s="20" t="n">
        <v>0</v>
      </c>
      <c r="O22" s="18" t="n">
        <v>0</v>
      </c>
      <c r="P22" s="20" t="n">
        <v>0</v>
      </c>
      <c r="Q22" s="18" t="n">
        <v>2.65575007</v>
      </c>
      <c r="R22" s="20" t="n">
        <v>0.8712597</v>
      </c>
    </row>
    <row r="23" spans="1:18">
      <c r="A23" s="15" t="s">
        <v>365</v>
      </c>
      <c r="B23" s="17" t="n">
        <v>11583</v>
      </c>
      <c r="C23" s="18">
        <f>(10171.0/B23*100)</f>
        <v/>
      </c>
      <c r="D23" s="19" t="n">
        <v>1412</v>
      </c>
      <c r="E23" s="18" t="n">
        <v>64.16426116</v>
      </c>
      <c r="F23" s="20" t="n">
        <v>1.6302714</v>
      </c>
      <c r="G23" s="18" t="n">
        <v>33.00564154</v>
      </c>
      <c r="H23" s="20" t="n">
        <v>1.58131338</v>
      </c>
      <c r="I23" s="18" t="s">
        <v>349</v>
      </c>
      <c r="J23" s="20" t="s">
        <v>349</v>
      </c>
      <c r="K23" s="18" t="n">
        <v>0.18957105</v>
      </c>
      <c r="L23" s="20" t="n">
        <v>0.1592042</v>
      </c>
      <c r="M23" s="18" t="n">
        <v>0</v>
      </c>
      <c r="N23" s="20" t="n">
        <v>0</v>
      </c>
      <c r="O23" s="18" t="n">
        <v>0</v>
      </c>
      <c r="P23" s="20" t="n">
        <v>0</v>
      </c>
      <c r="Q23" s="18" t="n">
        <v>2.64052625</v>
      </c>
      <c r="R23" s="20" t="n">
        <v>0.68570911</v>
      </c>
    </row>
    <row r="24" spans="1:18">
      <c r="A24" s="15" t="s">
        <v>366</v>
      </c>
      <c r="B24" s="17" t="n">
        <v>6647</v>
      </c>
      <c r="C24" s="18">
        <f>(5846.0/B24*100)</f>
        <v/>
      </c>
      <c r="D24" s="19" t="n">
        <v>801</v>
      </c>
      <c r="E24" s="18" t="n">
        <v>53.04642978</v>
      </c>
      <c r="F24" s="20" t="n">
        <v>2.25518936</v>
      </c>
      <c r="G24" s="18" t="n">
        <v>45.80978622</v>
      </c>
      <c r="H24" s="20" t="n">
        <v>2.30322238</v>
      </c>
      <c r="I24" s="18" t="s">
        <v>349</v>
      </c>
      <c r="J24" s="20" t="s">
        <v>349</v>
      </c>
      <c r="K24" s="18" t="n">
        <v>0.11607671</v>
      </c>
      <c r="L24" s="20" t="n">
        <v>0.11785017</v>
      </c>
      <c r="M24" s="18" t="n">
        <v>0</v>
      </c>
      <c r="N24" s="20" t="n">
        <v>0</v>
      </c>
      <c r="O24" s="18" t="n">
        <v>0</v>
      </c>
      <c r="P24" s="20" t="n">
        <v>0</v>
      </c>
      <c r="Q24" s="18" t="n">
        <v>1.0277073</v>
      </c>
      <c r="R24" s="20" t="n">
        <v>0.36605456</v>
      </c>
    </row>
    <row r="25" spans="1:18">
      <c r="A25" s="15" t="s">
        <v>367</v>
      </c>
      <c r="B25" s="17" t="n">
        <v>5581</v>
      </c>
      <c r="C25" s="18">
        <f>(4896.0/B25*100)</f>
        <v/>
      </c>
      <c r="D25" s="19" t="n">
        <v>685</v>
      </c>
      <c r="E25" s="18" t="n">
        <v>53.72748045</v>
      </c>
      <c r="F25" s="20" t="n">
        <v>1.69522615</v>
      </c>
      <c r="G25" s="18" t="n">
        <v>44.86818129</v>
      </c>
      <c r="H25" s="20" t="n">
        <v>1.74671992</v>
      </c>
      <c r="I25" s="18" t="s">
        <v>349</v>
      </c>
      <c r="J25" s="20" t="s">
        <v>349</v>
      </c>
      <c r="K25" s="18" t="n">
        <v>0.28324231</v>
      </c>
      <c r="L25" s="20" t="n">
        <v>0.2418505</v>
      </c>
      <c r="M25" s="18" t="n">
        <v>0</v>
      </c>
      <c r="N25" s="20" t="n">
        <v>0</v>
      </c>
      <c r="O25" s="18" t="n">
        <v>0</v>
      </c>
      <c r="P25" s="20" t="n">
        <v>0</v>
      </c>
      <c r="Q25" s="18" t="n">
        <v>1.12109595</v>
      </c>
      <c r="R25" s="20" t="n">
        <v>0.43353877</v>
      </c>
    </row>
    <row r="26" spans="1:18">
      <c r="A26" s="15" t="s">
        <v>368</v>
      </c>
      <c r="B26" s="17" t="n">
        <v>4869</v>
      </c>
      <c r="C26" s="18">
        <f>(4276.0/B26*100)</f>
        <v/>
      </c>
      <c r="D26" s="19" t="n">
        <v>593</v>
      </c>
      <c r="E26" s="18" t="n">
        <v>73.62572972</v>
      </c>
      <c r="F26" s="20" t="n">
        <v>2.03565976</v>
      </c>
      <c r="G26" s="18" t="n">
        <v>25.13786056</v>
      </c>
      <c r="H26" s="20" t="n">
        <v>2.06393219</v>
      </c>
      <c r="I26" s="18" t="s">
        <v>349</v>
      </c>
      <c r="J26" s="20" t="s">
        <v>349</v>
      </c>
      <c r="K26" s="18" t="n">
        <v>0</v>
      </c>
      <c r="L26" s="20" t="n">
        <v>0</v>
      </c>
      <c r="M26" s="18" t="n">
        <v>0</v>
      </c>
      <c r="N26" s="20" t="n">
        <v>0</v>
      </c>
      <c r="O26" s="18" t="n">
        <v>0</v>
      </c>
      <c r="P26" s="20" t="n">
        <v>0</v>
      </c>
      <c r="Q26" s="18" t="n">
        <v>1.23640972</v>
      </c>
      <c r="R26" s="20" t="n">
        <v>0.50806487</v>
      </c>
    </row>
    <row r="27" spans="1:18">
      <c r="A27" s="15" t="s">
        <v>369</v>
      </c>
      <c r="B27" s="17" t="n">
        <v>5299</v>
      </c>
      <c r="C27" s="18">
        <f>(4653.0/B27*100)</f>
        <v/>
      </c>
      <c r="D27" s="19" t="n">
        <v>646</v>
      </c>
      <c r="E27" s="18" t="n">
        <v>73.69194410999999</v>
      </c>
      <c r="F27" s="20" t="n">
        <v>1.68046015</v>
      </c>
      <c r="G27" s="18" t="n">
        <v>25.07490129</v>
      </c>
      <c r="H27" s="20" t="n">
        <v>1.6676704</v>
      </c>
      <c r="I27" s="18" t="s">
        <v>349</v>
      </c>
      <c r="J27" s="20" t="s">
        <v>349</v>
      </c>
      <c r="K27" s="18" t="n">
        <v>0</v>
      </c>
      <c r="L27" s="20" t="n">
        <v>0</v>
      </c>
      <c r="M27" s="18" t="n">
        <v>0</v>
      </c>
      <c r="N27" s="20" t="n">
        <v>0</v>
      </c>
      <c r="O27" s="18" t="n">
        <v>0</v>
      </c>
      <c r="P27" s="20" t="n">
        <v>0</v>
      </c>
      <c r="Q27" s="18" t="n">
        <v>1.2331546</v>
      </c>
      <c r="R27" s="20" t="n">
        <v>0.48802434</v>
      </c>
    </row>
    <row r="28" spans="1:18">
      <c r="A28" s="15" t="s">
        <v>370</v>
      </c>
      <c r="B28" s="17" t="n">
        <v>7568</v>
      </c>
      <c r="C28" s="18">
        <f>(6623.0/B28*100)</f>
        <v/>
      </c>
      <c r="D28" s="19" t="n">
        <v>945</v>
      </c>
      <c r="E28" s="18" t="n">
        <v>72.68162255999999</v>
      </c>
      <c r="F28" s="20" t="n">
        <v>1.77215334</v>
      </c>
      <c r="G28" s="18" t="n">
        <v>25.28477029</v>
      </c>
      <c r="H28" s="20" t="n">
        <v>1.67147229</v>
      </c>
      <c r="I28" s="18" t="s">
        <v>349</v>
      </c>
      <c r="J28" s="20" t="s">
        <v>349</v>
      </c>
      <c r="K28" s="18" t="n">
        <v>0.08020945</v>
      </c>
      <c r="L28" s="20" t="n">
        <v>0.08058214</v>
      </c>
      <c r="M28" s="18" t="n">
        <v>0</v>
      </c>
      <c r="N28" s="20" t="n">
        <v>0</v>
      </c>
      <c r="O28" s="18" t="n">
        <v>0</v>
      </c>
      <c r="P28" s="20" t="n">
        <v>0</v>
      </c>
      <c r="Q28" s="18" t="n">
        <v>1.9533977</v>
      </c>
      <c r="R28" s="20" t="n">
        <v>0.51820022</v>
      </c>
    </row>
    <row r="29" spans="1:18">
      <c r="A29" s="15" t="s">
        <v>371</v>
      </c>
      <c r="B29" s="17" t="n">
        <v>5385</v>
      </c>
      <c r="C29" s="18">
        <f>(4732.0/B29*100)</f>
        <v/>
      </c>
      <c r="D29" s="19" t="n">
        <v>653</v>
      </c>
      <c r="E29" s="18" t="n">
        <v>68.42050881999999</v>
      </c>
      <c r="F29" s="20" t="n">
        <v>1.83492164</v>
      </c>
      <c r="G29" s="18" t="n">
        <v>30.52331399</v>
      </c>
      <c r="H29" s="20" t="n">
        <v>1.76063779</v>
      </c>
      <c r="I29" s="18" t="s">
        <v>349</v>
      </c>
      <c r="J29" s="20" t="s">
        <v>349</v>
      </c>
      <c r="K29" s="18" t="n">
        <v>0.49957536</v>
      </c>
      <c r="L29" s="20" t="n">
        <v>0.25814165</v>
      </c>
      <c r="M29" s="18" t="n">
        <v>0</v>
      </c>
      <c r="N29" s="20" t="n">
        <v>0</v>
      </c>
      <c r="O29" s="18" t="n">
        <v>0</v>
      </c>
      <c r="P29" s="20" t="n">
        <v>0</v>
      </c>
      <c r="Q29" s="18" t="n">
        <v>0.55660183</v>
      </c>
      <c r="R29" s="20" t="n">
        <v>0.40135841</v>
      </c>
    </row>
    <row r="30" spans="1:18">
      <c r="A30" s="15" t="s">
        <v>372</v>
      </c>
      <c r="B30" s="17" t="n">
        <v>4520</v>
      </c>
      <c r="C30" s="18">
        <f>(3969.0/B30*100)</f>
        <v/>
      </c>
      <c r="D30" s="19" t="n">
        <v>551</v>
      </c>
      <c r="E30" s="18" t="n">
        <v>57.91628317</v>
      </c>
      <c r="F30" s="20" t="n">
        <v>2.25254028</v>
      </c>
      <c r="G30" s="18" t="n">
        <v>40.2391867</v>
      </c>
      <c r="H30" s="20" t="n">
        <v>2.21294496</v>
      </c>
      <c r="I30" s="18" t="s">
        <v>349</v>
      </c>
      <c r="J30" s="20" t="s">
        <v>349</v>
      </c>
      <c r="K30" s="18" t="n">
        <v>0</v>
      </c>
      <c r="L30" s="20" t="n">
        <v>0</v>
      </c>
      <c r="M30" s="18" t="n">
        <v>0</v>
      </c>
      <c r="N30" s="20" t="n">
        <v>0</v>
      </c>
      <c r="O30" s="18" t="n">
        <v>0</v>
      </c>
      <c r="P30" s="20" t="n">
        <v>0</v>
      </c>
      <c r="Q30" s="18" t="n">
        <v>1.84453014</v>
      </c>
      <c r="R30" s="20" t="n">
        <v>0.52328187</v>
      </c>
    </row>
    <row r="31" spans="1:18">
      <c r="A31" s="15" t="s">
        <v>373</v>
      </c>
      <c r="B31" s="17" t="n">
        <v>5456</v>
      </c>
      <c r="C31" s="18">
        <f>(4805.0/B31*100)</f>
        <v/>
      </c>
      <c r="D31" s="19" t="n">
        <v>651</v>
      </c>
      <c r="E31" s="18" t="n">
        <v>67.25175211</v>
      </c>
      <c r="F31" s="20" t="n">
        <v>1.85297373</v>
      </c>
      <c r="G31" s="18" t="n">
        <v>30.63029748</v>
      </c>
      <c r="H31" s="20" t="n">
        <v>1.8480366</v>
      </c>
      <c r="I31" s="18" t="s">
        <v>349</v>
      </c>
      <c r="J31" s="20" t="s">
        <v>349</v>
      </c>
      <c r="K31" s="18" t="n">
        <v>0.3597799</v>
      </c>
      <c r="L31" s="20" t="n">
        <v>0.28413936</v>
      </c>
      <c r="M31" s="18" t="n">
        <v>0</v>
      </c>
      <c r="N31" s="20" t="n">
        <v>0</v>
      </c>
      <c r="O31" s="18" t="n">
        <v>0</v>
      </c>
      <c r="P31" s="20" t="n">
        <v>0</v>
      </c>
      <c r="Q31" s="18" t="n">
        <v>1.75817051</v>
      </c>
      <c r="R31" s="20" t="n">
        <v>0.55917798</v>
      </c>
    </row>
    <row r="32" spans="1:18">
      <c r="A32" s="15" t="s">
        <v>374</v>
      </c>
      <c r="B32" s="17" t="n">
        <v>4478</v>
      </c>
      <c r="C32" s="18">
        <f>(3702.0/B32*100)</f>
        <v/>
      </c>
      <c r="D32" s="19" t="n">
        <v>776</v>
      </c>
      <c r="E32" s="18" t="n">
        <v>51.03484937</v>
      </c>
      <c r="F32" s="20" t="n">
        <v>1.71861254</v>
      </c>
      <c r="G32" s="18" t="n">
        <v>47.63824045</v>
      </c>
      <c r="H32" s="20" t="n">
        <v>1.68405391</v>
      </c>
      <c r="I32" s="18" t="s">
        <v>349</v>
      </c>
      <c r="J32" s="20" t="s">
        <v>349</v>
      </c>
      <c r="K32" s="18" t="n">
        <v>0.12910101</v>
      </c>
      <c r="L32" s="20" t="n">
        <v>0.12907019</v>
      </c>
      <c r="M32" s="18" t="n">
        <v>0</v>
      </c>
      <c r="N32" s="20" t="n">
        <v>0</v>
      </c>
      <c r="O32" s="18" t="n">
        <v>0</v>
      </c>
      <c r="P32" s="20" t="n">
        <v>0</v>
      </c>
      <c r="Q32" s="18" t="n">
        <v>1.19780917</v>
      </c>
      <c r="R32" s="20" t="n">
        <v>0.40737245</v>
      </c>
    </row>
    <row r="33" spans="1:18">
      <c r="A33" s="15" t="s">
        <v>375</v>
      </c>
      <c r="B33" s="17" t="n">
        <v>7325</v>
      </c>
      <c r="C33" s="18">
        <f>(6446.0/B33*100)</f>
        <v/>
      </c>
      <c r="D33" s="19" t="n">
        <v>879</v>
      </c>
      <c r="E33" s="18" t="n">
        <v>52.19784791</v>
      </c>
      <c r="F33" s="20" t="n">
        <v>1.95125638</v>
      </c>
      <c r="G33" s="18" t="n">
        <v>46.13590298</v>
      </c>
      <c r="H33" s="20" t="n">
        <v>1.9073692</v>
      </c>
      <c r="I33" s="18" t="s">
        <v>349</v>
      </c>
      <c r="J33" s="20" t="s">
        <v>349</v>
      </c>
      <c r="K33" s="18" t="n">
        <v>0.34468423</v>
      </c>
      <c r="L33" s="20" t="n">
        <v>0.40135083</v>
      </c>
      <c r="M33" s="18" t="n">
        <v>0</v>
      </c>
      <c r="N33" s="20" t="n">
        <v>0</v>
      </c>
      <c r="O33" s="18" t="n">
        <v>0</v>
      </c>
      <c r="P33" s="20" t="n">
        <v>0</v>
      </c>
      <c r="Q33" s="18" t="n">
        <v>1.32156488</v>
      </c>
      <c r="R33" s="20" t="n">
        <v>0.53096226</v>
      </c>
    </row>
    <row r="34" spans="1:18">
      <c r="A34" s="15" t="s">
        <v>376</v>
      </c>
      <c r="B34" s="17" t="n">
        <v>6350</v>
      </c>
      <c r="C34" s="18">
        <f>(5561.0/B34*100)</f>
        <v/>
      </c>
      <c r="D34" s="19" t="n">
        <v>789</v>
      </c>
      <c r="E34" s="18" t="n">
        <v>68.03454816999999</v>
      </c>
      <c r="F34" s="20" t="n">
        <v>1.76068588</v>
      </c>
      <c r="G34" s="18" t="n">
        <v>29.36776848</v>
      </c>
      <c r="H34" s="20" t="n">
        <v>1.65467115</v>
      </c>
      <c r="I34" s="18" t="s">
        <v>349</v>
      </c>
      <c r="J34" s="20" t="s">
        <v>349</v>
      </c>
      <c r="K34" s="18" t="n">
        <v>0.1020181</v>
      </c>
      <c r="L34" s="20" t="n">
        <v>0.1023443</v>
      </c>
      <c r="M34" s="18" t="n">
        <v>0</v>
      </c>
      <c r="N34" s="20" t="n">
        <v>0</v>
      </c>
      <c r="O34" s="18" t="n">
        <v>0</v>
      </c>
      <c r="P34" s="20" t="n">
        <v>0</v>
      </c>
      <c r="Q34" s="18" t="n">
        <v>2.49566526</v>
      </c>
      <c r="R34" s="20" t="n">
        <v>0.54531219</v>
      </c>
    </row>
    <row r="35" spans="1:18">
      <c r="A35" s="15" t="s">
        <v>377</v>
      </c>
      <c r="B35" s="17" t="n">
        <v>6406</v>
      </c>
      <c r="C35" s="18">
        <f>(5641.0/B35*100)</f>
        <v/>
      </c>
      <c r="D35" s="19" t="n">
        <v>765</v>
      </c>
      <c r="E35" s="18" t="n">
        <v>48.44151359</v>
      </c>
      <c r="F35" s="20" t="n">
        <v>2.3070068</v>
      </c>
      <c r="G35" s="18" t="n">
        <v>50.39306072</v>
      </c>
      <c r="H35" s="20" t="n">
        <v>2.30843897</v>
      </c>
      <c r="I35" s="18" t="s">
        <v>349</v>
      </c>
      <c r="J35" s="20" t="s">
        <v>349</v>
      </c>
      <c r="K35" s="18" t="n">
        <v>0.06330577</v>
      </c>
      <c r="L35" s="20" t="n">
        <v>0.06342717</v>
      </c>
      <c r="M35" s="18" t="n">
        <v>0</v>
      </c>
      <c r="N35" s="20" t="n">
        <v>0</v>
      </c>
      <c r="O35" s="18" t="n">
        <v>0</v>
      </c>
      <c r="P35" s="20" t="n">
        <v>0</v>
      </c>
      <c r="Q35" s="18" t="n">
        <v>1.10211992</v>
      </c>
      <c r="R35" s="20" t="n">
        <v>0.36928378</v>
      </c>
    </row>
    <row r="36" spans="1:18">
      <c r="A36" s="15" t="s">
        <v>378</v>
      </c>
      <c r="B36" s="17" t="n">
        <v>6736</v>
      </c>
      <c r="C36" s="18">
        <f>(5896.0/B36*100)</f>
        <v/>
      </c>
      <c r="D36" s="19" t="n">
        <v>840</v>
      </c>
      <c r="E36" s="18" t="n">
        <v>64.54961578</v>
      </c>
      <c r="F36" s="20" t="n">
        <v>1.58916163</v>
      </c>
      <c r="G36" s="18" t="n">
        <v>32.78870425</v>
      </c>
      <c r="H36" s="20" t="n">
        <v>1.71712782</v>
      </c>
      <c r="I36" s="18" t="s">
        <v>349</v>
      </c>
      <c r="J36" s="20" t="s">
        <v>349</v>
      </c>
      <c r="K36" s="18" t="n">
        <v>0.31639821</v>
      </c>
      <c r="L36" s="20" t="n">
        <v>0.19950738</v>
      </c>
      <c r="M36" s="18" t="n">
        <v>0</v>
      </c>
      <c r="N36" s="20" t="n">
        <v>0</v>
      </c>
      <c r="O36" s="18" t="n">
        <v>0</v>
      </c>
      <c r="P36" s="20" t="n">
        <v>0</v>
      </c>
      <c r="Q36" s="18" t="n">
        <v>2.34528176</v>
      </c>
      <c r="R36" s="20" t="n">
        <v>0.67622798</v>
      </c>
    </row>
    <row r="37" spans="1:18">
      <c r="A37" s="15" t="s">
        <v>379</v>
      </c>
      <c r="B37" s="17" t="n">
        <v>5458</v>
      </c>
      <c r="C37" s="18">
        <f>(4795.0/B37*100)</f>
        <v/>
      </c>
      <c r="D37" s="19" t="n">
        <v>663</v>
      </c>
      <c r="E37" s="18" t="n">
        <v>77.3813614</v>
      </c>
      <c r="F37" s="20" t="n">
        <v>1.48571129</v>
      </c>
      <c r="G37" s="18" t="n">
        <v>19.0546654</v>
      </c>
      <c r="H37" s="20" t="n">
        <v>1.49942391</v>
      </c>
      <c r="I37" s="18" t="s">
        <v>349</v>
      </c>
      <c r="J37" s="20" t="s">
        <v>349</v>
      </c>
      <c r="K37" s="18" t="n">
        <v>0.30512087</v>
      </c>
      <c r="L37" s="20" t="n">
        <v>0.24919185</v>
      </c>
      <c r="M37" s="18" t="n">
        <v>0</v>
      </c>
      <c r="N37" s="20" t="n">
        <v>0</v>
      </c>
      <c r="O37" s="18" t="n">
        <v>0</v>
      </c>
      <c r="P37" s="20" t="n">
        <v>0</v>
      </c>
      <c r="Q37" s="18" t="n">
        <v>3.25885234</v>
      </c>
      <c r="R37" s="20" t="n">
        <v>0.63147954</v>
      </c>
    </row>
    <row r="38" spans="1:18">
      <c r="A38" s="15" t="s">
        <v>380</v>
      </c>
      <c r="B38" s="17" t="n">
        <v>5860</v>
      </c>
      <c r="C38" s="18">
        <f>(4852.0/B38*100)</f>
        <v/>
      </c>
      <c r="D38" s="19" t="n">
        <v>1008</v>
      </c>
      <c r="E38" s="18" t="n">
        <v>69.06988140999999</v>
      </c>
      <c r="F38" s="20" t="n">
        <v>1.71436398</v>
      </c>
      <c r="G38" s="18" t="n">
        <v>29.17727341</v>
      </c>
      <c r="H38" s="20" t="n">
        <v>1.68514825</v>
      </c>
      <c r="I38" s="18" t="s">
        <v>349</v>
      </c>
      <c r="J38" s="20" t="s">
        <v>349</v>
      </c>
      <c r="K38" s="18" t="n">
        <v>0.09615546</v>
      </c>
      <c r="L38" s="20" t="n">
        <v>0.10379632</v>
      </c>
      <c r="M38" s="18" t="n">
        <v>0</v>
      </c>
      <c r="N38" s="20" t="n">
        <v>0</v>
      </c>
      <c r="O38" s="18" t="n">
        <v>0</v>
      </c>
      <c r="P38" s="20" t="n">
        <v>0</v>
      </c>
      <c r="Q38" s="18" t="n">
        <v>1.65668972</v>
      </c>
      <c r="R38" s="20" t="n">
        <v>0.45612551</v>
      </c>
    </row>
    <row r="39" spans="1:18">
      <c r="A39" s="15" t="s">
        <v>381</v>
      </c>
      <c r="B39" s="17" t="n">
        <v>5895</v>
      </c>
      <c r="C39" s="18">
        <f>(5181.0/B39*100)</f>
        <v/>
      </c>
      <c r="D39" s="19" t="n">
        <v>714</v>
      </c>
      <c r="E39" s="18" t="n">
        <v>83.00984870000001</v>
      </c>
      <c r="F39" s="20" t="n">
        <v>1.28226945</v>
      </c>
      <c r="G39" s="18" t="n">
        <v>15.62828093</v>
      </c>
      <c r="H39" s="20" t="n">
        <v>1.20899865</v>
      </c>
      <c r="I39" s="18" t="s">
        <v>349</v>
      </c>
      <c r="J39" s="20" t="s">
        <v>349</v>
      </c>
      <c r="K39" s="18" t="n">
        <v>0</v>
      </c>
      <c r="L39" s="20" t="n">
        <v>0</v>
      </c>
      <c r="M39" s="18" t="n">
        <v>0</v>
      </c>
      <c r="N39" s="20" t="n">
        <v>0</v>
      </c>
      <c r="O39" s="18" t="n">
        <v>0</v>
      </c>
      <c r="P39" s="20" t="n">
        <v>0</v>
      </c>
      <c r="Q39" s="18" t="n">
        <v>1.36187037</v>
      </c>
      <c r="R39" s="20" t="n">
        <v>0.36413453</v>
      </c>
    </row>
    <row r="40" spans="1:18">
      <c r="A40" s="15" t="s">
        <v>382</v>
      </c>
      <c r="B40" s="17" t="n">
        <v>14157</v>
      </c>
      <c r="C40" s="18">
        <f>(12405.0/B40*100)</f>
        <v/>
      </c>
      <c r="D40" s="19" t="n">
        <v>1752</v>
      </c>
      <c r="E40" s="18" t="n">
        <v>57.07585417</v>
      </c>
      <c r="F40" s="20" t="n">
        <v>2.12683047</v>
      </c>
      <c r="G40" s="18" t="n">
        <v>41.09174427</v>
      </c>
      <c r="H40" s="20" t="n">
        <v>2.09262015</v>
      </c>
      <c r="I40" s="18" t="s">
        <v>349</v>
      </c>
      <c r="J40" s="20" t="s">
        <v>349</v>
      </c>
      <c r="K40" s="18" t="n">
        <v>0.00655705</v>
      </c>
      <c r="L40" s="20" t="n">
        <v>0.00659238</v>
      </c>
      <c r="M40" s="18" t="n">
        <v>0</v>
      </c>
      <c r="N40" s="20" t="n">
        <v>0</v>
      </c>
      <c r="O40" s="18" t="n">
        <v>0</v>
      </c>
      <c r="P40" s="20" t="n">
        <v>0</v>
      </c>
      <c r="Q40" s="18" t="n">
        <v>1.82584451</v>
      </c>
      <c r="R40" s="20" t="n">
        <v>0.46969495</v>
      </c>
    </row>
    <row r="41" spans="1:18">
      <c r="A41" s="15" t="s">
        <v>383</v>
      </c>
      <c r="B41" s="17" t="n">
        <v>5712</v>
      </c>
      <c r="C41" s="18">
        <f>(5010.0/B41*100)</f>
        <v/>
      </c>
      <c r="D41" s="19" t="n">
        <v>702</v>
      </c>
      <c r="E41" s="18" t="n">
        <v>62.40157733</v>
      </c>
      <c r="F41" s="20" t="n">
        <v>1.67469675</v>
      </c>
      <c r="G41" s="18" t="n">
        <v>36.12439743</v>
      </c>
      <c r="H41" s="20" t="n">
        <v>1.7687691</v>
      </c>
      <c r="I41" s="18" t="s">
        <v>349</v>
      </c>
      <c r="J41" s="20" t="s">
        <v>349</v>
      </c>
      <c r="K41" s="18" t="n">
        <v>0</v>
      </c>
      <c r="L41" s="20" t="n">
        <v>0</v>
      </c>
      <c r="M41" s="18" t="n">
        <v>0</v>
      </c>
      <c r="N41" s="20" t="n">
        <v>0</v>
      </c>
      <c r="O41" s="18" t="n">
        <v>0</v>
      </c>
      <c r="P41" s="20" t="n">
        <v>0</v>
      </c>
      <c r="Q41" s="18" t="n">
        <v>1.47402524</v>
      </c>
      <c r="R41" s="20" t="n">
        <v>0.59574829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(20421.0/B46*100)</f>
        <v/>
      </c>
      <c r="D46" s="19" t="n">
        <v>2720</v>
      </c>
      <c r="E46" s="18" t="n">
        <v>77.14404248</v>
      </c>
      <c r="F46" s="20" t="n">
        <v>1.1890275</v>
      </c>
      <c r="G46" s="18" t="n">
        <v>17.91248822</v>
      </c>
      <c r="H46" s="20" t="n">
        <v>1.15115147</v>
      </c>
      <c r="I46" s="18" t="s">
        <v>349</v>
      </c>
      <c r="J46" s="20" t="s">
        <v>349</v>
      </c>
      <c r="K46" s="18" t="n">
        <v>0.42117955</v>
      </c>
      <c r="L46" s="20" t="n">
        <v>0.17181858</v>
      </c>
      <c r="M46" s="18" t="n">
        <v>0</v>
      </c>
      <c r="N46" s="20" t="n">
        <v>0</v>
      </c>
      <c r="O46" s="18" t="n">
        <v>0</v>
      </c>
      <c r="P46" s="20" t="n">
        <v>0</v>
      </c>
      <c r="Q46" s="18" t="n">
        <v>4.52228975</v>
      </c>
      <c r="R46" s="20" t="n">
        <v>0.5373785800000001</v>
      </c>
    </row>
    <row r="47" spans="1:18">
      <c r="A47" s="15" t="s">
        <v>389</v>
      </c>
      <c r="B47" s="17" t="n">
        <v>5928</v>
      </c>
      <c r="C47" s="18">
        <f>(5183.0/B47*100)</f>
        <v/>
      </c>
      <c r="D47" s="19" t="n">
        <v>745</v>
      </c>
      <c r="E47" s="18" t="n">
        <v>78.73425086</v>
      </c>
      <c r="F47" s="20" t="n">
        <v>1.45750195</v>
      </c>
      <c r="G47" s="18" t="n">
        <v>17.33996891</v>
      </c>
      <c r="H47" s="20" t="n">
        <v>1.48668044</v>
      </c>
      <c r="I47" s="18" t="s">
        <v>349</v>
      </c>
      <c r="J47" s="20" t="s">
        <v>349</v>
      </c>
      <c r="K47" s="18" t="n">
        <v>0</v>
      </c>
      <c r="L47" s="20" t="n">
        <v>0</v>
      </c>
      <c r="M47" s="18" t="n">
        <v>0</v>
      </c>
      <c r="N47" s="20" t="n">
        <v>0</v>
      </c>
      <c r="O47" s="18" t="n">
        <v>0</v>
      </c>
      <c r="P47" s="20" t="n">
        <v>0</v>
      </c>
      <c r="Q47" s="18" t="n">
        <v>3.92578024</v>
      </c>
      <c r="R47" s="20" t="n">
        <v>0.78219567</v>
      </c>
    </row>
    <row r="48" spans="1:18">
      <c r="A48" s="15" t="s">
        <v>390</v>
      </c>
      <c r="B48" s="17" t="n">
        <v>9841</v>
      </c>
      <c r="C48" s="18">
        <f>(8661.0/B48*100)</f>
        <v/>
      </c>
      <c r="D48" s="19" t="n">
        <v>1180</v>
      </c>
      <c r="E48" s="18" t="n">
        <v>71.0851815</v>
      </c>
      <c r="F48" s="20" t="n">
        <v>1.92155268</v>
      </c>
      <c r="G48" s="18" t="n">
        <v>27.18811131</v>
      </c>
      <c r="H48" s="20" t="n">
        <v>1.88552022</v>
      </c>
      <c r="I48" s="18" t="s">
        <v>349</v>
      </c>
      <c r="J48" s="20" t="s">
        <v>349</v>
      </c>
      <c r="K48" s="18" t="n">
        <v>0.44109485</v>
      </c>
      <c r="L48" s="20" t="n">
        <v>0.32686015</v>
      </c>
      <c r="M48" s="18" t="n">
        <v>0</v>
      </c>
      <c r="N48" s="20" t="n">
        <v>0</v>
      </c>
      <c r="O48" s="18" t="n">
        <v>0</v>
      </c>
      <c r="P48" s="20" t="n">
        <v>0</v>
      </c>
      <c r="Q48" s="18" t="n">
        <v>1.28561234</v>
      </c>
      <c r="R48" s="20" t="n">
        <v>0.41649904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(10373.0/B50*100)</f>
        <v/>
      </c>
      <c r="D50" s="19" t="n">
        <v>1422</v>
      </c>
      <c r="E50" s="18" t="n">
        <v>79.81521746</v>
      </c>
      <c r="F50" s="20" t="n">
        <v>1.58223966</v>
      </c>
      <c r="G50" s="18" t="n">
        <v>16.97529017</v>
      </c>
      <c r="H50" s="20" t="n">
        <v>1.37751712</v>
      </c>
      <c r="I50" s="18" t="s">
        <v>349</v>
      </c>
      <c r="J50" s="20" t="s">
        <v>349</v>
      </c>
      <c r="K50" s="18" t="n">
        <v>0.714263</v>
      </c>
      <c r="L50" s="20" t="n">
        <v>0.55600261</v>
      </c>
      <c r="M50" s="18" t="n">
        <v>0</v>
      </c>
      <c r="N50" s="20" t="n">
        <v>0</v>
      </c>
      <c r="O50" s="18" t="n">
        <v>0</v>
      </c>
      <c r="P50" s="20" t="n">
        <v>0</v>
      </c>
      <c r="Q50" s="18" t="n">
        <v>2.49522937</v>
      </c>
      <c r="R50" s="20" t="n">
        <v>0.6418058</v>
      </c>
    </row>
    <row r="51" spans="1:18">
      <c r="A51" s="15" t="s">
        <v>393</v>
      </c>
      <c r="B51" s="17" t="n">
        <v>6866</v>
      </c>
      <c r="C51" s="18">
        <f>(6124.0/B51*100)</f>
        <v/>
      </c>
      <c r="D51" s="19" t="n">
        <v>742</v>
      </c>
      <c r="E51" s="18" t="n">
        <v>79.76478064</v>
      </c>
      <c r="F51" s="20" t="n">
        <v>1.49761034</v>
      </c>
      <c r="G51" s="18" t="n">
        <v>17.47282512</v>
      </c>
      <c r="H51" s="20" t="n">
        <v>1.42576225</v>
      </c>
      <c r="I51" s="18" t="s">
        <v>349</v>
      </c>
      <c r="J51" s="20" t="s">
        <v>349</v>
      </c>
      <c r="K51" s="18" t="n">
        <v>0.02157086</v>
      </c>
      <c r="L51" s="20" t="n">
        <v>0.02173715</v>
      </c>
      <c r="M51" s="18" t="n">
        <v>0</v>
      </c>
      <c r="N51" s="20" t="n">
        <v>0</v>
      </c>
      <c r="O51" s="18" t="n">
        <v>0</v>
      </c>
      <c r="P51" s="20" t="n">
        <v>0</v>
      </c>
      <c r="Q51" s="18" t="n">
        <v>2.74082338</v>
      </c>
      <c r="R51" s="20" t="n">
        <v>0.60401951</v>
      </c>
    </row>
    <row r="52" spans="1:18">
      <c r="A52" s="15" t="s">
        <v>394</v>
      </c>
      <c r="B52" s="17" t="n">
        <v>5809</v>
      </c>
      <c r="C52" s="18">
        <f>(5102.0/B52*100)</f>
        <v/>
      </c>
      <c r="D52" s="19" t="n">
        <v>707</v>
      </c>
      <c r="E52" s="18" t="n">
        <v>66.25232617</v>
      </c>
      <c r="F52" s="20" t="n">
        <v>1.67083058</v>
      </c>
      <c r="G52" s="18" t="n">
        <v>31.55224525</v>
      </c>
      <c r="H52" s="20" t="n">
        <v>1.69944657</v>
      </c>
      <c r="I52" s="18" t="s">
        <v>349</v>
      </c>
      <c r="J52" s="20" t="s">
        <v>349</v>
      </c>
      <c r="K52" s="18" t="n">
        <v>0.26073876</v>
      </c>
      <c r="L52" s="20" t="n">
        <v>0.18576473</v>
      </c>
      <c r="M52" s="18" t="n">
        <v>0</v>
      </c>
      <c r="N52" s="20" t="n">
        <v>0</v>
      </c>
      <c r="O52" s="18" t="n">
        <v>0</v>
      </c>
      <c r="P52" s="20" t="n">
        <v>0</v>
      </c>
      <c r="Q52" s="18" t="n">
        <v>1.93468982</v>
      </c>
      <c r="R52" s="20" t="n">
        <v>0.61750303</v>
      </c>
    </row>
    <row r="53" spans="1:18">
      <c r="A53" s="15" t="s">
        <v>395</v>
      </c>
      <c r="B53" s="17" t="n">
        <v>5571</v>
      </c>
      <c r="C53" s="18">
        <f>(4910.0/B53*100)</f>
        <v/>
      </c>
      <c r="D53" s="19" t="n">
        <v>661</v>
      </c>
      <c r="E53" s="18" t="n">
        <v>70.36470131999999</v>
      </c>
      <c r="F53" s="20" t="n">
        <v>2.05166519</v>
      </c>
      <c r="G53" s="18" t="n">
        <v>25.97037691</v>
      </c>
      <c r="H53" s="20" t="n">
        <v>1.99364294</v>
      </c>
      <c r="I53" s="18" t="s">
        <v>349</v>
      </c>
      <c r="J53" s="20" t="s">
        <v>349</v>
      </c>
      <c r="K53" s="18" t="n">
        <v>0.36774082</v>
      </c>
      <c r="L53" s="20" t="n">
        <v>0.21163962</v>
      </c>
      <c r="M53" s="18" t="n">
        <v>0</v>
      </c>
      <c r="N53" s="20" t="n">
        <v>0</v>
      </c>
      <c r="O53" s="18" t="n">
        <v>0</v>
      </c>
      <c r="P53" s="20" t="n">
        <v>0</v>
      </c>
      <c r="Q53" s="18" t="n">
        <v>3.29718095</v>
      </c>
      <c r="R53" s="20" t="n">
        <v>0.65314043</v>
      </c>
    </row>
    <row r="54" spans="1:18">
      <c r="A54" s="15" t="s">
        <v>396</v>
      </c>
      <c r="B54" s="17" t="n">
        <v>4740</v>
      </c>
      <c r="C54" s="18">
        <f>(3943.0/B54*100)</f>
        <v/>
      </c>
      <c r="D54" s="19" t="n">
        <v>797</v>
      </c>
      <c r="E54" s="18" t="n">
        <v>82.258791</v>
      </c>
      <c r="F54" s="20" t="n">
        <v>1.72200904</v>
      </c>
      <c r="G54" s="18" t="n">
        <v>6.2373084</v>
      </c>
      <c r="H54" s="20" t="n">
        <v>0.86437025</v>
      </c>
      <c r="I54" s="18" t="s">
        <v>349</v>
      </c>
      <c r="J54" s="20" t="s">
        <v>349</v>
      </c>
      <c r="K54" s="18" t="n">
        <v>2.8888039</v>
      </c>
      <c r="L54" s="20" t="n">
        <v>0.68651907</v>
      </c>
      <c r="M54" s="18" t="n">
        <v>0</v>
      </c>
      <c r="N54" s="20" t="n">
        <v>0</v>
      </c>
      <c r="O54" s="18" t="n">
        <v>0</v>
      </c>
      <c r="P54" s="20" t="n">
        <v>0</v>
      </c>
      <c r="Q54" s="18" t="n">
        <v>8.6150967</v>
      </c>
      <c r="R54" s="20" t="n">
        <v>1.34778149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(4704.0/B56*100)</f>
        <v/>
      </c>
      <c r="D56" s="19" t="n">
        <v>655</v>
      </c>
      <c r="E56" s="18" t="n">
        <v>65.29197567999999</v>
      </c>
      <c r="F56" s="20" t="n">
        <v>2.01831901</v>
      </c>
      <c r="G56" s="18" t="n">
        <v>33.99135411</v>
      </c>
      <c r="H56" s="20" t="n">
        <v>2.01347756</v>
      </c>
      <c r="I56" s="18" t="s">
        <v>349</v>
      </c>
      <c r="J56" s="20" t="s">
        <v>349</v>
      </c>
      <c r="K56" s="18" t="n">
        <v>0</v>
      </c>
      <c r="L56" s="20" t="n">
        <v>0</v>
      </c>
      <c r="M56" s="18" t="n">
        <v>0</v>
      </c>
      <c r="N56" s="20" t="n">
        <v>0</v>
      </c>
      <c r="O56" s="18" t="n">
        <v>0</v>
      </c>
      <c r="P56" s="20" t="n">
        <v>0</v>
      </c>
      <c r="Q56" s="18" t="n">
        <v>0.71667021</v>
      </c>
      <c r="R56" s="20" t="n">
        <v>0.32162533</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(5723.0/B61*100)</f>
        <v/>
      </c>
      <c r="D61" s="19" t="n">
        <v>802</v>
      </c>
      <c r="E61" s="18" t="n">
        <v>71.83102397</v>
      </c>
      <c r="F61" s="20" t="n">
        <v>1.76086599</v>
      </c>
      <c r="G61" s="18" t="n">
        <v>26.02303542</v>
      </c>
      <c r="H61" s="20" t="n">
        <v>1.84830397</v>
      </c>
      <c r="I61" s="18" t="s">
        <v>349</v>
      </c>
      <c r="J61" s="20" t="s">
        <v>349</v>
      </c>
      <c r="K61" s="18" t="n">
        <v>0.18843247</v>
      </c>
      <c r="L61" s="20" t="n">
        <v>0.15622904</v>
      </c>
      <c r="M61" s="18" t="n">
        <v>0</v>
      </c>
      <c r="N61" s="20" t="n">
        <v>0</v>
      </c>
      <c r="O61" s="18" t="n">
        <v>0</v>
      </c>
      <c r="P61" s="20" t="n">
        <v>0</v>
      </c>
      <c r="Q61" s="18" t="n">
        <v>1.95750815</v>
      </c>
      <c r="R61" s="20" t="n">
        <v>0.51928187</v>
      </c>
    </row>
    <row r="62" spans="1:18">
      <c r="A62" s="15" t="s">
        <v>404</v>
      </c>
      <c r="B62" s="17" t="n">
        <v>4476</v>
      </c>
      <c r="C62" s="18">
        <f>(3925.0/B62*100)</f>
        <v/>
      </c>
      <c r="D62" s="19" t="n">
        <v>551</v>
      </c>
      <c r="E62" s="18" t="n">
        <v>72.42023716</v>
      </c>
      <c r="F62" s="20" t="n">
        <v>1.81880013</v>
      </c>
      <c r="G62" s="18" t="n">
        <v>27.03459414</v>
      </c>
      <c r="H62" s="20" t="n">
        <v>1.81662442</v>
      </c>
      <c r="I62" s="18" t="s">
        <v>349</v>
      </c>
      <c r="J62" s="20" t="s">
        <v>349</v>
      </c>
      <c r="K62" s="18" t="n">
        <v>0</v>
      </c>
      <c r="L62" s="20" t="n">
        <v>0</v>
      </c>
      <c r="M62" s="18" t="n">
        <v>0</v>
      </c>
      <c r="N62" s="20" t="n">
        <v>0</v>
      </c>
      <c r="O62" s="18" t="n">
        <v>0</v>
      </c>
      <c r="P62" s="20" t="n">
        <v>0</v>
      </c>
      <c r="Q62" s="18" t="n">
        <v>0.5451687</v>
      </c>
      <c r="R62" s="20" t="n">
        <v>0.31384629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(4968.0/B66*100)</f>
        <v/>
      </c>
      <c r="D66" s="19" t="n">
        <v>697</v>
      </c>
      <c r="E66" s="18" t="n">
        <v>73.41675433</v>
      </c>
      <c r="F66" s="20" t="n">
        <v>1.58933656</v>
      </c>
      <c r="G66" s="18" t="n">
        <v>21.49191159</v>
      </c>
      <c r="H66" s="20" t="n">
        <v>1.42140014</v>
      </c>
      <c r="I66" s="18" t="s">
        <v>349</v>
      </c>
      <c r="J66" s="20" t="s">
        <v>349</v>
      </c>
      <c r="K66" s="18" t="n">
        <v>0.26651733</v>
      </c>
      <c r="L66" s="20" t="n">
        <v>0.18934359</v>
      </c>
      <c r="M66" s="18" t="n">
        <v>0</v>
      </c>
      <c r="N66" s="20" t="n">
        <v>0</v>
      </c>
      <c r="O66" s="18" t="n">
        <v>0</v>
      </c>
      <c r="P66" s="20" t="n">
        <v>0</v>
      </c>
      <c r="Q66" s="18" t="n">
        <v>4.82481676</v>
      </c>
      <c r="R66" s="20" t="n">
        <v>0.86208944</v>
      </c>
    </row>
    <row r="67" spans="1:18">
      <c r="A67" s="15" t="s">
        <v>409</v>
      </c>
      <c r="B67" s="17" t="n">
        <v>6971</v>
      </c>
      <c r="C67" s="18">
        <f>(6131.0/B67*100)</f>
        <v/>
      </c>
      <c r="D67" s="19" t="n">
        <v>840</v>
      </c>
      <c r="E67" s="18" t="n">
        <v>70.79351792999999</v>
      </c>
      <c r="F67" s="20" t="n">
        <v>1.72204112</v>
      </c>
      <c r="G67" s="18" t="n">
        <v>24.87874753</v>
      </c>
      <c r="H67" s="20" t="n">
        <v>1.75226918</v>
      </c>
      <c r="I67" s="18" t="s">
        <v>349</v>
      </c>
      <c r="J67" s="20" t="s">
        <v>349</v>
      </c>
      <c r="K67" s="18" t="n">
        <v>0</v>
      </c>
      <c r="L67" s="20" t="n">
        <v>0</v>
      </c>
      <c r="M67" s="18" t="n">
        <v>0</v>
      </c>
      <c r="N67" s="20" t="n">
        <v>0</v>
      </c>
      <c r="O67" s="18" t="n">
        <v>0</v>
      </c>
      <c r="P67" s="20" t="n">
        <v>0</v>
      </c>
      <c r="Q67" s="18" t="n">
        <v>4.32773455</v>
      </c>
      <c r="R67" s="20" t="n">
        <v>0.7189001699999999</v>
      </c>
    </row>
    <row r="68" spans="1:18">
      <c r="A68" s="15" t="s">
        <v>410</v>
      </c>
      <c r="B68" s="17" t="n">
        <v>12083</v>
      </c>
      <c r="C68" s="18">
        <f>(10080.0/B68*100)</f>
        <v/>
      </c>
      <c r="D68" s="19" t="n">
        <v>2003</v>
      </c>
      <c r="E68" s="18" t="n">
        <v>73.60978593999999</v>
      </c>
      <c r="F68" s="20" t="n">
        <v>1.01576831</v>
      </c>
      <c r="G68" s="18" t="n">
        <v>22.77431288</v>
      </c>
      <c r="H68" s="20" t="n">
        <v>1.03235044</v>
      </c>
      <c r="I68" s="18" t="s">
        <v>349</v>
      </c>
      <c r="J68" s="20" t="s">
        <v>349</v>
      </c>
      <c r="K68" s="18" t="n">
        <v>0.83437541</v>
      </c>
      <c r="L68" s="20" t="n">
        <v>0.20929995</v>
      </c>
      <c r="M68" s="18" t="n">
        <v>0</v>
      </c>
      <c r="N68" s="20" t="n">
        <v>0</v>
      </c>
      <c r="O68" s="18" t="n">
        <v>0</v>
      </c>
      <c r="P68" s="20" t="n">
        <v>0</v>
      </c>
      <c r="Q68" s="18" t="n">
        <v>2.78152578</v>
      </c>
      <c r="R68" s="20" t="n">
        <v>0.36934184</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(5304.0/B70*100)</f>
        <v/>
      </c>
      <c r="D70" s="19" t="n">
        <v>732</v>
      </c>
      <c r="E70" s="18" t="n">
        <v>76.99100453</v>
      </c>
      <c r="F70" s="20" t="n">
        <v>1.96162109</v>
      </c>
      <c r="G70" s="18" t="n">
        <v>22.19420099</v>
      </c>
      <c r="H70" s="20" t="n">
        <v>2.01321969</v>
      </c>
      <c r="I70" s="18" t="s">
        <v>349</v>
      </c>
      <c r="J70" s="20" t="s">
        <v>349</v>
      </c>
      <c r="K70" s="18" t="n">
        <v>0.16380703</v>
      </c>
      <c r="L70" s="20" t="n">
        <v>0.11658081</v>
      </c>
      <c r="M70" s="18" t="n">
        <v>0</v>
      </c>
      <c r="N70" s="20" t="n">
        <v>0</v>
      </c>
      <c r="O70" s="18" t="n">
        <v>0</v>
      </c>
      <c r="P70" s="20" t="n">
        <v>0</v>
      </c>
      <c r="Q70" s="18" t="n">
        <v>0.65098746</v>
      </c>
      <c r="R70" s="20" t="n">
        <v>0.29213152</v>
      </c>
    </row>
    <row r="71" spans="1:18">
      <c r="A71" s="15" t="s">
        <v>413</v>
      </c>
      <c r="B71" s="17" t="n">
        <v>6115</v>
      </c>
      <c r="C71" s="18">
        <f>(5348.0/B71*100)</f>
        <v/>
      </c>
      <c r="D71" s="19" t="n">
        <v>767</v>
      </c>
      <c r="E71" s="18" t="n">
        <v>44.16505297</v>
      </c>
      <c r="F71" s="20" t="n">
        <v>1.82531418</v>
      </c>
      <c r="G71" s="18" t="n">
        <v>55.50351881</v>
      </c>
      <c r="H71" s="20" t="n">
        <v>1.82191125</v>
      </c>
      <c r="I71" s="18" t="s">
        <v>349</v>
      </c>
      <c r="J71" s="20" t="s">
        <v>349</v>
      </c>
      <c r="K71" s="18" t="n">
        <v>0.13993299</v>
      </c>
      <c r="L71" s="20" t="n">
        <v>0.13310089</v>
      </c>
      <c r="M71" s="18" t="n">
        <v>0</v>
      </c>
      <c r="N71" s="20" t="n">
        <v>0</v>
      </c>
      <c r="O71" s="18" t="n">
        <v>0</v>
      </c>
      <c r="P71" s="20" t="n">
        <v>0</v>
      </c>
      <c r="Q71" s="18" t="n">
        <v>0.19149522</v>
      </c>
      <c r="R71" s="20" t="n">
        <v>0.13576696</v>
      </c>
    </row>
    <row r="72" spans="1:18">
      <c r="A72" s="15" t="s">
        <v>414</v>
      </c>
      <c r="B72" s="17" t="n">
        <v>7708</v>
      </c>
      <c r="C72" s="18">
        <f>(6749.0/B72*100)</f>
        <v/>
      </c>
      <c r="D72" s="19" t="n">
        <v>959</v>
      </c>
      <c r="E72" s="18" t="n">
        <v>71.86443324</v>
      </c>
      <c r="F72" s="20" t="n">
        <v>1.48698173</v>
      </c>
      <c r="G72" s="18" t="n">
        <v>26.99089446</v>
      </c>
      <c r="H72" s="20" t="n">
        <v>1.5599579</v>
      </c>
      <c r="I72" s="18" t="s">
        <v>349</v>
      </c>
      <c r="J72" s="20" t="s">
        <v>349</v>
      </c>
      <c r="K72" s="18" t="n">
        <v>0</v>
      </c>
      <c r="L72" s="20" t="n">
        <v>0</v>
      </c>
      <c r="M72" s="18" t="n">
        <v>0</v>
      </c>
      <c r="N72" s="20" t="n">
        <v>0</v>
      </c>
      <c r="O72" s="18" t="n">
        <v>0</v>
      </c>
      <c r="P72" s="20" t="n">
        <v>0</v>
      </c>
      <c r="Q72" s="18" t="n">
        <v>1.1446723</v>
      </c>
      <c r="R72" s="20" t="n">
        <v>0.37126114</v>
      </c>
    </row>
    <row r="73" spans="1:18">
      <c r="A73" s="15" t="s">
        <v>415</v>
      </c>
      <c r="B73" s="17" t="n">
        <v>8249</v>
      </c>
      <c r="C73" s="18">
        <f>(7250.0/B73*100)</f>
        <v/>
      </c>
      <c r="D73" s="19" t="n">
        <v>999</v>
      </c>
      <c r="E73" s="18" t="n">
        <v>81.61511424</v>
      </c>
      <c r="F73" s="20" t="n">
        <v>1.53169286</v>
      </c>
      <c r="G73" s="18" t="n">
        <v>17.73690508</v>
      </c>
      <c r="H73" s="20" t="n">
        <v>1.47229918</v>
      </c>
      <c r="I73" s="18" t="s">
        <v>349</v>
      </c>
      <c r="J73" s="20" t="s">
        <v>349</v>
      </c>
      <c r="K73" s="18" t="n">
        <v>0</v>
      </c>
      <c r="L73" s="20" t="n">
        <v>0</v>
      </c>
      <c r="M73" s="18" t="n">
        <v>0</v>
      </c>
      <c r="N73" s="20" t="n">
        <v>0</v>
      </c>
      <c r="O73" s="18" t="n">
        <v>0</v>
      </c>
      <c r="P73" s="20" t="n">
        <v>0</v>
      </c>
      <c r="Q73" s="18" t="n">
        <v>0.64798068</v>
      </c>
      <c r="R73" s="20" t="n">
        <v>0.29625665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(4731.0/B75*100)</f>
        <v/>
      </c>
      <c r="D75" s="19" t="n">
        <v>644</v>
      </c>
      <c r="E75" s="18" t="n">
        <v>80.48569857</v>
      </c>
      <c r="F75" s="20" t="n">
        <v>1.53607834</v>
      </c>
      <c r="G75" s="18" t="n">
        <v>14.66213857</v>
      </c>
      <c r="H75" s="20" t="n">
        <v>1.49171891</v>
      </c>
      <c r="I75" s="18" t="s">
        <v>349</v>
      </c>
      <c r="J75" s="20" t="s">
        <v>349</v>
      </c>
      <c r="K75" s="18" t="n">
        <v>0.82005462</v>
      </c>
      <c r="L75" s="20" t="n">
        <v>0.35439358</v>
      </c>
      <c r="M75" s="18" t="n">
        <v>0</v>
      </c>
      <c r="N75" s="20" t="n">
        <v>0</v>
      </c>
      <c r="O75" s="18" t="n">
        <v>0</v>
      </c>
      <c r="P75" s="20" t="n">
        <v>0</v>
      </c>
      <c r="Q75" s="18" t="n">
        <v>4.03210824</v>
      </c>
      <c r="R75" s="20" t="n">
        <v>0.9926357</v>
      </c>
    </row>
    <row r="76" spans="1:18">
      <c r="A76" s="15" t="s">
        <v>418</v>
      </c>
      <c r="B76" s="17" t="n">
        <v>14167</v>
      </c>
      <c r="C76" s="18">
        <f>(12432.0/B76*100)</f>
        <v/>
      </c>
      <c r="D76" s="19" t="n">
        <v>1735</v>
      </c>
      <c r="E76" s="18" t="n">
        <v>69.90617639</v>
      </c>
      <c r="F76" s="20" t="n">
        <v>1.38967319</v>
      </c>
      <c r="G76" s="18" t="n">
        <v>28.27883588</v>
      </c>
      <c r="H76" s="20" t="n">
        <v>1.43782529</v>
      </c>
      <c r="I76" s="18" t="s">
        <v>349</v>
      </c>
      <c r="J76" s="20" t="s">
        <v>349</v>
      </c>
      <c r="K76" s="18" t="n">
        <v>0.64299204</v>
      </c>
      <c r="L76" s="20" t="n">
        <v>0.23114389</v>
      </c>
      <c r="M76" s="18" t="n">
        <v>0</v>
      </c>
      <c r="N76" s="20" t="n">
        <v>0</v>
      </c>
      <c r="O76" s="18" t="n">
        <v>0</v>
      </c>
      <c r="P76" s="20" t="n">
        <v>0</v>
      </c>
      <c r="Q76" s="18" t="n">
        <v>1.17199569</v>
      </c>
      <c r="R76" s="20" t="n">
        <v>0.29449307</v>
      </c>
    </row>
    <row r="77" spans="1:18">
      <c r="A77" s="15" t="s">
        <v>419</v>
      </c>
      <c r="B77" s="17" t="n">
        <v>6062</v>
      </c>
      <c r="C77" s="18">
        <f>(5309.0/B77*100)</f>
        <v/>
      </c>
      <c r="D77" s="19" t="n">
        <v>753</v>
      </c>
      <c r="E77" s="18" t="n">
        <v>83.93230647999999</v>
      </c>
      <c r="F77" s="20" t="n">
        <v>1.46618277</v>
      </c>
      <c r="G77" s="18" t="n">
        <v>10.29076293</v>
      </c>
      <c r="H77" s="20" t="n">
        <v>1.17840394</v>
      </c>
      <c r="I77" s="18" t="s">
        <v>349</v>
      </c>
      <c r="J77" s="20" t="s">
        <v>349</v>
      </c>
      <c r="K77" s="18" t="n">
        <v>0.51809426</v>
      </c>
      <c r="L77" s="20" t="n">
        <v>0.32762484</v>
      </c>
      <c r="M77" s="18" t="n">
        <v>0</v>
      </c>
      <c r="N77" s="20" t="n">
        <v>0</v>
      </c>
      <c r="O77" s="18" t="n">
        <v>0</v>
      </c>
      <c r="P77" s="20" t="n">
        <v>0</v>
      </c>
      <c r="Q77" s="18" t="n">
        <v>5.25883633</v>
      </c>
      <c r="R77" s="20" t="n">
        <v>0.87033555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(7770.0/B81*100)</f>
        <v/>
      </c>
      <c r="D81" s="19" t="n">
        <v>1091</v>
      </c>
      <c r="E81" s="18" t="n">
        <v>83.47022228</v>
      </c>
      <c r="F81" s="20" t="n">
        <v>1.59863323</v>
      </c>
      <c r="G81" s="18" t="n">
        <v>15.63354144</v>
      </c>
      <c r="H81" s="20" t="n">
        <v>1.57120207</v>
      </c>
      <c r="I81" s="18" t="s">
        <v>349</v>
      </c>
      <c r="J81" s="20" t="s">
        <v>349</v>
      </c>
      <c r="K81" s="18" t="n">
        <v>0.26982768</v>
      </c>
      <c r="L81" s="20" t="n">
        <v>0.16029048</v>
      </c>
      <c r="M81" s="18" t="n">
        <v>0</v>
      </c>
      <c r="N81" s="20" t="n">
        <v>0</v>
      </c>
      <c r="O81" s="18" t="n">
        <v>0</v>
      </c>
      <c r="P81" s="20" t="n">
        <v>0</v>
      </c>
      <c r="Q81" s="18" t="n">
        <v>0.6264086</v>
      </c>
      <c r="R81" s="20" t="n">
        <v>0.30319553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(12776.0/B7*100)</f>
        <v/>
      </c>
      <c r="D7" s="19" t="n">
        <v>1754</v>
      </c>
      <c r="E7" s="18" t="n">
        <v>37.26320883</v>
      </c>
      <c r="F7" s="20" t="n">
        <v>1.33058561</v>
      </c>
      <c r="G7" s="18" t="n">
        <v>61.71335616</v>
      </c>
      <c r="H7" s="20" t="n">
        <v>1.35532236</v>
      </c>
      <c r="I7" s="18" t="s">
        <v>349</v>
      </c>
      <c r="J7" s="20" t="s">
        <v>349</v>
      </c>
      <c r="K7" s="18" t="n">
        <v>0.41209307</v>
      </c>
      <c r="L7" s="20" t="n">
        <v>0.19237249</v>
      </c>
      <c r="M7" s="18" t="n">
        <v>0</v>
      </c>
      <c r="N7" s="20" t="n">
        <v>0</v>
      </c>
      <c r="O7" s="18" t="n">
        <v>0</v>
      </c>
      <c r="P7" s="20" t="n">
        <v>0</v>
      </c>
      <c r="Q7" s="18" t="n">
        <v>0.61134193</v>
      </c>
      <c r="R7" s="20" t="n">
        <v>0.20744873</v>
      </c>
    </row>
    <row r="8" spans="1:18">
      <c r="A8" s="15" t="s">
        <v>350</v>
      </c>
      <c r="B8" s="17" t="n">
        <v>7007</v>
      </c>
      <c r="C8" s="18">
        <f>(6118.0/B8*100)</f>
        <v/>
      </c>
      <c r="D8" s="19" t="n">
        <v>889</v>
      </c>
      <c r="E8" s="18" t="n">
        <v>32.25595746</v>
      </c>
      <c r="F8" s="20" t="n">
        <v>1.72179059</v>
      </c>
      <c r="G8" s="18" t="n">
        <v>67.18530547</v>
      </c>
      <c r="H8" s="20" t="n">
        <v>1.68472467</v>
      </c>
      <c r="I8" s="18" t="s">
        <v>349</v>
      </c>
      <c r="J8" s="20" t="s">
        <v>349</v>
      </c>
      <c r="K8" s="18" t="n">
        <v>0</v>
      </c>
      <c r="L8" s="20" t="n">
        <v>0</v>
      </c>
      <c r="M8" s="18" t="n">
        <v>0</v>
      </c>
      <c r="N8" s="20" t="n">
        <v>0</v>
      </c>
      <c r="O8" s="18" t="n">
        <v>0</v>
      </c>
      <c r="P8" s="20" t="n">
        <v>0</v>
      </c>
      <c r="Q8" s="18" t="n">
        <v>0.55873706</v>
      </c>
      <c r="R8" s="20" t="n">
        <v>0.28396521</v>
      </c>
    </row>
    <row r="9" spans="1:18">
      <c r="A9" s="15" t="s">
        <v>351</v>
      </c>
      <c r="B9" s="17" t="n">
        <v>9651</v>
      </c>
      <c r="C9" s="18">
        <f>(8505.0/B9*100)</f>
        <v/>
      </c>
      <c r="D9" s="19" t="n">
        <v>1146</v>
      </c>
      <c r="E9" s="18" t="n">
        <v>30.9379999</v>
      </c>
      <c r="F9" s="20" t="n">
        <v>1.17417048</v>
      </c>
      <c r="G9" s="18" t="n">
        <v>68.78448569</v>
      </c>
      <c r="H9" s="20" t="n">
        <v>1.21961256</v>
      </c>
      <c r="I9" s="18" t="s">
        <v>349</v>
      </c>
      <c r="J9" s="20" t="s">
        <v>349</v>
      </c>
      <c r="K9" s="18" t="n">
        <v>0.04131069</v>
      </c>
      <c r="L9" s="20" t="n">
        <v>0.04115265</v>
      </c>
      <c r="M9" s="18" t="n">
        <v>0</v>
      </c>
      <c r="N9" s="20" t="n">
        <v>0</v>
      </c>
      <c r="O9" s="18" t="n">
        <v>0</v>
      </c>
      <c r="P9" s="20" t="n">
        <v>0</v>
      </c>
      <c r="Q9" s="18" t="n">
        <v>0.23620372</v>
      </c>
      <c r="R9" s="20" t="n">
        <v>0.15832721</v>
      </c>
    </row>
    <row r="10" spans="1:18">
      <c r="A10" s="15" t="s">
        <v>352</v>
      </c>
      <c r="B10" s="17" t="n">
        <v>20058</v>
      </c>
      <c r="C10" s="18">
        <f>(17583.0/B10*100)</f>
        <v/>
      </c>
      <c r="D10" s="19" t="n">
        <v>2475</v>
      </c>
      <c r="E10" s="18" t="n">
        <v>34.46078623</v>
      </c>
      <c r="F10" s="20" t="n">
        <v>1.54743671</v>
      </c>
      <c r="G10" s="18" t="n">
        <v>65.12502879</v>
      </c>
      <c r="H10" s="20" t="n">
        <v>1.55265646</v>
      </c>
      <c r="I10" s="18" t="s">
        <v>349</v>
      </c>
      <c r="J10" s="20" t="s">
        <v>349</v>
      </c>
      <c r="K10" s="18" t="n">
        <v>0.15545672</v>
      </c>
      <c r="L10" s="20" t="n">
        <v>0.08152297999999999</v>
      </c>
      <c r="M10" s="18" t="n">
        <v>0</v>
      </c>
      <c r="N10" s="20" t="n">
        <v>0</v>
      </c>
      <c r="O10" s="18" t="n">
        <v>0</v>
      </c>
      <c r="P10" s="20" t="n">
        <v>0</v>
      </c>
      <c r="Q10" s="18" t="n">
        <v>0.25872826</v>
      </c>
      <c r="R10" s="20" t="n">
        <v>0.12017085</v>
      </c>
    </row>
    <row r="11" spans="1:18">
      <c r="A11" s="15" t="s">
        <v>353</v>
      </c>
      <c r="B11" s="17" t="n">
        <v>7053</v>
      </c>
      <c r="C11" s="18">
        <f>(6178.0/B11*100)</f>
        <v/>
      </c>
      <c r="D11" s="19" t="n">
        <v>875</v>
      </c>
      <c r="E11" s="18" t="n">
        <v>41.87007539</v>
      </c>
      <c r="F11" s="20" t="n">
        <v>1.95415358</v>
      </c>
      <c r="G11" s="18" t="n">
        <v>57.17814318</v>
      </c>
      <c r="H11" s="20" t="n">
        <v>1.94610981</v>
      </c>
      <c r="I11" s="18" t="s">
        <v>349</v>
      </c>
      <c r="J11" s="20" t="s">
        <v>349</v>
      </c>
      <c r="K11" s="18" t="n">
        <v>0</v>
      </c>
      <c r="L11" s="20" t="n">
        <v>0</v>
      </c>
      <c r="M11" s="18" t="n">
        <v>0</v>
      </c>
      <c r="N11" s="20" t="n">
        <v>0</v>
      </c>
      <c r="O11" s="18" t="n">
        <v>0</v>
      </c>
      <c r="P11" s="20" t="n">
        <v>0</v>
      </c>
      <c r="Q11" s="18" t="n">
        <v>0.95178143</v>
      </c>
      <c r="R11" s="20" t="n">
        <v>0.27527183</v>
      </c>
    </row>
    <row r="12" spans="1:18">
      <c r="A12" s="15" t="s">
        <v>354</v>
      </c>
      <c r="B12" s="17" t="n">
        <v>6894</v>
      </c>
      <c r="C12" s="18">
        <f>(6051.0/B12*100)</f>
        <v/>
      </c>
      <c r="D12" s="19" t="n">
        <v>843</v>
      </c>
      <c r="E12" s="18" t="n">
        <v>35.50408161</v>
      </c>
      <c r="F12" s="20" t="n">
        <v>2.16341573</v>
      </c>
      <c r="G12" s="18" t="n">
        <v>64.27099645</v>
      </c>
      <c r="H12" s="20" t="n">
        <v>2.14620194</v>
      </c>
      <c r="I12" s="18" t="s">
        <v>349</v>
      </c>
      <c r="J12" s="20" t="s">
        <v>349</v>
      </c>
      <c r="K12" s="18" t="n">
        <v>0.16631164</v>
      </c>
      <c r="L12" s="20" t="n">
        <v>0.27112028</v>
      </c>
      <c r="M12" s="18" t="n">
        <v>0</v>
      </c>
      <c r="N12" s="20" t="n">
        <v>0</v>
      </c>
      <c r="O12" s="18" t="n">
        <v>0</v>
      </c>
      <c r="P12" s="20" t="n">
        <v>0</v>
      </c>
      <c r="Q12" s="18" t="n">
        <v>0.05861029</v>
      </c>
      <c r="R12" s="20" t="n">
        <v>0.05873109</v>
      </c>
    </row>
    <row r="13" spans="1:18">
      <c r="A13" s="15" t="s">
        <v>355</v>
      </c>
      <c r="B13" s="17" t="n">
        <v>7161</v>
      </c>
      <c r="C13" s="18">
        <f>(6320.0/B13*100)</f>
        <v/>
      </c>
      <c r="D13" s="19" t="n">
        <v>841</v>
      </c>
      <c r="E13" s="18" t="n">
        <v>31.55761917</v>
      </c>
      <c r="F13" s="20" t="n">
        <v>1.74083761</v>
      </c>
      <c r="G13" s="18" t="n">
        <v>67.45568839000001</v>
      </c>
      <c r="H13" s="20" t="n">
        <v>1.67137253</v>
      </c>
      <c r="I13" s="18" t="s">
        <v>349</v>
      </c>
      <c r="J13" s="20" t="s">
        <v>349</v>
      </c>
      <c r="K13" s="18" t="n">
        <v>0.86977544</v>
      </c>
      <c r="L13" s="20" t="n">
        <v>0.46262185</v>
      </c>
      <c r="M13" s="18" t="n">
        <v>0</v>
      </c>
      <c r="N13" s="20" t="n">
        <v>0</v>
      </c>
      <c r="O13" s="18" t="n">
        <v>0</v>
      </c>
      <c r="P13" s="20" t="n">
        <v>0</v>
      </c>
      <c r="Q13" s="18" t="n">
        <v>0.116917</v>
      </c>
      <c r="R13" s="20" t="n">
        <v>0.08276317</v>
      </c>
    </row>
    <row r="14" spans="1:18">
      <c r="A14" s="15" t="s">
        <v>356</v>
      </c>
      <c r="B14" s="17" t="n">
        <v>5587</v>
      </c>
      <c r="C14" s="18">
        <f>(4904.0/B14*100)</f>
        <v/>
      </c>
      <c r="D14" s="19" t="n">
        <v>683</v>
      </c>
      <c r="E14" s="18" t="n">
        <v>41.59386456</v>
      </c>
      <c r="F14" s="20" t="n">
        <v>2.01044038</v>
      </c>
      <c r="G14" s="18" t="n">
        <v>58.40613544</v>
      </c>
      <c r="H14" s="20" t="n">
        <v>2.01044038</v>
      </c>
      <c r="I14" s="18" t="s">
        <v>349</v>
      </c>
      <c r="J14" s="20" t="s">
        <v>349</v>
      </c>
      <c r="K14" s="18" t="n">
        <v>0</v>
      </c>
      <c r="L14" s="20" t="n">
        <v>0</v>
      </c>
      <c r="M14" s="18" t="n">
        <v>0</v>
      </c>
      <c r="N14" s="20" t="n">
        <v>0</v>
      </c>
      <c r="O14" s="18" t="n">
        <v>0</v>
      </c>
      <c r="P14" s="20" t="n">
        <v>0</v>
      </c>
      <c r="Q14" s="18" t="n">
        <v>0</v>
      </c>
      <c r="R14" s="20" t="n">
        <v>0</v>
      </c>
    </row>
    <row r="15" spans="1:18">
      <c r="A15" s="15" t="s">
        <v>357</v>
      </c>
      <c r="B15" s="17" t="n">
        <v>5882</v>
      </c>
      <c r="C15" s="18">
        <f>(5178.0/B15*100)</f>
        <v/>
      </c>
      <c r="D15" s="19" t="n">
        <v>704</v>
      </c>
      <c r="E15" s="18" t="n">
        <v>23.29078063</v>
      </c>
      <c r="F15" s="20" t="n">
        <v>1.56202313</v>
      </c>
      <c r="G15" s="18" t="n">
        <v>76.29001261000001</v>
      </c>
      <c r="H15" s="20" t="n">
        <v>1.57758037</v>
      </c>
      <c r="I15" s="18" t="s">
        <v>349</v>
      </c>
      <c r="J15" s="20" t="s">
        <v>349</v>
      </c>
      <c r="K15" s="18" t="n">
        <v>0</v>
      </c>
      <c r="L15" s="20" t="n">
        <v>0</v>
      </c>
      <c r="M15" s="18" t="n">
        <v>0</v>
      </c>
      <c r="N15" s="20" t="n">
        <v>0</v>
      </c>
      <c r="O15" s="18" t="n">
        <v>0</v>
      </c>
      <c r="P15" s="20" t="n">
        <v>0</v>
      </c>
      <c r="Q15" s="18" t="n">
        <v>0.41920676</v>
      </c>
      <c r="R15" s="20" t="n">
        <v>0.23732976</v>
      </c>
    </row>
    <row r="16" spans="1:18">
      <c r="A16" s="15" t="s">
        <v>358</v>
      </c>
      <c r="B16" s="17" t="n">
        <v>6108</v>
      </c>
      <c r="C16" s="18">
        <f>(5361.0/B16*100)</f>
        <v/>
      </c>
      <c r="D16" s="19" t="n">
        <v>747</v>
      </c>
      <c r="E16" s="18" t="n">
        <v>29.32742702</v>
      </c>
      <c r="F16" s="20" t="n">
        <v>1.48776828</v>
      </c>
      <c r="G16" s="18" t="n">
        <v>70.39565068</v>
      </c>
      <c r="H16" s="20" t="n">
        <v>1.54705593</v>
      </c>
      <c r="I16" s="18" t="s">
        <v>349</v>
      </c>
      <c r="J16" s="20" t="s">
        <v>349</v>
      </c>
      <c r="K16" s="18" t="n">
        <v>0.14242208</v>
      </c>
      <c r="L16" s="20" t="n">
        <v>0.14331646</v>
      </c>
      <c r="M16" s="18" t="n">
        <v>0</v>
      </c>
      <c r="N16" s="20" t="n">
        <v>0</v>
      </c>
      <c r="O16" s="18" t="n">
        <v>0</v>
      </c>
      <c r="P16" s="20" t="n">
        <v>0</v>
      </c>
      <c r="Q16" s="18" t="n">
        <v>0.13450023</v>
      </c>
      <c r="R16" s="20" t="n">
        <v>0.14090174</v>
      </c>
    </row>
    <row r="17" spans="1:18">
      <c r="A17" s="15" t="s">
        <v>359</v>
      </c>
      <c r="B17" s="17" t="n">
        <v>6504</v>
      </c>
      <c r="C17" s="18">
        <f>(5719.0/B17*100)</f>
        <v/>
      </c>
      <c r="D17" s="19" t="n">
        <v>785</v>
      </c>
      <c r="E17" s="18" t="n">
        <v>33.04174502</v>
      </c>
      <c r="F17" s="20" t="n">
        <v>1.94050403</v>
      </c>
      <c r="G17" s="18" t="n">
        <v>66.70776166</v>
      </c>
      <c r="H17" s="20" t="n">
        <v>1.98174015</v>
      </c>
      <c r="I17" s="18" t="s">
        <v>349</v>
      </c>
      <c r="J17" s="20" t="s">
        <v>349</v>
      </c>
      <c r="K17" s="18" t="n">
        <v>0</v>
      </c>
      <c r="L17" s="20" t="n">
        <v>0</v>
      </c>
      <c r="M17" s="18" t="n">
        <v>0</v>
      </c>
      <c r="N17" s="20" t="n">
        <v>0</v>
      </c>
      <c r="O17" s="18" t="n">
        <v>0</v>
      </c>
      <c r="P17" s="20" t="n">
        <v>0</v>
      </c>
      <c r="Q17" s="18" t="n">
        <v>0.25049332</v>
      </c>
      <c r="R17" s="20" t="n">
        <v>0.1867873</v>
      </c>
    </row>
    <row r="18" spans="1:18">
      <c r="A18" s="15" t="s">
        <v>360</v>
      </c>
      <c r="B18" s="17" t="n">
        <v>5532</v>
      </c>
      <c r="C18" s="18">
        <f>(4857.0/B18*100)</f>
        <v/>
      </c>
      <c r="D18" s="19" t="n">
        <v>675</v>
      </c>
      <c r="E18" s="18" t="n">
        <v>39.17859711</v>
      </c>
      <c r="F18" s="20" t="n">
        <v>2.4206804</v>
      </c>
      <c r="G18" s="18" t="n">
        <v>60.29262375</v>
      </c>
      <c r="H18" s="20" t="n">
        <v>2.42822491</v>
      </c>
      <c r="I18" s="18" t="s">
        <v>349</v>
      </c>
      <c r="J18" s="20" t="s">
        <v>349</v>
      </c>
      <c r="K18" s="18" t="n">
        <v>0</v>
      </c>
      <c r="L18" s="20" t="n">
        <v>0</v>
      </c>
      <c r="M18" s="18" t="n">
        <v>0</v>
      </c>
      <c r="N18" s="20" t="n">
        <v>0</v>
      </c>
      <c r="O18" s="18" t="n">
        <v>0</v>
      </c>
      <c r="P18" s="20" t="n">
        <v>0</v>
      </c>
      <c r="Q18" s="18" t="n">
        <v>0.52877914</v>
      </c>
      <c r="R18" s="20" t="n">
        <v>0.3263338</v>
      </c>
    </row>
    <row r="19" spans="1:18">
      <c r="A19" s="15" t="s">
        <v>361</v>
      </c>
      <c r="B19" s="17" t="n">
        <v>5658</v>
      </c>
      <c r="C19" s="18">
        <f>(4967.0/B19*100)</f>
        <v/>
      </c>
      <c r="D19" s="19" t="n">
        <v>691</v>
      </c>
      <c r="E19" s="18" t="n">
        <v>36.98320051</v>
      </c>
      <c r="F19" s="20" t="n">
        <v>1.90408302</v>
      </c>
      <c r="G19" s="18" t="n">
        <v>62.33210347</v>
      </c>
      <c r="H19" s="20" t="n">
        <v>1.87911995</v>
      </c>
      <c r="I19" s="18" t="s">
        <v>349</v>
      </c>
      <c r="J19" s="20" t="s">
        <v>349</v>
      </c>
      <c r="K19" s="18" t="n">
        <v>0.11527475</v>
      </c>
      <c r="L19" s="20" t="n">
        <v>0.11650668</v>
      </c>
      <c r="M19" s="18" t="n">
        <v>0</v>
      </c>
      <c r="N19" s="20" t="n">
        <v>0</v>
      </c>
      <c r="O19" s="18" t="n">
        <v>0</v>
      </c>
      <c r="P19" s="20" t="n">
        <v>0</v>
      </c>
      <c r="Q19" s="18" t="n">
        <v>0.56942126</v>
      </c>
      <c r="R19" s="20" t="n">
        <v>0.27222094</v>
      </c>
    </row>
    <row r="20" spans="1:18">
      <c r="A20" s="15" t="s">
        <v>362</v>
      </c>
      <c r="B20" s="17" t="n">
        <v>3371</v>
      </c>
      <c r="C20" s="18">
        <f>(2950.0/B20*100)</f>
        <v/>
      </c>
      <c r="D20" s="19" t="n">
        <v>421</v>
      </c>
      <c r="E20" s="18" t="n">
        <v>34.37821769</v>
      </c>
      <c r="F20" s="20" t="n">
        <v>2.03990741</v>
      </c>
      <c r="G20" s="18" t="n">
        <v>64.54816796</v>
      </c>
      <c r="H20" s="20" t="n">
        <v>2.09416648</v>
      </c>
      <c r="I20" s="18" t="s">
        <v>349</v>
      </c>
      <c r="J20" s="20" t="s">
        <v>349</v>
      </c>
      <c r="K20" s="18" t="n">
        <v>0.22512118</v>
      </c>
      <c r="L20" s="20" t="n">
        <v>0.22503122</v>
      </c>
      <c r="M20" s="18" t="n">
        <v>0</v>
      </c>
      <c r="N20" s="20" t="n">
        <v>0</v>
      </c>
      <c r="O20" s="18" t="n">
        <v>0</v>
      </c>
      <c r="P20" s="20" t="n">
        <v>0</v>
      </c>
      <c r="Q20" s="18" t="n">
        <v>0.84849317</v>
      </c>
      <c r="R20" s="20" t="n">
        <v>0.29729675</v>
      </c>
    </row>
    <row r="21" spans="1:18">
      <c r="A21" s="15" t="s">
        <v>363</v>
      </c>
      <c r="B21" s="17" t="n">
        <v>5741</v>
      </c>
      <c r="C21" s="18">
        <f>(4756.0/B21*100)</f>
        <v/>
      </c>
      <c r="D21" s="19" t="n">
        <v>985</v>
      </c>
      <c r="E21" s="18" t="n">
        <v>36.72763511</v>
      </c>
      <c r="F21" s="20" t="n">
        <v>1.58825098</v>
      </c>
      <c r="G21" s="18" t="n">
        <v>62.99863298</v>
      </c>
      <c r="H21" s="20" t="n">
        <v>1.60294973</v>
      </c>
      <c r="I21" s="18" t="s">
        <v>349</v>
      </c>
      <c r="J21" s="20" t="s">
        <v>349</v>
      </c>
      <c r="K21" s="18" t="n">
        <v>0.09622247</v>
      </c>
      <c r="L21" s="20" t="n">
        <v>0.09618208</v>
      </c>
      <c r="M21" s="18" t="n">
        <v>0</v>
      </c>
      <c r="N21" s="20" t="n">
        <v>0</v>
      </c>
      <c r="O21" s="18" t="n">
        <v>0</v>
      </c>
      <c r="P21" s="20" t="n">
        <v>0</v>
      </c>
      <c r="Q21" s="18" t="n">
        <v>0.17750945</v>
      </c>
      <c r="R21" s="20" t="n">
        <v>0.13317378</v>
      </c>
    </row>
    <row r="22" spans="1:18">
      <c r="A22" s="15" t="s">
        <v>364</v>
      </c>
      <c r="B22" s="17" t="n">
        <v>6598</v>
      </c>
      <c r="C22" s="18">
        <f>(5737.0/B22*100)</f>
        <v/>
      </c>
      <c r="D22" s="19" t="n">
        <v>861</v>
      </c>
      <c r="E22" s="18" t="n">
        <v>43.75296711</v>
      </c>
      <c r="F22" s="20" t="n">
        <v>1.86877834</v>
      </c>
      <c r="G22" s="18" t="n">
        <v>53.99528818</v>
      </c>
      <c r="H22" s="20" t="n">
        <v>1.84965675</v>
      </c>
      <c r="I22" s="18" t="s">
        <v>349</v>
      </c>
      <c r="J22" s="20" t="s">
        <v>349</v>
      </c>
      <c r="K22" s="18" t="n">
        <v>0.86941366</v>
      </c>
      <c r="L22" s="20" t="n">
        <v>0.37671039</v>
      </c>
      <c r="M22" s="18" t="n">
        <v>0</v>
      </c>
      <c r="N22" s="20" t="n">
        <v>0</v>
      </c>
      <c r="O22" s="18" t="n">
        <v>0</v>
      </c>
      <c r="P22" s="20" t="n">
        <v>0</v>
      </c>
      <c r="Q22" s="18" t="n">
        <v>1.38233105</v>
      </c>
      <c r="R22" s="20" t="n">
        <v>0.63048176</v>
      </c>
    </row>
    <row r="23" spans="1:18">
      <c r="A23" s="15" t="s">
        <v>365</v>
      </c>
      <c r="B23" s="17" t="n">
        <v>11583</v>
      </c>
      <c r="C23" s="18">
        <f>(10171.0/B23*100)</f>
        <v/>
      </c>
      <c r="D23" s="19" t="n">
        <v>1412</v>
      </c>
      <c r="E23" s="18" t="n">
        <v>30.73204133</v>
      </c>
      <c r="F23" s="20" t="n">
        <v>1.76789648</v>
      </c>
      <c r="G23" s="18" t="n">
        <v>68.64734506000001</v>
      </c>
      <c r="H23" s="20" t="n">
        <v>1.77135871</v>
      </c>
      <c r="I23" s="18" t="s">
        <v>349</v>
      </c>
      <c r="J23" s="20" t="s">
        <v>349</v>
      </c>
      <c r="K23" s="18" t="n">
        <v>0.1898894</v>
      </c>
      <c r="L23" s="20" t="n">
        <v>0.1594765</v>
      </c>
      <c r="M23" s="18" t="n">
        <v>0</v>
      </c>
      <c r="N23" s="20" t="n">
        <v>0</v>
      </c>
      <c r="O23" s="18" t="n">
        <v>0</v>
      </c>
      <c r="P23" s="20" t="n">
        <v>0</v>
      </c>
      <c r="Q23" s="18" t="n">
        <v>0.43072422</v>
      </c>
      <c r="R23" s="20" t="n">
        <v>0.2714452</v>
      </c>
    </row>
    <row r="24" spans="1:18">
      <c r="A24" s="15" t="s">
        <v>366</v>
      </c>
      <c r="B24" s="17" t="n">
        <v>6647</v>
      </c>
      <c r="C24" s="18">
        <f>(5846.0/B24*100)</f>
        <v/>
      </c>
      <c r="D24" s="19" t="n">
        <v>801</v>
      </c>
      <c r="E24" s="18" t="n">
        <v>25.35109663</v>
      </c>
      <c r="F24" s="20" t="n">
        <v>1.61550997</v>
      </c>
      <c r="G24" s="18" t="n">
        <v>74.53282667000001</v>
      </c>
      <c r="H24" s="20" t="n">
        <v>1.6247121</v>
      </c>
      <c r="I24" s="18" t="s">
        <v>349</v>
      </c>
      <c r="J24" s="20" t="s">
        <v>349</v>
      </c>
      <c r="K24" s="18" t="n">
        <v>0.11607671</v>
      </c>
      <c r="L24" s="20" t="n">
        <v>0.11785017</v>
      </c>
      <c r="M24" s="18" t="n">
        <v>0</v>
      </c>
      <c r="N24" s="20" t="n">
        <v>0</v>
      </c>
      <c r="O24" s="18" t="n">
        <v>0</v>
      </c>
      <c r="P24" s="20" t="n">
        <v>0</v>
      </c>
      <c r="Q24" s="18" t="n">
        <v>0</v>
      </c>
      <c r="R24" s="20" t="n">
        <v>0</v>
      </c>
    </row>
    <row r="25" spans="1:18">
      <c r="A25" s="15" t="s">
        <v>367</v>
      </c>
      <c r="B25" s="17" t="n">
        <v>5581</v>
      </c>
      <c r="C25" s="18">
        <f>(4896.0/B25*100)</f>
        <v/>
      </c>
      <c r="D25" s="19" t="n">
        <v>685</v>
      </c>
      <c r="E25" s="18" t="n">
        <v>28.64528997</v>
      </c>
      <c r="F25" s="20" t="n">
        <v>1.76859066</v>
      </c>
      <c r="G25" s="18" t="n">
        <v>70.94352477</v>
      </c>
      <c r="H25" s="20" t="n">
        <v>1.72163166</v>
      </c>
      <c r="I25" s="18" t="s">
        <v>349</v>
      </c>
      <c r="J25" s="20" t="s">
        <v>349</v>
      </c>
      <c r="K25" s="18" t="n">
        <v>0.28324231</v>
      </c>
      <c r="L25" s="20" t="n">
        <v>0.2418505</v>
      </c>
      <c r="M25" s="18" t="n">
        <v>0</v>
      </c>
      <c r="N25" s="20" t="n">
        <v>0</v>
      </c>
      <c r="O25" s="18" t="n">
        <v>0</v>
      </c>
      <c r="P25" s="20" t="n">
        <v>0</v>
      </c>
      <c r="Q25" s="18" t="n">
        <v>0.12794294</v>
      </c>
      <c r="R25" s="20" t="n">
        <v>0.12845063</v>
      </c>
    </row>
    <row r="26" spans="1:18">
      <c r="A26" s="15" t="s">
        <v>368</v>
      </c>
      <c r="B26" s="17" t="n">
        <v>4869</v>
      </c>
      <c r="C26" s="18">
        <f>(4276.0/B26*100)</f>
        <v/>
      </c>
      <c r="D26" s="19" t="n">
        <v>593</v>
      </c>
      <c r="E26" s="18" t="n">
        <v>31.85139173</v>
      </c>
      <c r="F26" s="20" t="n">
        <v>2.26315247</v>
      </c>
      <c r="G26" s="18" t="n">
        <v>68.14860827</v>
      </c>
      <c r="H26" s="20" t="n">
        <v>2.26315247</v>
      </c>
      <c r="I26" s="18" t="s">
        <v>349</v>
      </c>
      <c r="J26" s="20" t="s">
        <v>349</v>
      </c>
      <c r="K26" s="18" t="n">
        <v>0</v>
      </c>
      <c r="L26" s="20" t="n">
        <v>0</v>
      </c>
      <c r="M26" s="18" t="n">
        <v>0</v>
      </c>
      <c r="N26" s="20" t="n">
        <v>0</v>
      </c>
      <c r="O26" s="18" t="n">
        <v>0</v>
      </c>
      <c r="P26" s="20" t="n">
        <v>0</v>
      </c>
      <c r="Q26" s="18" t="n">
        <v>0</v>
      </c>
      <c r="R26" s="20" t="n">
        <v>0</v>
      </c>
    </row>
    <row r="27" spans="1:18">
      <c r="A27" s="15" t="s">
        <v>369</v>
      </c>
      <c r="B27" s="17" t="n">
        <v>5299</v>
      </c>
      <c r="C27" s="18">
        <f>(4653.0/B27*100)</f>
        <v/>
      </c>
      <c r="D27" s="19" t="n">
        <v>646</v>
      </c>
      <c r="E27" s="18" t="n">
        <v>36.79213633</v>
      </c>
      <c r="F27" s="20" t="n">
        <v>1.7739381</v>
      </c>
      <c r="G27" s="18" t="n">
        <v>62.57908867</v>
      </c>
      <c r="H27" s="20" t="n">
        <v>1.70885808</v>
      </c>
      <c r="I27" s="18" t="s">
        <v>349</v>
      </c>
      <c r="J27" s="20" t="s">
        <v>349</v>
      </c>
      <c r="K27" s="18" t="n">
        <v>0</v>
      </c>
      <c r="L27" s="20" t="n">
        <v>0</v>
      </c>
      <c r="M27" s="18" t="n">
        <v>0</v>
      </c>
      <c r="N27" s="20" t="n">
        <v>0</v>
      </c>
      <c r="O27" s="18" t="n">
        <v>0</v>
      </c>
      <c r="P27" s="20" t="n">
        <v>0</v>
      </c>
      <c r="Q27" s="18" t="n">
        <v>0.628775</v>
      </c>
      <c r="R27" s="20" t="n">
        <v>0.31711736</v>
      </c>
    </row>
    <row r="28" spans="1:18">
      <c r="A28" s="15" t="s">
        <v>370</v>
      </c>
      <c r="B28" s="17" t="n">
        <v>7568</v>
      </c>
      <c r="C28" s="18">
        <f>(6626.0/B28*100)</f>
        <v/>
      </c>
      <c r="D28" s="19" t="n">
        <v>942</v>
      </c>
      <c r="E28" s="18" t="n">
        <v>43.70712351</v>
      </c>
      <c r="F28" s="20" t="n">
        <v>1.87368233</v>
      </c>
      <c r="G28" s="18" t="n">
        <v>55.77292726</v>
      </c>
      <c r="H28" s="20" t="n">
        <v>1.87822765</v>
      </c>
      <c r="I28" s="18" t="s">
        <v>349</v>
      </c>
      <c r="J28" s="20" t="s">
        <v>349</v>
      </c>
      <c r="K28" s="18" t="n">
        <v>0.08049289</v>
      </c>
      <c r="L28" s="20" t="n">
        <v>0.08086181000000001</v>
      </c>
      <c r="M28" s="18" t="n">
        <v>0</v>
      </c>
      <c r="N28" s="20" t="n">
        <v>0</v>
      </c>
      <c r="O28" s="18" t="n">
        <v>0</v>
      </c>
      <c r="P28" s="20" t="n">
        <v>0</v>
      </c>
      <c r="Q28" s="18" t="n">
        <v>0.43945634</v>
      </c>
      <c r="R28" s="20" t="n">
        <v>0.26869044</v>
      </c>
    </row>
    <row r="29" spans="1:18">
      <c r="A29" s="15" t="s">
        <v>371</v>
      </c>
      <c r="B29" s="17" t="n">
        <v>5385</v>
      </c>
      <c r="C29" s="18">
        <f>(4732.0/B29*100)</f>
        <v/>
      </c>
      <c r="D29" s="19" t="n">
        <v>653</v>
      </c>
      <c r="E29" s="18" t="n">
        <v>32.04760559</v>
      </c>
      <c r="F29" s="20" t="n">
        <v>1.95699344</v>
      </c>
      <c r="G29" s="18" t="n">
        <v>67.13449169</v>
      </c>
      <c r="H29" s="20" t="n">
        <v>2.0221758</v>
      </c>
      <c r="I29" s="18" t="s">
        <v>349</v>
      </c>
      <c r="J29" s="20" t="s">
        <v>349</v>
      </c>
      <c r="K29" s="18" t="n">
        <v>0.49957536</v>
      </c>
      <c r="L29" s="20" t="n">
        <v>0.25814165</v>
      </c>
      <c r="M29" s="18" t="n">
        <v>0</v>
      </c>
      <c r="N29" s="20" t="n">
        <v>0</v>
      </c>
      <c r="O29" s="18" t="n">
        <v>0</v>
      </c>
      <c r="P29" s="20" t="n">
        <v>0</v>
      </c>
      <c r="Q29" s="18" t="n">
        <v>0.31832736</v>
      </c>
      <c r="R29" s="20" t="n">
        <v>0.2696571</v>
      </c>
    </row>
    <row r="30" spans="1:18">
      <c r="A30" s="15" t="s">
        <v>372</v>
      </c>
      <c r="B30" s="17" t="n">
        <v>4520</v>
      </c>
      <c r="C30" s="18">
        <f>(3968.0/B30*100)</f>
        <v/>
      </c>
      <c r="D30" s="19" t="n">
        <v>552</v>
      </c>
      <c r="E30" s="18" t="n">
        <v>38.94107221</v>
      </c>
      <c r="F30" s="20" t="n">
        <v>2.33337635</v>
      </c>
      <c r="G30" s="18" t="n">
        <v>60.37511077</v>
      </c>
      <c r="H30" s="20" t="n">
        <v>2.32956156</v>
      </c>
      <c r="I30" s="18" t="s">
        <v>349</v>
      </c>
      <c r="J30" s="20" t="s">
        <v>349</v>
      </c>
      <c r="K30" s="18" t="n">
        <v>0</v>
      </c>
      <c r="L30" s="20" t="n">
        <v>0</v>
      </c>
      <c r="M30" s="18" t="n">
        <v>0</v>
      </c>
      <c r="N30" s="20" t="n">
        <v>0</v>
      </c>
      <c r="O30" s="18" t="n">
        <v>0</v>
      </c>
      <c r="P30" s="20" t="n">
        <v>0</v>
      </c>
      <c r="Q30" s="18" t="n">
        <v>0.68381703</v>
      </c>
      <c r="R30" s="20" t="n">
        <v>0.32819777</v>
      </c>
    </row>
    <row r="31" spans="1:18">
      <c r="A31" s="15" t="s">
        <v>373</v>
      </c>
      <c r="B31" s="17" t="n">
        <v>5456</v>
      </c>
      <c r="C31" s="18">
        <f>(4805.0/B31*100)</f>
        <v/>
      </c>
      <c r="D31" s="19" t="n">
        <v>651</v>
      </c>
      <c r="E31" s="18" t="n">
        <v>36.59131916</v>
      </c>
      <c r="F31" s="20" t="n">
        <v>2.08038384</v>
      </c>
      <c r="G31" s="18" t="n">
        <v>62.88536949</v>
      </c>
      <c r="H31" s="20" t="n">
        <v>2.10473736</v>
      </c>
      <c r="I31" s="18" t="s">
        <v>349</v>
      </c>
      <c r="J31" s="20" t="s">
        <v>349</v>
      </c>
      <c r="K31" s="18" t="n">
        <v>0.3597799</v>
      </c>
      <c r="L31" s="20" t="n">
        <v>0.28413936</v>
      </c>
      <c r="M31" s="18" t="n">
        <v>0</v>
      </c>
      <c r="N31" s="20" t="n">
        <v>0</v>
      </c>
      <c r="O31" s="18" t="n">
        <v>0</v>
      </c>
      <c r="P31" s="20" t="n">
        <v>0</v>
      </c>
      <c r="Q31" s="18" t="n">
        <v>0.16353145</v>
      </c>
      <c r="R31" s="20" t="n">
        <v>0.16310331</v>
      </c>
    </row>
    <row r="32" spans="1:18">
      <c r="A32" s="15" t="s">
        <v>374</v>
      </c>
      <c r="B32" s="17" t="n">
        <v>4478</v>
      </c>
      <c r="C32" s="18">
        <f>(3702.0/B32*100)</f>
        <v/>
      </c>
      <c r="D32" s="19" t="n">
        <v>776</v>
      </c>
      <c r="E32" s="18" t="n">
        <v>32.2730368</v>
      </c>
      <c r="F32" s="20" t="n">
        <v>1.78584769</v>
      </c>
      <c r="G32" s="18" t="n">
        <v>67.26580054999999</v>
      </c>
      <c r="H32" s="20" t="n">
        <v>1.8258238</v>
      </c>
      <c r="I32" s="18" t="s">
        <v>349</v>
      </c>
      <c r="J32" s="20" t="s">
        <v>349</v>
      </c>
      <c r="K32" s="18" t="n">
        <v>0.12910101</v>
      </c>
      <c r="L32" s="20" t="n">
        <v>0.12907019</v>
      </c>
      <c r="M32" s="18" t="n">
        <v>0</v>
      </c>
      <c r="N32" s="20" t="n">
        <v>0</v>
      </c>
      <c r="O32" s="18" t="n">
        <v>0</v>
      </c>
      <c r="P32" s="20" t="n">
        <v>0</v>
      </c>
      <c r="Q32" s="18" t="n">
        <v>0.33206165</v>
      </c>
      <c r="R32" s="20" t="n">
        <v>0.19480491</v>
      </c>
    </row>
    <row r="33" spans="1:18">
      <c r="A33" s="15" t="s">
        <v>375</v>
      </c>
      <c r="B33" s="17" t="n">
        <v>7325</v>
      </c>
      <c r="C33" s="18">
        <f>(6446.0/B33*100)</f>
        <v/>
      </c>
      <c r="D33" s="19" t="n">
        <v>879</v>
      </c>
      <c r="E33" s="18" t="n">
        <v>34.97278433</v>
      </c>
      <c r="F33" s="20" t="n">
        <v>2.31962031</v>
      </c>
      <c r="G33" s="18" t="n">
        <v>64.5105227</v>
      </c>
      <c r="H33" s="20" t="n">
        <v>2.29649114</v>
      </c>
      <c r="I33" s="18" t="s">
        <v>349</v>
      </c>
      <c r="J33" s="20" t="s">
        <v>349</v>
      </c>
      <c r="K33" s="18" t="n">
        <v>0.34468423</v>
      </c>
      <c r="L33" s="20" t="n">
        <v>0.40135083</v>
      </c>
      <c r="M33" s="18" t="n">
        <v>0</v>
      </c>
      <c r="N33" s="20" t="n">
        <v>0</v>
      </c>
      <c r="O33" s="18" t="n">
        <v>0</v>
      </c>
      <c r="P33" s="20" t="n">
        <v>0</v>
      </c>
      <c r="Q33" s="18" t="n">
        <v>0.17200873</v>
      </c>
      <c r="R33" s="20" t="n">
        <v>0.16086277</v>
      </c>
    </row>
    <row r="34" spans="1:18">
      <c r="A34" s="15" t="s">
        <v>376</v>
      </c>
      <c r="B34" s="17" t="n">
        <v>6350</v>
      </c>
      <c r="C34" s="18">
        <f>(5561.0/B34*100)</f>
        <v/>
      </c>
      <c r="D34" s="19" t="n">
        <v>789</v>
      </c>
      <c r="E34" s="18" t="n">
        <v>42.1639119</v>
      </c>
      <c r="F34" s="20" t="n">
        <v>1.94760023</v>
      </c>
      <c r="G34" s="18" t="n">
        <v>57.47291757</v>
      </c>
      <c r="H34" s="20" t="n">
        <v>1.91476684</v>
      </c>
      <c r="I34" s="18" t="s">
        <v>349</v>
      </c>
      <c r="J34" s="20" t="s">
        <v>349</v>
      </c>
      <c r="K34" s="18" t="n">
        <v>0.1020181</v>
      </c>
      <c r="L34" s="20" t="n">
        <v>0.1023443</v>
      </c>
      <c r="M34" s="18" t="n">
        <v>0</v>
      </c>
      <c r="N34" s="20" t="n">
        <v>0</v>
      </c>
      <c r="O34" s="18" t="n">
        <v>0</v>
      </c>
      <c r="P34" s="20" t="n">
        <v>0</v>
      </c>
      <c r="Q34" s="18" t="n">
        <v>0.26115244</v>
      </c>
      <c r="R34" s="20" t="n">
        <v>0.18803868</v>
      </c>
    </row>
    <row r="35" spans="1:18">
      <c r="A35" s="15" t="s">
        <v>377</v>
      </c>
      <c r="B35" s="17" t="n">
        <v>6406</v>
      </c>
      <c r="C35" s="18">
        <f>(5641.0/B35*100)</f>
        <v/>
      </c>
      <c r="D35" s="19" t="n">
        <v>765</v>
      </c>
      <c r="E35" s="18" t="n">
        <v>33.86740523</v>
      </c>
      <c r="F35" s="20" t="n">
        <v>2.22662706</v>
      </c>
      <c r="G35" s="18" t="n">
        <v>65.80522222</v>
      </c>
      <c r="H35" s="20" t="n">
        <v>2.23364767</v>
      </c>
      <c r="I35" s="18" t="s">
        <v>349</v>
      </c>
      <c r="J35" s="20" t="s">
        <v>349</v>
      </c>
      <c r="K35" s="18" t="n">
        <v>0.06330577</v>
      </c>
      <c r="L35" s="20" t="n">
        <v>0.06342717</v>
      </c>
      <c r="M35" s="18" t="n">
        <v>0</v>
      </c>
      <c r="N35" s="20" t="n">
        <v>0</v>
      </c>
      <c r="O35" s="18" t="n">
        <v>0</v>
      </c>
      <c r="P35" s="20" t="n">
        <v>0</v>
      </c>
      <c r="Q35" s="18" t="n">
        <v>0.26406679</v>
      </c>
      <c r="R35" s="20" t="n">
        <v>0.08386859000000001</v>
      </c>
    </row>
    <row r="36" spans="1:18">
      <c r="A36" s="15" t="s">
        <v>378</v>
      </c>
      <c r="B36" s="17" t="n">
        <v>6736</v>
      </c>
      <c r="C36" s="18">
        <f>(5896.0/B36*100)</f>
        <v/>
      </c>
      <c r="D36" s="19" t="n">
        <v>840</v>
      </c>
      <c r="E36" s="18" t="n">
        <v>30.44409158</v>
      </c>
      <c r="F36" s="20" t="n">
        <v>1.79310247</v>
      </c>
      <c r="G36" s="18" t="n">
        <v>68.39978050000001</v>
      </c>
      <c r="H36" s="20" t="n">
        <v>1.78959086</v>
      </c>
      <c r="I36" s="18" t="s">
        <v>349</v>
      </c>
      <c r="J36" s="20" t="s">
        <v>349</v>
      </c>
      <c r="K36" s="18" t="n">
        <v>0.31639821</v>
      </c>
      <c r="L36" s="20" t="n">
        <v>0.19950738</v>
      </c>
      <c r="M36" s="18" t="n">
        <v>0</v>
      </c>
      <c r="N36" s="20" t="n">
        <v>0</v>
      </c>
      <c r="O36" s="18" t="n">
        <v>0</v>
      </c>
      <c r="P36" s="20" t="n">
        <v>0</v>
      </c>
      <c r="Q36" s="18" t="n">
        <v>0.8397297</v>
      </c>
      <c r="R36" s="20" t="n">
        <v>0.34243789</v>
      </c>
    </row>
    <row r="37" spans="1:18">
      <c r="A37" s="15" t="s">
        <v>379</v>
      </c>
      <c r="B37" s="17" t="n">
        <v>5458</v>
      </c>
      <c r="C37" s="18">
        <f>(4796.0/B37*100)</f>
        <v/>
      </c>
      <c r="D37" s="19" t="n">
        <v>662</v>
      </c>
      <c r="E37" s="18" t="n">
        <v>31.12871775</v>
      </c>
      <c r="F37" s="20" t="n">
        <v>1.72500163</v>
      </c>
      <c r="G37" s="18" t="n">
        <v>67.84768334</v>
      </c>
      <c r="H37" s="20" t="n">
        <v>1.74714619</v>
      </c>
      <c r="I37" s="18" t="s">
        <v>349</v>
      </c>
      <c r="J37" s="20" t="s">
        <v>349</v>
      </c>
      <c r="K37" s="18" t="n">
        <v>0.30557365</v>
      </c>
      <c r="L37" s="20" t="n">
        <v>0.24955393</v>
      </c>
      <c r="M37" s="18" t="n">
        <v>0</v>
      </c>
      <c r="N37" s="20" t="n">
        <v>0</v>
      </c>
      <c r="O37" s="18" t="n">
        <v>0</v>
      </c>
      <c r="P37" s="20" t="n">
        <v>0</v>
      </c>
      <c r="Q37" s="18" t="n">
        <v>0.71802526</v>
      </c>
      <c r="R37" s="20" t="n">
        <v>0.31831203</v>
      </c>
    </row>
    <row r="38" spans="1:18">
      <c r="A38" s="15" t="s">
        <v>380</v>
      </c>
      <c r="B38" s="17" t="n">
        <v>5860</v>
      </c>
      <c r="C38" s="18">
        <f>(4852.0/B38*100)</f>
        <v/>
      </c>
      <c r="D38" s="19" t="n">
        <v>1008</v>
      </c>
      <c r="E38" s="18" t="n">
        <v>32.22550297</v>
      </c>
      <c r="F38" s="20" t="n">
        <v>1.80379637</v>
      </c>
      <c r="G38" s="18" t="n">
        <v>67.08774277000001</v>
      </c>
      <c r="H38" s="20" t="n">
        <v>1.86079403</v>
      </c>
      <c r="I38" s="18" t="s">
        <v>349</v>
      </c>
      <c r="J38" s="20" t="s">
        <v>349</v>
      </c>
      <c r="K38" s="18" t="n">
        <v>0.09615546</v>
      </c>
      <c r="L38" s="20" t="n">
        <v>0.10379632</v>
      </c>
      <c r="M38" s="18" t="n">
        <v>0</v>
      </c>
      <c r="N38" s="20" t="n">
        <v>0</v>
      </c>
      <c r="O38" s="18" t="n">
        <v>0</v>
      </c>
      <c r="P38" s="20" t="n">
        <v>0</v>
      </c>
      <c r="Q38" s="18" t="n">
        <v>0.59059881</v>
      </c>
      <c r="R38" s="20" t="n">
        <v>0.27036361</v>
      </c>
    </row>
    <row r="39" spans="1:18">
      <c r="A39" s="15" t="s">
        <v>381</v>
      </c>
      <c r="B39" s="17" t="n">
        <v>5895</v>
      </c>
      <c r="C39" s="18">
        <f>(5181.0/B39*100)</f>
        <v/>
      </c>
      <c r="D39" s="19" t="n">
        <v>714</v>
      </c>
      <c r="E39" s="18" t="n">
        <v>40.36346908</v>
      </c>
      <c r="F39" s="20" t="n">
        <v>2.19466681</v>
      </c>
      <c r="G39" s="18" t="n">
        <v>59.22891564</v>
      </c>
      <c r="H39" s="20" t="n">
        <v>2.20406922</v>
      </c>
      <c r="I39" s="18" t="s">
        <v>349</v>
      </c>
      <c r="J39" s="20" t="s">
        <v>349</v>
      </c>
      <c r="K39" s="18" t="n">
        <v>0</v>
      </c>
      <c r="L39" s="20" t="n">
        <v>0</v>
      </c>
      <c r="M39" s="18" t="n">
        <v>0</v>
      </c>
      <c r="N39" s="20" t="n">
        <v>0</v>
      </c>
      <c r="O39" s="18" t="n">
        <v>0</v>
      </c>
      <c r="P39" s="20" t="n">
        <v>0</v>
      </c>
      <c r="Q39" s="18" t="n">
        <v>0.40761529</v>
      </c>
      <c r="R39" s="20" t="n">
        <v>0.2626631</v>
      </c>
    </row>
    <row r="40" spans="1:18">
      <c r="A40" s="15" t="s">
        <v>382</v>
      </c>
      <c r="B40" s="17" t="n">
        <v>14157</v>
      </c>
      <c r="C40" s="18">
        <f>(12405.0/B40*100)</f>
        <v/>
      </c>
      <c r="D40" s="19" t="n">
        <v>1752</v>
      </c>
      <c r="E40" s="18" t="n">
        <v>38.97405315</v>
      </c>
      <c r="F40" s="20" t="n">
        <v>1.67859952</v>
      </c>
      <c r="G40" s="18" t="n">
        <v>60.01588617</v>
      </c>
      <c r="H40" s="20" t="n">
        <v>1.76016307</v>
      </c>
      <c r="I40" s="18" t="s">
        <v>349</v>
      </c>
      <c r="J40" s="20" t="s">
        <v>349</v>
      </c>
      <c r="K40" s="18" t="n">
        <v>0.00655705</v>
      </c>
      <c r="L40" s="20" t="n">
        <v>0.00659238</v>
      </c>
      <c r="M40" s="18" t="n">
        <v>0</v>
      </c>
      <c r="N40" s="20" t="n">
        <v>0</v>
      </c>
      <c r="O40" s="18" t="n">
        <v>0</v>
      </c>
      <c r="P40" s="20" t="n">
        <v>0</v>
      </c>
      <c r="Q40" s="18" t="n">
        <v>1.00350362</v>
      </c>
      <c r="R40" s="20" t="n">
        <v>0.40577828</v>
      </c>
    </row>
    <row r="41" spans="1:18">
      <c r="A41" s="15" t="s">
        <v>383</v>
      </c>
      <c r="B41" s="17" t="n">
        <v>5712</v>
      </c>
      <c r="C41" s="18">
        <f>(5010.0/B41*100)</f>
        <v/>
      </c>
      <c r="D41" s="19" t="n">
        <v>702</v>
      </c>
      <c r="E41" s="18" t="n">
        <v>41.12457156</v>
      </c>
      <c r="F41" s="20" t="n">
        <v>1.96645709</v>
      </c>
      <c r="G41" s="18" t="n">
        <v>58.64939657</v>
      </c>
      <c r="H41" s="20" t="n">
        <v>1.97843808</v>
      </c>
      <c r="I41" s="18" t="s">
        <v>349</v>
      </c>
      <c r="J41" s="20" t="s">
        <v>349</v>
      </c>
      <c r="K41" s="18" t="n">
        <v>0</v>
      </c>
      <c r="L41" s="20" t="n">
        <v>0</v>
      </c>
      <c r="M41" s="18" t="n">
        <v>0</v>
      </c>
      <c r="N41" s="20" t="n">
        <v>0</v>
      </c>
      <c r="O41" s="18" t="n">
        <v>0</v>
      </c>
      <c r="P41" s="20" t="n">
        <v>0</v>
      </c>
      <c r="Q41" s="18" t="n">
        <v>0.22603186</v>
      </c>
      <c r="R41" s="20" t="n">
        <v>0.21627622</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(20435.0/B46*100)</f>
        <v/>
      </c>
      <c r="D46" s="19" t="n">
        <v>2706</v>
      </c>
      <c r="E46" s="18" t="n">
        <v>52.32731371</v>
      </c>
      <c r="F46" s="20" t="n">
        <v>1.30163293</v>
      </c>
      <c r="G46" s="18" t="n">
        <v>45.82435802</v>
      </c>
      <c r="H46" s="20" t="n">
        <v>1.341406</v>
      </c>
      <c r="I46" s="18" t="s">
        <v>349</v>
      </c>
      <c r="J46" s="20" t="s">
        <v>349</v>
      </c>
      <c r="K46" s="18" t="n">
        <v>0.4342103</v>
      </c>
      <c r="L46" s="20" t="n">
        <v>0.17263942</v>
      </c>
      <c r="M46" s="18" t="n">
        <v>0</v>
      </c>
      <c r="N46" s="20" t="n">
        <v>0</v>
      </c>
      <c r="O46" s="18" t="n">
        <v>0</v>
      </c>
      <c r="P46" s="20" t="n">
        <v>0</v>
      </c>
      <c r="Q46" s="18" t="n">
        <v>1.41411797</v>
      </c>
      <c r="R46" s="20" t="n">
        <v>0.29653587</v>
      </c>
    </row>
    <row r="47" spans="1:18">
      <c r="A47" s="15" t="s">
        <v>389</v>
      </c>
      <c r="B47" s="17" t="n">
        <v>5928</v>
      </c>
      <c r="C47" s="18">
        <f>(5184.0/B47*100)</f>
        <v/>
      </c>
      <c r="D47" s="19" t="n">
        <v>744</v>
      </c>
      <c r="E47" s="18" t="n">
        <v>31.78825407</v>
      </c>
      <c r="F47" s="20" t="n">
        <v>1.70390902</v>
      </c>
      <c r="G47" s="18" t="n">
        <v>67.13539693</v>
      </c>
      <c r="H47" s="20" t="n">
        <v>1.69847114</v>
      </c>
      <c r="I47" s="18" t="s">
        <v>349</v>
      </c>
      <c r="J47" s="20" t="s">
        <v>349</v>
      </c>
      <c r="K47" s="18" t="n">
        <v>0</v>
      </c>
      <c r="L47" s="20" t="n">
        <v>0</v>
      </c>
      <c r="M47" s="18" t="n">
        <v>0</v>
      </c>
      <c r="N47" s="20" t="n">
        <v>0</v>
      </c>
      <c r="O47" s="18" t="n">
        <v>0</v>
      </c>
      <c r="P47" s="20" t="n">
        <v>0</v>
      </c>
      <c r="Q47" s="18" t="n">
        <v>1.076349</v>
      </c>
      <c r="R47" s="20" t="n">
        <v>0.33470218</v>
      </c>
    </row>
    <row r="48" spans="1:18">
      <c r="A48" s="15" t="s">
        <v>390</v>
      </c>
      <c r="B48" s="17" t="n">
        <v>9841</v>
      </c>
      <c r="C48" s="18">
        <f>(8661.0/B48*100)</f>
        <v/>
      </c>
      <c r="D48" s="19" t="n">
        <v>1180</v>
      </c>
      <c r="E48" s="18" t="n">
        <v>32.86711966</v>
      </c>
      <c r="F48" s="20" t="n">
        <v>1.53163037</v>
      </c>
      <c r="G48" s="18" t="n">
        <v>66.48154734000001</v>
      </c>
      <c r="H48" s="20" t="n">
        <v>1.54243692</v>
      </c>
      <c r="I48" s="18" t="s">
        <v>349</v>
      </c>
      <c r="J48" s="20" t="s">
        <v>349</v>
      </c>
      <c r="K48" s="18" t="n">
        <v>0.44109485</v>
      </c>
      <c r="L48" s="20" t="n">
        <v>0.32686015</v>
      </c>
      <c r="M48" s="18" t="n">
        <v>0</v>
      </c>
      <c r="N48" s="20" t="n">
        <v>0</v>
      </c>
      <c r="O48" s="18" t="n">
        <v>0</v>
      </c>
      <c r="P48" s="20" t="n">
        <v>0</v>
      </c>
      <c r="Q48" s="18" t="n">
        <v>0.21023816</v>
      </c>
      <c r="R48" s="20" t="n">
        <v>0.14870259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(10376.0/B50*100)</f>
        <v/>
      </c>
      <c r="D50" s="19" t="n">
        <v>1419</v>
      </c>
      <c r="E50" s="18" t="n">
        <v>48.99355466</v>
      </c>
      <c r="F50" s="20" t="n">
        <v>1.85493988</v>
      </c>
      <c r="G50" s="18" t="n">
        <v>50.18043301</v>
      </c>
      <c r="H50" s="20" t="n">
        <v>1.79942418</v>
      </c>
      <c r="I50" s="18" t="s">
        <v>349</v>
      </c>
      <c r="J50" s="20" t="s">
        <v>349</v>
      </c>
      <c r="K50" s="18" t="n">
        <v>0.71588448</v>
      </c>
      <c r="L50" s="20" t="n">
        <v>0.55727927</v>
      </c>
      <c r="M50" s="18" t="n">
        <v>0</v>
      </c>
      <c r="N50" s="20" t="n">
        <v>0</v>
      </c>
      <c r="O50" s="18" t="n">
        <v>0</v>
      </c>
      <c r="P50" s="20" t="n">
        <v>0</v>
      </c>
      <c r="Q50" s="18" t="n">
        <v>0.11012785</v>
      </c>
      <c r="R50" s="20" t="n">
        <v>0.06723579</v>
      </c>
    </row>
    <row r="51" spans="1:18">
      <c r="A51" s="15" t="s">
        <v>393</v>
      </c>
      <c r="B51" s="17" t="n">
        <v>6866</v>
      </c>
      <c r="C51" s="18">
        <f>(6126.0/B51*100)</f>
        <v/>
      </c>
      <c r="D51" s="19" t="n">
        <v>740</v>
      </c>
      <c r="E51" s="18" t="n">
        <v>46.39379059</v>
      </c>
      <c r="F51" s="20" t="n">
        <v>2.37230504</v>
      </c>
      <c r="G51" s="18" t="n">
        <v>52.58632373</v>
      </c>
      <c r="H51" s="20" t="n">
        <v>2.36434652</v>
      </c>
      <c r="I51" s="18" t="s">
        <v>349</v>
      </c>
      <c r="J51" s="20" t="s">
        <v>349</v>
      </c>
      <c r="K51" s="18" t="n">
        <v>0.02163724</v>
      </c>
      <c r="L51" s="20" t="n">
        <v>0.02180412</v>
      </c>
      <c r="M51" s="18" t="n">
        <v>0</v>
      </c>
      <c r="N51" s="20" t="n">
        <v>0</v>
      </c>
      <c r="O51" s="18" t="n">
        <v>0</v>
      </c>
      <c r="P51" s="20" t="n">
        <v>0</v>
      </c>
      <c r="Q51" s="18" t="n">
        <v>0.99824845</v>
      </c>
      <c r="R51" s="20" t="n">
        <v>0.34228987</v>
      </c>
    </row>
    <row r="52" spans="1:18">
      <c r="A52" s="15" t="s">
        <v>394</v>
      </c>
      <c r="B52" s="17" t="n">
        <v>5809</v>
      </c>
      <c r="C52" s="18">
        <f>(5102.0/B52*100)</f>
        <v/>
      </c>
      <c r="D52" s="19" t="n">
        <v>707</v>
      </c>
      <c r="E52" s="18" t="n">
        <v>34.63174879</v>
      </c>
      <c r="F52" s="20" t="n">
        <v>1.77107329</v>
      </c>
      <c r="G52" s="18" t="n">
        <v>64.42855955</v>
      </c>
      <c r="H52" s="20" t="n">
        <v>1.84772205</v>
      </c>
      <c r="I52" s="18" t="s">
        <v>349</v>
      </c>
      <c r="J52" s="20" t="s">
        <v>349</v>
      </c>
      <c r="K52" s="18" t="n">
        <v>0.26073876</v>
      </c>
      <c r="L52" s="20" t="n">
        <v>0.18576473</v>
      </c>
      <c r="M52" s="18" t="n">
        <v>0</v>
      </c>
      <c r="N52" s="20" t="n">
        <v>0</v>
      </c>
      <c r="O52" s="18" t="n">
        <v>0</v>
      </c>
      <c r="P52" s="20" t="n">
        <v>0</v>
      </c>
      <c r="Q52" s="18" t="n">
        <v>0.67895289</v>
      </c>
      <c r="R52" s="20" t="n">
        <v>0.35006691</v>
      </c>
    </row>
    <row r="53" spans="1:18">
      <c r="A53" s="15" t="s">
        <v>395</v>
      </c>
      <c r="B53" s="17" t="n">
        <v>5571</v>
      </c>
      <c r="C53" s="18">
        <f>(4910.0/B53*100)</f>
        <v/>
      </c>
      <c r="D53" s="19" t="n">
        <v>661</v>
      </c>
      <c r="E53" s="18" t="n">
        <v>48.15818283</v>
      </c>
      <c r="F53" s="20" t="n">
        <v>2.27590573</v>
      </c>
      <c r="G53" s="18" t="n">
        <v>50.63733332</v>
      </c>
      <c r="H53" s="20" t="n">
        <v>2.231518</v>
      </c>
      <c r="I53" s="18" t="s">
        <v>349</v>
      </c>
      <c r="J53" s="20" t="s">
        <v>349</v>
      </c>
      <c r="K53" s="18" t="n">
        <v>0.36774082</v>
      </c>
      <c r="L53" s="20" t="n">
        <v>0.21163962</v>
      </c>
      <c r="M53" s="18" t="n">
        <v>0</v>
      </c>
      <c r="N53" s="20" t="n">
        <v>0</v>
      </c>
      <c r="O53" s="18" t="n">
        <v>0</v>
      </c>
      <c r="P53" s="20" t="n">
        <v>0</v>
      </c>
      <c r="Q53" s="18" t="n">
        <v>0.8367430300000001</v>
      </c>
      <c r="R53" s="20" t="n">
        <v>0.38878312</v>
      </c>
    </row>
    <row r="54" spans="1:18">
      <c r="A54" s="15" t="s">
        <v>396</v>
      </c>
      <c r="B54" s="17" t="n">
        <v>4740</v>
      </c>
      <c r="C54" s="18">
        <f>(3944.0/B54*100)</f>
        <v/>
      </c>
      <c r="D54" s="19" t="n">
        <v>796</v>
      </c>
      <c r="E54" s="18" t="n">
        <v>53.54649255</v>
      </c>
      <c r="F54" s="20" t="n">
        <v>1.83838284</v>
      </c>
      <c r="G54" s="18" t="n">
        <v>40.02429555</v>
      </c>
      <c r="H54" s="20" t="n">
        <v>1.65914712</v>
      </c>
      <c r="I54" s="18" t="s">
        <v>349</v>
      </c>
      <c r="J54" s="20" t="s">
        <v>349</v>
      </c>
      <c r="K54" s="18" t="n">
        <v>3.31461252</v>
      </c>
      <c r="L54" s="20" t="n">
        <v>0.7164766</v>
      </c>
      <c r="M54" s="18" t="n">
        <v>0</v>
      </c>
      <c r="N54" s="20" t="n">
        <v>0</v>
      </c>
      <c r="O54" s="18" t="n">
        <v>0</v>
      </c>
      <c r="P54" s="20" t="n">
        <v>0</v>
      </c>
      <c r="Q54" s="18" t="n">
        <v>3.11459938</v>
      </c>
      <c r="R54" s="20" t="n">
        <v>0.82284524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25.53668318</v>
      </c>
      <c r="F56" s="20" t="n">
        <v>1.9537406</v>
      </c>
      <c r="G56" s="18" t="n">
        <v>74.11298185</v>
      </c>
      <c r="H56" s="20" t="n">
        <v>1.94954986</v>
      </c>
      <c r="I56" s="18" t="s">
        <v>349</v>
      </c>
      <c r="J56" s="20" t="s">
        <v>349</v>
      </c>
      <c r="K56" s="18" t="n">
        <v>0</v>
      </c>
      <c r="L56" s="20" t="n">
        <v>0</v>
      </c>
      <c r="M56" s="18" t="n">
        <v>0</v>
      </c>
      <c r="N56" s="20" t="n">
        <v>0</v>
      </c>
      <c r="O56" s="18" t="n">
        <v>0</v>
      </c>
      <c r="P56" s="20" t="n">
        <v>0</v>
      </c>
      <c r="Q56" s="18" t="n">
        <v>0.35033497</v>
      </c>
      <c r="R56" s="20" t="n">
        <v>0.20618614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(5723.0/B61*100)</f>
        <v/>
      </c>
      <c r="D61" s="19" t="n">
        <v>802</v>
      </c>
      <c r="E61" s="18" t="n">
        <v>39.78650817</v>
      </c>
      <c r="F61" s="20" t="n">
        <v>1.83712612</v>
      </c>
      <c r="G61" s="18" t="n">
        <v>59.68317921</v>
      </c>
      <c r="H61" s="20" t="n">
        <v>1.84702769</v>
      </c>
      <c r="I61" s="18" t="s">
        <v>349</v>
      </c>
      <c r="J61" s="20" t="s">
        <v>349</v>
      </c>
      <c r="K61" s="18" t="n">
        <v>0.18843247</v>
      </c>
      <c r="L61" s="20" t="n">
        <v>0.15622904</v>
      </c>
      <c r="M61" s="18" t="n">
        <v>0</v>
      </c>
      <c r="N61" s="20" t="n">
        <v>0</v>
      </c>
      <c r="O61" s="18" t="n">
        <v>0</v>
      </c>
      <c r="P61" s="20" t="n">
        <v>0</v>
      </c>
      <c r="Q61" s="18" t="n">
        <v>0.34188015</v>
      </c>
      <c r="R61" s="20" t="n">
        <v>0.24064171</v>
      </c>
    </row>
    <row r="62" spans="1:18">
      <c r="A62" s="15" t="s">
        <v>404</v>
      </c>
      <c r="B62" s="17" t="n">
        <v>4476</v>
      </c>
      <c r="C62" s="18">
        <f>(3926.0/B62*100)</f>
        <v/>
      </c>
      <c r="D62" s="19" t="n">
        <v>550</v>
      </c>
      <c r="E62" s="18" t="n">
        <v>22.72445581</v>
      </c>
      <c r="F62" s="20" t="n">
        <v>1.77377427</v>
      </c>
      <c r="G62" s="18" t="n">
        <v>77.27554419000001</v>
      </c>
      <c r="H62" s="20" t="n">
        <v>1.77377427</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42.58400692</v>
      </c>
      <c r="F66" s="20" t="n">
        <v>2.1871255</v>
      </c>
      <c r="G66" s="18" t="n">
        <v>55.23143575</v>
      </c>
      <c r="H66" s="20" t="n">
        <v>2.15753969</v>
      </c>
      <c r="I66" s="18" t="s">
        <v>349</v>
      </c>
      <c r="J66" s="20" t="s">
        <v>349</v>
      </c>
      <c r="K66" s="18" t="n">
        <v>0.26687825</v>
      </c>
      <c r="L66" s="20" t="n">
        <v>0.18959514</v>
      </c>
      <c r="M66" s="18" t="n">
        <v>0</v>
      </c>
      <c r="N66" s="20" t="n">
        <v>0</v>
      </c>
      <c r="O66" s="18" t="n">
        <v>0</v>
      </c>
      <c r="P66" s="20" t="n">
        <v>0</v>
      </c>
      <c r="Q66" s="18" t="n">
        <v>1.91767908</v>
      </c>
      <c r="R66" s="20" t="n">
        <v>0.53854023</v>
      </c>
    </row>
    <row r="67" spans="1:18">
      <c r="A67" s="15" t="s">
        <v>409</v>
      </c>
      <c r="B67" s="17" t="n">
        <v>6971</v>
      </c>
      <c r="C67" s="18">
        <f>(6134.0/B67*100)</f>
        <v/>
      </c>
      <c r="D67" s="19" t="n">
        <v>837</v>
      </c>
      <c r="E67" s="18" t="n">
        <v>53.00996662</v>
      </c>
      <c r="F67" s="20" t="n">
        <v>1.57373759</v>
      </c>
      <c r="G67" s="18" t="n">
        <v>46.04604301</v>
      </c>
      <c r="H67" s="20" t="n">
        <v>1.56858452</v>
      </c>
      <c r="I67" s="18" t="s">
        <v>349</v>
      </c>
      <c r="J67" s="20" t="s">
        <v>349</v>
      </c>
      <c r="K67" s="18" t="n">
        <v>0</v>
      </c>
      <c r="L67" s="20" t="n">
        <v>0</v>
      </c>
      <c r="M67" s="18" t="n">
        <v>0</v>
      </c>
      <c r="N67" s="20" t="n">
        <v>0</v>
      </c>
      <c r="O67" s="18" t="n">
        <v>0</v>
      </c>
      <c r="P67" s="20" t="n">
        <v>0</v>
      </c>
      <c r="Q67" s="18" t="n">
        <v>0.94399037</v>
      </c>
      <c r="R67" s="20" t="n">
        <v>0.36108573</v>
      </c>
    </row>
    <row r="68" spans="1:18">
      <c r="A68" s="15" t="s">
        <v>410</v>
      </c>
      <c r="B68" s="17" t="n">
        <v>12083</v>
      </c>
      <c r="C68" s="18">
        <f>(10080.0/B68*100)</f>
        <v/>
      </c>
      <c r="D68" s="19" t="n">
        <v>2003</v>
      </c>
      <c r="E68" s="18" t="n">
        <v>56.93910713</v>
      </c>
      <c r="F68" s="20" t="n">
        <v>1.2014674</v>
      </c>
      <c r="G68" s="18" t="n">
        <v>40.61544222</v>
      </c>
      <c r="H68" s="20" t="n">
        <v>1.18204731</v>
      </c>
      <c r="I68" s="18" t="s">
        <v>349</v>
      </c>
      <c r="J68" s="20" t="s">
        <v>349</v>
      </c>
      <c r="K68" s="18" t="n">
        <v>0.8846908</v>
      </c>
      <c r="L68" s="20" t="n">
        <v>0.21474005</v>
      </c>
      <c r="M68" s="18" t="n">
        <v>0</v>
      </c>
      <c r="N68" s="20" t="n">
        <v>0</v>
      </c>
      <c r="O68" s="18" t="n">
        <v>0</v>
      </c>
      <c r="P68" s="20" t="n">
        <v>0</v>
      </c>
      <c r="Q68" s="18" t="n">
        <v>1.56075985</v>
      </c>
      <c r="R68" s="20" t="n">
        <v>0.2506409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(5304.0/B70*100)</f>
        <v/>
      </c>
      <c r="D70" s="19" t="n">
        <v>732</v>
      </c>
      <c r="E70" s="18" t="n">
        <v>37.76570885</v>
      </c>
      <c r="F70" s="20" t="n">
        <v>2.0697691</v>
      </c>
      <c r="G70" s="18" t="n">
        <v>61.99299254</v>
      </c>
      <c r="H70" s="20" t="n">
        <v>2.085228</v>
      </c>
      <c r="I70" s="18" t="s">
        <v>349</v>
      </c>
      <c r="J70" s="20" t="s">
        <v>349</v>
      </c>
      <c r="K70" s="18" t="n">
        <v>0.16380703</v>
      </c>
      <c r="L70" s="20" t="n">
        <v>0.11658081</v>
      </c>
      <c r="M70" s="18" t="n">
        <v>0</v>
      </c>
      <c r="N70" s="20" t="n">
        <v>0</v>
      </c>
      <c r="O70" s="18" t="n">
        <v>0</v>
      </c>
      <c r="P70" s="20" t="n">
        <v>0</v>
      </c>
      <c r="Q70" s="18" t="n">
        <v>0.07749157</v>
      </c>
      <c r="R70" s="20" t="n">
        <v>0.07933274999999999</v>
      </c>
    </row>
    <row r="71" spans="1:18">
      <c r="A71" s="15" t="s">
        <v>413</v>
      </c>
      <c r="B71" s="17" t="n">
        <v>6115</v>
      </c>
      <c r="C71" s="18">
        <f>(5348.0/B71*100)</f>
        <v/>
      </c>
      <c r="D71" s="19" t="n">
        <v>767</v>
      </c>
      <c r="E71" s="18" t="n">
        <v>25.62432264</v>
      </c>
      <c r="F71" s="20" t="n">
        <v>1.58866972</v>
      </c>
      <c r="G71" s="18" t="n">
        <v>73.96617268</v>
      </c>
      <c r="H71" s="20" t="n">
        <v>1.61291151</v>
      </c>
      <c r="I71" s="18" t="s">
        <v>349</v>
      </c>
      <c r="J71" s="20" t="s">
        <v>349</v>
      </c>
      <c r="K71" s="18" t="n">
        <v>0.13993299</v>
      </c>
      <c r="L71" s="20" t="n">
        <v>0.13310089</v>
      </c>
      <c r="M71" s="18" t="n">
        <v>0</v>
      </c>
      <c r="N71" s="20" t="n">
        <v>0</v>
      </c>
      <c r="O71" s="18" t="n">
        <v>0</v>
      </c>
      <c r="P71" s="20" t="n">
        <v>0</v>
      </c>
      <c r="Q71" s="18" t="n">
        <v>0.26957168</v>
      </c>
      <c r="R71" s="20" t="n">
        <v>0.15586521</v>
      </c>
    </row>
    <row r="72" spans="1:18">
      <c r="A72" s="15" t="s">
        <v>414</v>
      </c>
      <c r="B72" s="17" t="n">
        <v>7708</v>
      </c>
      <c r="C72" s="18">
        <f>(6749.0/B72*100)</f>
        <v/>
      </c>
      <c r="D72" s="19" t="n">
        <v>959</v>
      </c>
      <c r="E72" s="18" t="n">
        <v>24.27852543</v>
      </c>
      <c r="F72" s="20" t="n">
        <v>1.41682811</v>
      </c>
      <c r="G72" s="18" t="n">
        <v>75.36105886999999</v>
      </c>
      <c r="H72" s="20" t="n">
        <v>1.41884535</v>
      </c>
      <c r="I72" s="18" t="s">
        <v>349</v>
      </c>
      <c r="J72" s="20" t="s">
        <v>349</v>
      </c>
      <c r="K72" s="18" t="n">
        <v>0</v>
      </c>
      <c r="L72" s="20" t="n">
        <v>0</v>
      </c>
      <c r="M72" s="18" t="n">
        <v>0</v>
      </c>
      <c r="N72" s="20" t="n">
        <v>0</v>
      </c>
      <c r="O72" s="18" t="n">
        <v>0</v>
      </c>
      <c r="P72" s="20" t="n">
        <v>0</v>
      </c>
      <c r="Q72" s="18" t="n">
        <v>0.3604157</v>
      </c>
      <c r="R72" s="20" t="n">
        <v>0.16701365</v>
      </c>
    </row>
    <row r="73" spans="1:18">
      <c r="A73" s="15" t="s">
        <v>415</v>
      </c>
      <c r="B73" s="17" t="n">
        <v>8249</v>
      </c>
      <c r="C73" s="18">
        <f>(7251.0/B73*100)</f>
        <v/>
      </c>
      <c r="D73" s="19" t="n">
        <v>998</v>
      </c>
      <c r="E73" s="18" t="n">
        <v>48.63803306</v>
      </c>
      <c r="F73" s="20" t="n">
        <v>2.37315337</v>
      </c>
      <c r="G73" s="18" t="n">
        <v>51.22334762</v>
      </c>
      <c r="H73" s="20" t="n">
        <v>2.38394376</v>
      </c>
      <c r="I73" s="18" t="s">
        <v>349</v>
      </c>
      <c r="J73" s="20" t="s">
        <v>349</v>
      </c>
      <c r="K73" s="18" t="n">
        <v>0</v>
      </c>
      <c r="L73" s="20" t="n">
        <v>0</v>
      </c>
      <c r="M73" s="18" t="n">
        <v>0</v>
      </c>
      <c r="N73" s="20" t="n">
        <v>0</v>
      </c>
      <c r="O73" s="18" t="n">
        <v>0</v>
      </c>
      <c r="P73" s="20" t="n">
        <v>0</v>
      </c>
      <c r="Q73" s="18" t="n">
        <v>0.13861932</v>
      </c>
      <c r="R73" s="20" t="n">
        <v>0.13893312</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(4734.0/B75*100)</f>
        <v/>
      </c>
      <c r="D75" s="19" t="n">
        <v>641</v>
      </c>
      <c r="E75" s="18" t="n">
        <v>51.66461575</v>
      </c>
      <c r="F75" s="20" t="n">
        <v>1.66999854</v>
      </c>
      <c r="G75" s="18" t="n">
        <v>46.40503906</v>
      </c>
      <c r="H75" s="20" t="n">
        <v>1.78022109</v>
      </c>
      <c r="I75" s="18" t="s">
        <v>349</v>
      </c>
      <c r="J75" s="20" t="s">
        <v>349</v>
      </c>
      <c r="K75" s="18" t="n">
        <v>0.96380444</v>
      </c>
      <c r="L75" s="20" t="n">
        <v>0.38274591</v>
      </c>
      <c r="M75" s="18" t="n">
        <v>0</v>
      </c>
      <c r="N75" s="20" t="n">
        <v>0</v>
      </c>
      <c r="O75" s="18" t="n">
        <v>0</v>
      </c>
      <c r="P75" s="20" t="n">
        <v>0</v>
      </c>
      <c r="Q75" s="18" t="n">
        <v>0.96654076</v>
      </c>
      <c r="R75" s="20" t="n">
        <v>0.37498178</v>
      </c>
    </row>
    <row r="76" spans="1:18">
      <c r="A76" s="15" t="s">
        <v>418</v>
      </c>
      <c r="B76" s="17" t="n">
        <v>14167</v>
      </c>
      <c r="C76" s="18">
        <f>(12432.0/B76*100)</f>
        <v/>
      </c>
      <c r="D76" s="19" t="n">
        <v>1735</v>
      </c>
      <c r="E76" s="18" t="n">
        <v>48.37174114</v>
      </c>
      <c r="F76" s="20" t="n">
        <v>1.77152516</v>
      </c>
      <c r="G76" s="18" t="n">
        <v>50.04785621</v>
      </c>
      <c r="H76" s="20" t="n">
        <v>1.70025971</v>
      </c>
      <c r="I76" s="18" t="s">
        <v>349</v>
      </c>
      <c r="J76" s="20" t="s">
        <v>349</v>
      </c>
      <c r="K76" s="18" t="n">
        <v>0.72157894</v>
      </c>
      <c r="L76" s="20" t="n">
        <v>0.24461048</v>
      </c>
      <c r="M76" s="18" t="n">
        <v>0</v>
      </c>
      <c r="N76" s="20" t="n">
        <v>0</v>
      </c>
      <c r="O76" s="18" t="n">
        <v>0</v>
      </c>
      <c r="P76" s="20" t="n">
        <v>0</v>
      </c>
      <c r="Q76" s="18" t="n">
        <v>0.8588237</v>
      </c>
      <c r="R76" s="20" t="n">
        <v>0.33354025</v>
      </c>
    </row>
    <row r="77" spans="1:18">
      <c r="A77" s="15" t="s">
        <v>419</v>
      </c>
      <c r="B77" s="17" t="n">
        <v>6062</v>
      </c>
      <c r="C77" s="18">
        <f>(5308.0/B77*100)</f>
        <v/>
      </c>
      <c r="D77" s="19" t="n">
        <v>754</v>
      </c>
      <c r="E77" s="18" t="n">
        <v>47.93587703</v>
      </c>
      <c r="F77" s="20" t="n">
        <v>1.93333243</v>
      </c>
      <c r="G77" s="18" t="n">
        <v>50.13995174</v>
      </c>
      <c r="H77" s="20" t="n">
        <v>1.9205844</v>
      </c>
      <c r="I77" s="18" t="s">
        <v>349</v>
      </c>
      <c r="J77" s="20" t="s">
        <v>349</v>
      </c>
      <c r="K77" s="18" t="n">
        <v>0.51692773</v>
      </c>
      <c r="L77" s="20" t="n">
        <v>0.32684422</v>
      </c>
      <c r="M77" s="18" t="n">
        <v>0</v>
      </c>
      <c r="N77" s="20" t="n">
        <v>0</v>
      </c>
      <c r="O77" s="18" t="n">
        <v>0</v>
      </c>
      <c r="P77" s="20" t="n">
        <v>0</v>
      </c>
      <c r="Q77" s="18" t="n">
        <v>1.40724351</v>
      </c>
      <c r="R77" s="20" t="n">
        <v>0.39753505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(7770.0/B81*100)</f>
        <v/>
      </c>
      <c r="D81" s="19" t="n">
        <v>1091</v>
      </c>
      <c r="E81" s="18" t="n">
        <v>50.12598322</v>
      </c>
      <c r="F81" s="20" t="n">
        <v>1.76734943</v>
      </c>
      <c r="G81" s="18" t="n">
        <v>49.12757449</v>
      </c>
      <c r="H81" s="20" t="n">
        <v>1.79790345</v>
      </c>
      <c r="I81" s="18" t="s">
        <v>349</v>
      </c>
      <c r="J81" s="20" t="s">
        <v>349</v>
      </c>
      <c r="K81" s="18" t="n">
        <v>0.26982768</v>
      </c>
      <c r="L81" s="20" t="n">
        <v>0.16029048</v>
      </c>
      <c r="M81" s="18" t="n">
        <v>0</v>
      </c>
      <c r="N81" s="20" t="n">
        <v>0</v>
      </c>
      <c r="O81" s="18" t="n">
        <v>0</v>
      </c>
      <c r="P81" s="20" t="n">
        <v>0</v>
      </c>
      <c r="Q81" s="18" t="n">
        <v>0.47661461</v>
      </c>
      <c r="R81" s="20" t="n">
        <v>0.26958896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(12777.0/B7*100)</f>
        <v/>
      </c>
      <c r="D7" s="19" t="n">
        <v>1753</v>
      </c>
      <c r="E7" s="18" t="n">
        <v>58.99154159</v>
      </c>
      <c r="F7" s="20" t="n">
        <v>1.42541131</v>
      </c>
      <c r="G7" s="18" t="n">
        <v>39.71854668</v>
      </c>
      <c r="H7" s="20" t="n">
        <v>1.40960861</v>
      </c>
      <c r="I7" s="18" t="s">
        <v>349</v>
      </c>
      <c r="J7" s="20" t="s">
        <v>349</v>
      </c>
      <c r="K7" s="18" t="n">
        <v>0.41556624</v>
      </c>
      <c r="L7" s="20" t="n">
        <v>0.1924131</v>
      </c>
      <c r="M7" s="18" t="n">
        <v>0</v>
      </c>
      <c r="N7" s="20" t="n">
        <v>0</v>
      </c>
      <c r="O7" s="18" t="n">
        <v>0</v>
      </c>
      <c r="P7" s="20" t="n">
        <v>0</v>
      </c>
      <c r="Q7" s="18" t="n">
        <v>0.8743454899999999</v>
      </c>
      <c r="R7" s="20" t="n">
        <v>0.25421029</v>
      </c>
    </row>
    <row r="8" spans="1:18">
      <c r="A8" s="15" t="s">
        <v>350</v>
      </c>
      <c r="B8" s="17" t="n">
        <v>7007</v>
      </c>
      <c r="C8" s="18">
        <f>(6118.0/B8*100)</f>
        <v/>
      </c>
      <c r="D8" s="19" t="n">
        <v>889</v>
      </c>
      <c r="E8" s="18" t="n">
        <v>48.67446446</v>
      </c>
      <c r="F8" s="20" t="n">
        <v>1.67559767</v>
      </c>
      <c r="G8" s="18" t="n">
        <v>50.16998882</v>
      </c>
      <c r="H8" s="20" t="n">
        <v>1.75642982</v>
      </c>
      <c r="I8" s="18" t="s">
        <v>349</v>
      </c>
      <c r="J8" s="20" t="s">
        <v>349</v>
      </c>
      <c r="K8" s="18" t="n">
        <v>0.13246879</v>
      </c>
      <c r="L8" s="20" t="n">
        <v>0.13001405</v>
      </c>
      <c r="M8" s="18" t="n">
        <v>0</v>
      </c>
      <c r="N8" s="20" t="n">
        <v>0</v>
      </c>
      <c r="O8" s="18" t="n">
        <v>0</v>
      </c>
      <c r="P8" s="20" t="n">
        <v>0</v>
      </c>
      <c r="Q8" s="18" t="n">
        <v>1.02307793</v>
      </c>
      <c r="R8" s="20" t="n">
        <v>0.39342656</v>
      </c>
    </row>
    <row r="9" spans="1:18">
      <c r="A9" s="15" t="s">
        <v>351</v>
      </c>
      <c r="B9" s="17" t="n">
        <v>9651</v>
      </c>
      <c r="C9" s="18">
        <f>(8505.0/B9*100)</f>
        <v/>
      </c>
      <c r="D9" s="19" t="n">
        <v>1146</v>
      </c>
      <c r="E9" s="18" t="n">
        <v>45.9121213</v>
      </c>
      <c r="F9" s="20" t="n">
        <v>1.43585139</v>
      </c>
      <c r="G9" s="18" t="n">
        <v>53.5681622</v>
      </c>
      <c r="H9" s="20" t="n">
        <v>1.45508775</v>
      </c>
      <c r="I9" s="18" t="s">
        <v>349</v>
      </c>
      <c r="J9" s="20" t="s">
        <v>349</v>
      </c>
      <c r="K9" s="18" t="n">
        <v>0.04131069</v>
      </c>
      <c r="L9" s="20" t="n">
        <v>0.04115265</v>
      </c>
      <c r="M9" s="18" t="n">
        <v>0</v>
      </c>
      <c r="N9" s="20" t="n">
        <v>0</v>
      </c>
      <c r="O9" s="18" t="n">
        <v>0</v>
      </c>
      <c r="P9" s="20" t="n">
        <v>0</v>
      </c>
      <c r="Q9" s="18" t="n">
        <v>0.47840581</v>
      </c>
      <c r="R9" s="20" t="n">
        <v>0.2275396</v>
      </c>
    </row>
    <row r="10" spans="1:18">
      <c r="A10" s="15" t="s">
        <v>352</v>
      </c>
      <c r="B10" s="17" t="n">
        <v>20058</v>
      </c>
      <c r="C10" s="18">
        <f>(17584.0/B10*100)</f>
        <v/>
      </c>
      <c r="D10" s="19" t="n">
        <v>2474</v>
      </c>
      <c r="E10" s="18" t="n">
        <v>49.02465518</v>
      </c>
      <c r="F10" s="20" t="n">
        <v>1.44637239</v>
      </c>
      <c r="G10" s="18" t="n">
        <v>50.24983633</v>
      </c>
      <c r="H10" s="20" t="n">
        <v>1.4374086</v>
      </c>
      <c r="I10" s="18" t="s">
        <v>349</v>
      </c>
      <c r="J10" s="20" t="s">
        <v>349</v>
      </c>
      <c r="K10" s="18" t="n">
        <v>0.1628898</v>
      </c>
      <c r="L10" s="20" t="n">
        <v>0.08258281000000001</v>
      </c>
      <c r="M10" s="18" t="n">
        <v>0</v>
      </c>
      <c r="N10" s="20" t="n">
        <v>0</v>
      </c>
      <c r="O10" s="18" t="n">
        <v>0</v>
      </c>
      <c r="P10" s="20" t="n">
        <v>0</v>
      </c>
      <c r="Q10" s="18" t="n">
        <v>0.56261869</v>
      </c>
      <c r="R10" s="20" t="n">
        <v>0.2002056</v>
      </c>
    </row>
    <row r="11" spans="1:18">
      <c r="A11" s="15" t="s">
        <v>353</v>
      </c>
      <c r="B11" s="17" t="n">
        <v>7053</v>
      </c>
      <c r="C11" s="18">
        <f>(6179.0/B11*100)</f>
        <v/>
      </c>
      <c r="D11" s="19" t="n">
        <v>874</v>
      </c>
      <c r="E11" s="18" t="n">
        <v>75.13412551</v>
      </c>
      <c r="F11" s="20" t="n">
        <v>1.50307842</v>
      </c>
      <c r="G11" s="18" t="n">
        <v>22.83106053</v>
      </c>
      <c r="H11" s="20" t="n">
        <v>1.51995878</v>
      </c>
      <c r="I11" s="18" t="s">
        <v>349</v>
      </c>
      <c r="J11" s="20" t="s">
        <v>349</v>
      </c>
      <c r="K11" s="18" t="n">
        <v>0</v>
      </c>
      <c r="L11" s="20" t="n">
        <v>0</v>
      </c>
      <c r="M11" s="18" t="n">
        <v>0</v>
      </c>
      <c r="N11" s="20" t="n">
        <v>0</v>
      </c>
      <c r="O11" s="18" t="n">
        <v>0</v>
      </c>
      <c r="P11" s="20" t="n">
        <v>0</v>
      </c>
      <c r="Q11" s="18" t="n">
        <v>2.03481396</v>
      </c>
      <c r="R11" s="20" t="n">
        <v>0.48578914</v>
      </c>
    </row>
    <row r="12" spans="1:18">
      <c r="A12" s="15" t="s">
        <v>354</v>
      </c>
      <c r="B12" s="17" t="n">
        <v>6894</v>
      </c>
      <c r="C12" s="18">
        <f>(6051.0/B12*100)</f>
        <v/>
      </c>
      <c r="D12" s="19" t="n">
        <v>843</v>
      </c>
      <c r="E12" s="18" t="n">
        <v>50.24863963</v>
      </c>
      <c r="F12" s="20" t="n">
        <v>2.04641209</v>
      </c>
      <c r="G12" s="18" t="n">
        <v>48.77494409</v>
      </c>
      <c r="H12" s="20" t="n">
        <v>2.03646925</v>
      </c>
      <c r="I12" s="18" t="s">
        <v>349</v>
      </c>
      <c r="J12" s="20" t="s">
        <v>349</v>
      </c>
      <c r="K12" s="18" t="n">
        <v>0.16631164</v>
      </c>
      <c r="L12" s="20" t="n">
        <v>0.27112028</v>
      </c>
      <c r="M12" s="18" t="n">
        <v>0</v>
      </c>
      <c r="N12" s="20" t="n">
        <v>0</v>
      </c>
      <c r="O12" s="18" t="n">
        <v>0</v>
      </c>
      <c r="P12" s="20" t="n">
        <v>0</v>
      </c>
      <c r="Q12" s="18" t="n">
        <v>0.81010463</v>
      </c>
      <c r="R12" s="20" t="n">
        <v>0.34713938</v>
      </c>
    </row>
    <row r="13" spans="1:18">
      <c r="A13" s="15" t="s">
        <v>355</v>
      </c>
      <c r="B13" s="17" t="n">
        <v>7161</v>
      </c>
      <c r="C13" s="18">
        <f>(6320.0/B13*100)</f>
        <v/>
      </c>
      <c r="D13" s="19" t="n">
        <v>841</v>
      </c>
      <c r="E13" s="18" t="n">
        <v>25.39279405</v>
      </c>
      <c r="F13" s="20" t="n">
        <v>1.94093878</v>
      </c>
      <c r="G13" s="18" t="n">
        <v>73.08783817</v>
      </c>
      <c r="H13" s="20" t="n">
        <v>1.98333384</v>
      </c>
      <c r="I13" s="18" t="s">
        <v>349</v>
      </c>
      <c r="J13" s="20" t="s">
        <v>349</v>
      </c>
      <c r="K13" s="18" t="n">
        <v>0.86977544</v>
      </c>
      <c r="L13" s="20" t="n">
        <v>0.46262185</v>
      </c>
      <c r="M13" s="18" t="n">
        <v>0</v>
      </c>
      <c r="N13" s="20" t="n">
        <v>0</v>
      </c>
      <c r="O13" s="18" t="n">
        <v>0</v>
      </c>
      <c r="P13" s="20" t="n">
        <v>0</v>
      </c>
      <c r="Q13" s="18" t="n">
        <v>0.64959234</v>
      </c>
      <c r="R13" s="20" t="n">
        <v>0.2876458</v>
      </c>
    </row>
    <row r="14" spans="1:18">
      <c r="A14" s="15" t="s">
        <v>356</v>
      </c>
      <c r="B14" s="17" t="n">
        <v>5587</v>
      </c>
      <c r="C14" s="18">
        <f>(4904.0/B14*100)</f>
        <v/>
      </c>
      <c r="D14" s="19" t="n">
        <v>683</v>
      </c>
      <c r="E14" s="18" t="n">
        <v>47.28696039</v>
      </c>
      <c r="F14" s="20" t="n">
        <v>1.98102792</v>
      </c>
      <c r="G14" s="18" t="n">
        <v>52.19472022</v>
      </c>
      <c r="H14" s="20" t="n">
        <v>2.01063094</v>
      </c>
      <c r="I14" s="18" t="s">
        <v>349</v>
      </c>
      <c r="J14" s="20" t="s">
        <v>349</v>
      </c>
      <c r="K14" s="18" t="n">
        <v>0</v>
      </c>
      <c r="L14" s="20" t="n">
        <v>0</v>
      </c>
      <c r="M14" s="18" t="n">
        <v>0</v>
      </c>
      <c r="N14" s="20" t="n">
        <v>0</v>
      </c>
      <c r="O14" s="18" t="n">
        <v>0</v>
      </c>
      <c r="P14" s="20" t="n">
        <v>0</v>
      </c>
      <c r="Q14" s="18" t="n">
        <v>0.5183194</v>
      </c>
      <c r="R14" s="20" t="n">
        <v>0.41208489</v>
      </c>
    </row>
    <row r="15" spans="1:18">
      <c r="A15" s="15" t="s">
        <v>357</v>
      </c>
      <c r="B15" s="17" t="n">
        <v>5882</v>
      </c>
      <c r="C15" s="18">
        <f>(5178.0/B15*100)</f>
        <v/>
      </c>
      <c r="D15" s="19" t="n">
        <v>704</v>
      </c>
      <c r="E15" s="18" t="n">
        <v>33.14794708</v>
      </c>
      <c r="F15" s="20" t="n">
        <v>2.18377848</v>
      </c>
      <c r="G15" s="18" t="n">
        <v>66.30335019</v>
      </c>
      <c r="H15" s="20" t="n">
        <v>2.2079263</v>
      </c>
      <c r="I15" s="18" t="s">
        <v>349</v>
      </c>
      <c r="J15" s="20" t="s">
        <v>349</v>
      </c>
      <c r="K15" s="18" t="n">
        <v>0</v>
      </c>
      <c r="L15" s="20" t="n">
        <v>0</v>
      </c>
      <c r="M15" s="18" t="n">
        <v>0</v>
      </c>
      <c r="N15" s="20" t="n">
        <v>0</v>
      </c>
      <c r="O15" s="18" t="n">
        <v>0</v>
      </c>
      <c r="P15" s="20" t="n">
        <v>0</v>
      </c>
      <c r="Q15" s="18" t="n">
        <v>0.54870274</v>
      </c>
      <c r="R15" s="20" t="n">
        <v>0.26933236</v>
      </c>
    </row>
    <row r="16" spans="1:18">
      <c r="A16" s="15" t="s">
        <v>358</v>
      </c>
      <c r="B16" s="17" t="n">
        <v>6108</v>
      </c>
      <c r="C16" s="18">
        <f>(5363.0/B16*100)</f>
        <v/>
      </c>
      <c r="D16" s="19" t="n">
        <v>745</v>
      </c>
      <c r="E16" s="18" t="n">
        <v>53.56933209</v>
      </c>
      <c r="F16" s="20" t="n">
        <v>1.85859256</v>
      </c>
      <c r="G16" s="18" t="n">
        <v>45.26188314</v>
      </c>
      <c r="H16" s="20" t="n">
        <v>1.84776577</v>
      </c>
      <c r="I16" s="18" t="s">
        <v>349</v>
      </c>
      <c r="J16" s="20" t="s">
        <v>349</v>
      </c>
      <c r="K16" s="18" t="n">
        <v>0.14279905</v>
      </c>
      <c r="L16" s="20" t="n">
        <v>0.14351095</v>
      </c>
      <c r="M16" s="18" t="n">
        <v>0</v>
      </c>
      <c r="N16" s="20" t="n">
        <v>0</v>
      </c>
      <c r="O16" s="18" t="n">
        <v>0</v>
      </c>
      <c r="P16" s="20" t="n">
        <v>0</v>
      </c>
      <c r="Q16" s="18" t="n">
        <v>1.02598572</v>
      </c>
      <c r="R16" s="20" t="n">
        <v>0.39510712</v>
      </c>
    </row>
    <row r="17" spans="1:18">
      <c r="A17" s="15" t="s">
        <v>359</v>
      </c>
      <c r="B17" s="17" t="n">
        <v>6504</v>
      </c>
      <c r="C17" s="18">
        <f>(5719.0/B17*100)</f>
        <v/>
      </c>
      <c r="D17" s="19" t="n">
        <v>785</v>
      </c>
      <c r="E17" s="18" t="n">
        <v>44.02804188</v>
      </c>
      <c r="F17" s="20" t="n">
        <v>1.78339772</v>
      </c>
      <c r="G17" s="18" t="n">
        <v>54.86939344</v>
      </c>
      <c r="H17" s="20" t="n">
        <v>1.7233107</v>
      </c>
      <c r="I17" s="18" t="s">
        <v>349</v>
      </c>
      <c r="J17" s="20" t="s">
        <v>349</v>
      </c>
      <c r="K17" s="18" t="n">
        <v>0</v>
      </c>
      <c r="L17" s="20" t="n">
        <v>0</v>
      </c>
      <c r="M17" s="18" t="n">
        <v>0</v>
      </c>
      <c r="N17" s="20" t="n">
        <v>0</v>
      </c>
      <c r="O17" s="18" t="n">
        <v>0</v>
      </c>
      <c r="P17" s="20" t="n">
        <v>0</v>
      </c>
      <c r="Q17" s="18" t="n">
        <v>1.10256468</v>
      </c>
      <c r="R17" s="20" t="n">
        <v>0.40047985</v>
      </c>
    </row>
    <row r="18" spans="1:18">
      <c r="A18" s="15" t="s">
        <v>360</v>
      </c>
      <c r="B18" s="17" t="n">
        <v>5532</v>
      </c>
      <c r="C18" s="18">
        <f>(4857.0/B18*100)</f>
        <v/>
      </c>
      <c r="D18" s="19" t="n">
        <v>675</v>
      </c>
      <c r="E18" s="18" t="n">
        <v>62.57797875</v>
      </c>
      <c r="F18" s="20" t="n">
        <v>2.05768018</v>
      </c>
      <c r="G18" s="18" t="n">
        <v>36.24106349</v>
      </c>
      <c r="H18" s="20" t="n">
        <v>2.07280326</v>
      </c>
      <c r="I18" s="18" t="s">
        <v>349</v>
      </c>
      <c r="J18" s="20" t="s">
        <v>349</v>
      </c>
      <c r="K18" s="18" t="n">
        <v>0</v>
      </c>
      <c r="L18" s="20" t="n">
        <v>0</v>
      </c>
      <c r="M18" s="18" t="n">
        <v>0</v>
      </c>
      <c r="N18" s="20" t="n">
        <v>0</v>
      </c>
      <c r="O18" s="18" t="n">
        <v>0</v>
      </c>
      <c r="P18" s="20" t="n">
        <v>0</v>
      </c>
      <c r="Q18" s="18" t="n">
        <v>1.18095776</v>
      </c>
      <c r="R18" s="20" t="n">
        <v>0.51546148</v>
      </c>
    </row>
    <row r="19" spans="1:18">
      <c r="A19" s="15" t="s">
        <v>361</v>
      </c>
      <c r="B19" s="17" t="n">
        <v>5658</v>
      </c>
      <c r="C19" s="18">
        <f>(4967.0/B19*100)</f>
        <v/>
      </c>
      <c r="D19" s="19" t="n">
        <v>691</v>
      </c>
      <c r="E19" s="18" t="n">
        <v>65.14505674999999</v>
      </c>
      <c r="F19" s="20" t="n">
        <v>1.97029583</v>
      </c>
      <c r="G19" s="18" t="n">
        <v>33.98956911</v>
      </c>
      <c r="H19" s="20" t="n">
        <v>1.96873223</v>
      </c>
      <c r="I19" s="18" t="s">
        <v>349</v>
      </c>
      <c r="J19" s="20" t="s">
        <v>349</v>
      </c>
      <c r="K19" s="18" t="n">
        <v>0.11527475</v>
      </c>
      <c r="L19" s="20" t="n">
        <v>0.11650668</v>
      </c>
      <c r="M19" s="18" t="n">
        <v>0</v>
      </c>
      <c r="N19" s="20" t="n">
        <v>0</v>
      </c>
      <c r="O19" s="18" t="n">
        <v>0</v>
      </c>
      <c r="P19" s="20" t="n">
        <v>0</v>
      </c>
      <c r="Q19" s="18" t="n">
        <v>0.7500994</v>
      </c>
      <c r="R19" s="20" t="n">
        <v>0.34063426</v>
      </c>
    </row>
    <row r="20" spans="1:18">
      <c r="A20" s="15" t="s">
        <v>362</v>
      </c>
      <c r="B20" s="17" t="n">
        <v>3371</v>
      </c>
      <c r="C20" s="18">
        <f>(2950.0/B20*100)</f>
        <v/>
      </c>
      <c r="D20" s="19" t="n">
        <v>421</v>
      </c>
      <c r="E20" s="18" t="n">
        <v>43.76717569</v>
      </c>
      <c r="F20" s="20" t="n">
        <v>2.60082934</v>
      </c>
      <c r="G20" s="18" t="n">
        <v>54.73223727</v>
      </c>
      <c r="H20" s="20" t="n">
        <v>2.66648015</v>
      </c>
      <c r="I20" s="18" t="s">
        <v>349</v>
      </c>
      <c r="J20" s="20" t="s">
        <v>349</v>
      </c>
      <c r="K20" s="18" t="n">
        <v>0.22512118</v>
      </c>
      <c r="L20" s="20" t="n">
        <v>0.22503122</v>
      </c>
      <c r="M20" s="18" t="n">
        <v>0</v>
      </c>
      <c r="N20" s="20" t="n">
        <v>0</v>
      </c>
      <c r="O20" s="18" t="n">
        <v>0</v>
      </c>
      <c r="P20" s="20" t="n">
        <v>0</v>
      </c>
      <c r="Q20" s="18" t="n">
        <v>1.27546586</v>
      </c>
      <c r="R20" s="20" t="n">
        <v>0.57174887</v>
      </c>
    </row>
    <row r="21" spans="1:18">
      <c r="A21" s="15" t="s">
        <v>363</v>
      </c>
      <c r="B21" s="17" t="n">
        <v>5741</v>
      </c>
      <c r="C21" s="18">
        <f>(4756.0/B21*100)</f>
        <v/>
      </c>
      <c r="D21" s="19" t="n">
        <v>985</v>
      </c>
      <c r="E21" s="18" t="n">
        <v>57.2560979</v>
      </c>
      <c r="F21" s="20" t="n">
        <v>1.82329349</v>
      </c>
      <c r="G21" s="18" t="n">
        <v>41.86851471</v>
      </c>
      <c r="H21" s="20" t="n">
        <v>1.77444378</v>
      </c>
      <c r="I21" s="18" t="s">
        <v>349</v>
      </c>
      <c r="J21" s="20" t="s">
        <v>349</v>
      </c>
      <c r="K21" s="18" t="n">
        <v>0.09622247</v>
      </c>
      <c r="L21" s="20" t="n">
        <v>0.09618208</v>
      </c>
      <c r="M21" s="18" t="n">
        <v>0</v>
      </c>
      <c r="N21" s="20" t="n">
        <v>0</v>
      </c>
      <c r="O21" s="18" t="n">
        <v>0</v>
      </c>
      <c r="P21" s="20" t="n">
        <v>0</v>
      </c>
      <c r="Q21" s="18" t="n">
        <v>0.77916492</v>
      </c>
      <c r="R21" s="20" t="n">
        <v>0.29031298</v>
      </c>
    </row>
    <row r="22" spans="1:18">
      <c r="A22" s="15" t="s">
        <v>364</v>
      </c>
      <c r="B22" s="17" t="n">
        <v>6598</v>
      </c>
      <c r="C22" s="18">
        <f>(5739.0/B22*100)</f>
        <v/>
      </c>
      <c r="D22" s="19" t="n">
        <v>859</v>
      </c>
      <c r="E22" s="18" t="n">
        <v>52.06001087</v>
      </c>
      <c r="F22" s="20" t="n">
        <v>1.71665062</v>
      </c>
      <c r="G22" s="18" t="n">
        <v>45.40252016</v>
      </c>
      <c r="H22" s="20" t="n">
        <v>1.66489424</v>
      </c>
      <c r="I22" s="18" t="s">
        <v>349</v>
      </c>
      <c r="J22" s="20" t="s">
        <v>349</v>
      </c>
      <c r="K22" s="18" t="n">
        <v>0.96423048</v>
      </c>
      <c r="L22" s="20" t="n">
        <v>0.43266545</v>
      </c>
      <c r="M22" s="18" t="n">
        <v>0</v>
      </c>
      <c r="N22" s="20" t="n">
        <v>0</v>
      </c>
      <c r="O22" s="18" t="n">
        <v>0</v>
      </c>
      <c r="P22" s="20" t="n">
        <v>0</v>
      </c>
      <c r="Q22" s="18" t="n">
        <v>1.57323849</v>
      </c>
      <c r="R22" s="20" t="n">
        <v>0.61778817</v>
      </c>
    </row>
    <row r="23" spans="1:18">
      <c r="A23" s="15" t="s">
        <v>365</v>
      </c>
      <c r="B23" s="17" t="n">
        <v>11583</v>
      </c>
      <c r="C23" s="18">
        <f>(10170.0/B23*100)</f>
        <v/>
      </c>
      <c r="D23" s="19" t="n">
        <v>1413</v>
      </c>
      <c r="E23" s="18" t="n">
        <v>56.59080739</v>
      </c>
      <c r="F23" s="20" t="n">
        <v>1.86152069</v>
      </c>
      <c r="G23" s="18" t="n">
        <v>42.22287425</v>
      </c>
      <c r="H23" s="20" t="n">
        <v>1.84095278</v>
      </c>
      <c r="I23" s="18" t="s">
        <v>349</v>
      </c>
      <c r="J23" s="20" t="s">
        <v>349</v>
      </c>
      <c r="K23" s="18" t="n">
        <v>0.18947953</v>
      </c>
      <c r="L23" s="20" t="n">
        <v>0.1591278</v>
      </c>
      <c r="M23" s="18" t="n">
        <v>0</v>
      </c>
      <c r="N23" s="20" t="n">
        <v>0</v>
      </c>
      <c r="O23" s="18" t="n">
        <v>0</v>
      </c>
      <c r="P23" s="20" t="n">
        <v>0</v>
      </c>
      <c r="Q23" s="18" t="n">
        <v>0.99683884</v>
      </c>
      <c r="R23" s="20" t="n">
        <v>0.46871383</v>
      </c>
    </row>
    <row r="24" spans="1:18">
      <c r="A24" s="15" t="s">
        <v>366</v>
      </c>
      <c r="B24" s="17" t="n">
        <v>6647</v>
      </c>
      <c r="C24" s="18">
        <f>(5847.0/B24*100)</f>
        <v/>
      </c>
      <c r="D24" s="19" t="n">
        <v>800</v>
      </c>
      <c r="E24" s="18" t="n">
        <v>27.14112772</v>
      </c>
      <c r="F24" s="20" t="n">
        <v>1.50434127</v>
      </c>
      <c r="G24" s="18" t="n">
        <v>72.06057742</v>
      </c>
      <c r="H24" s="20" t="n">
        <v>1.51205543</v>
      </c>
      <c r="I24" s="18" t="s">
        <v>349</v>
      </c>
      <c r="J24" s="20" t="s">
        <v>349</v>
      </c>
      <c r="K24" s="18" t="n">
        <v>0.11621281</v>
      </c>
      <c r="L24" s="20" t="n">
        <v>0.11799294</v>
      </c>
      <c r="M24" s="18" t="n">
        <v>0</v>
      </c>
      <c r="N24" s="20" t="n">
        <v>0</v>
      </c>
      <c r="O24" s="18" t="n">
        <v>0</v>
      </c>
      <c r="P24" s="20" t="n">
        <v>0</v>
      </c>
      <c r="Q24" s="18" t="n">
        <v>0.68208205</v>
      </c>
      <c r="R24" s="20" t="n">
        <v>0.27823501</v>
      </c>
    </row>
    <row r="25" spans="1:18">
      <c r="A25" s="15" t="s">
        <v>367</v>
      </c>
      <c r="B25" s="17" t="n">
        <v>5581</v>
      </c>
      <c r="C25" s="18">
        <f>(4896.0/B25*100)</f>
        <v/>
      </c>
      <c r="D25" s="19" t="n">
        <v>685</v>
      </c>
      <c r="E25" s="18" t="n">
        <v>43.58322596</v>
      </c>
      <c r="F25" s="20" t="n">
        <v>2.01049202</v>
      </c>
      <c r="G25" s="18" t="n">
        <v>55.82137197</v>
      </c>
      <c r="H25" s="20" t="n">
        <v>2.0479922</v>
      </c>
      <c r="I25" s="18" t="s">
        <v>349</v>
      </c>
      <c r="J25" s="20" t="s">
        <v>349</v>
      </c>
      <c r="K25" s="18" t="n">
        <v>0.28324231</v>
      </c>
      <c r="L25" s="20" t="n">
        <v>0.2418505</v>
      </c>
      <c r="M25" s="18" t="n">
        <v>0</v>
      </c>
      <c r="N25" s="20" t="n">
        <v>0</v>
      </c>
      <c r="O25" s="18" t="n">
        <v>0</v>
      </c>
      <c r="P25" s="20" t="n">
        <v>0</v>
      </c>
      <c r="Q25" s="18" t="n">
        <v>0.31215975</v>
      </c>
      <c r="R25" s="20" t="n">
        <v>0.22112047</v>
      </c>
    </row>
    <row r="26" spans="1:18">
      <c r="A26" s="15" t="s">
        <v>368</v>
      </c>
      <c r="B26" s="17" t="n">
        <v>4869</v>
      </c>
      <c r="C26" s="18">
        <f>(4276.0/B26*100)</f>
        <v/>
      </c>
      <c r="D26" s="19" t="n">
        <v>593</v>
      </c>
      <c r="E26" s="18" t="n">
        <v>51.48991299</v>
      </c>
      <c r="F26" s="20" t="n">
        <v>2.1506988</v>
      </c>
      <c r="G26" s="18" t="n">
        <v>47.85575972</v>
      </c>
      <c r="H26" s="20" t="n">
        <v>2.15015326</v>
      </c>
      <c r="I26" s="18" t="s">
        <v>349</v>
      </c>
      <c r="J26" s="20" t="s">
        <v>349</v>
      </c>
      <c r="K26" s="18" t="n">
        <v>0</v>
      </c>
      <c r="L26" s="20" t="n">
        <v>0</v>
      </c>
      <c r="M26" s="18" t="n">
        <v>0</v>
      </c>
      <c r="N26" s="20" t="n">
        <v>0</v>
      </c>
      <c r="O26" s="18" t="n">
        <v>0</v>
      </c>
      <c r="P26" s="20" t="n">
        <v>0</v>
      </c>
      <c r="Q26" s="18" t="n">
        <v>0.65432729</v>
      </c>
      <c r="R26" s="20" t="n">
        <v>0.39693884</v>
      </c>
    </row>
    <row r="27" spans="1:18">
      <c r="A27" s="15" t="s">
        <v>369</v>
      </c>
      <c r="B27" s="17" t="n">
        <v>5299</v>
      </c>
      <c r="C27" s="18">
        <f>(4653.0/B27*100)</f>
        <v/>
      </c>
      <c r="D27" s="19" t="n">
        <v>646</v>
      </c>
      <c r="E27" s="18" t="n">
        <v>53.44774695</v>
      </c>
      <c r="F27" s="20" t="n">
        <v>1.87169937</v>
      </c>
      <c r="G27" s="18" t="n">
        <v>45.62167546</v>
      </c>
      <c r="H27" s="20" t="n">
        <v>1.93130908</v>
      </c>
      <c r="I27" s="18" t="s">
        <v>349</v>
      </c>
      <c r="J27" s="20" t="s">
        <v>349</v>
      </c>
      <c r="K27" s="18" t="n">
        <v>0</v>
      </c>
      <c r="L27" s="20" t="n">
        <v>0</v>
      </c>
      <c r="M27" s="18" t="n">
        <v>0</v>
      </c>
      <c r="N27" s="20" t="n">
        <v>0</v>
      </c>
      <c r="O27" s="18" t="n">
        <v>0</v>
      </c>
      <c r="P27" s="20" t="n">
        <v>0</v>
      </c>
      <c r="Q27" s="18" t="n">
        <v>0.93057759</v>
      </c>
      <c r="R27" s="20" t="n">
        <v>0.38173497</v>
      </c>
    </row>
    <row r="28" spans="1:18">
      <c r="A28" s="15" t="s">
        <v>370</v>
      </c>
      <c r="B28" s="17" t="n">
        <v>7568</v>
      </c>
      <c r="C28" s="18">
        <f>(6630.0/B28*100)</f>
        <v/>
      </c>
      <c r="D28" s="19" t="n">
        <v>938</v>
      </c>
      <c r="E28" s="18" t="n">
        <v>76.32050975</v>
      </c>
      <c r="F28" s="20" t="n">
        <v>1.3716429</v>
      </c>
      <c r="G28" s="18" t="n">
        <v>22.72624304</v>
      </c>
      <c r="H28" s="20" t="n">
        <v>1.38156825</v>
      </c>
      <c r="I28" s="18" t="s">
        <v>349</v>
      </c>
      <c r="J28" s="20" t="s">
        <v>349</v>
      </c>
      <c r="K28" s="18" t="n">
        <v>0.0807712</v>
      </c>
      <c r="L28" s="20" t="n">
        <v>0.08114813999999999</v>
      </c>
      <c r="M28" s="18" t="n">
        <v>0</v>
      </c>
      <c r="N28" s="20" t="n">
        <v>0</v>
      </c>
      <c r="O28" s="18" t="n">
        <v>0</v>
      </c>
      <c r="P28" s="20" t="n">
        <v>0</v>
      </c>
      <c r="Q28" s="18" t="n">
        <v>0.87247602</v>
      </c>
      <c r="R28" s="20" t="n">
        <v>0.46700364</v>
      </c>
    </row>
    <row r="29" spans="1:18">
      <c r="A29" s="15" t="s">
        <v>371</v>
      </c>
      <c r="B29" s="17" t="n">
        <v>5385</v>
      </c>
      <c r="C29" s="18">
        <f>(4732.0/B29*100)</f>
        <v/>
      </c>
      <c r="D29" s="19" t="n">
        <v>653</v>
      </c>
      <c r="E29" s="18" t="n">
        <v>40.65736751</v>
      </c>
      <c r="F29" s="20" t="n">
        <v>1.81342395</v>
      </c>
      <c r="G29" s="18" t="n">
        <v>58.68337428</v>
      </c>
      <c r="H29" s="20" t="n">
        <v>1.84515611</v>
      </c>
      <c r="I29" s="18" t="s">
        <v>349</v>
      </c>
      <c r="J29" s="20" t="s">
        <v>349</v>
      </c>
      <c r="K29" s="18" t="n">
        <v>0.49957536</v>
      </c>
      <c r="L29" s="20" t="n">
        <v>0.25814165</v>
      </c>
      <c r="M29" s="18" t="n">
        <v>0</v>
      </c>
      <c r="N29" s="20" t="n">
        <v>0</v>
      </c>
      <c r="O29" s="18" t="n">
        <v>0</v>
      </c>
      <c r="P29" s="20" t="n">
        <v>0</v>
      </c>
      <c r="Q29" s="18" t="n">
        <v>0.15968285</v>
      </c>
      <c r="R29" s="20" t="n">
        <v>0.16613991</v>
      </c>
    </row>
    <row r="30" spans="1:18">
      <c r="A30" s="15" t="s">
        <v>372</v>
      </c>
      <c r="B30" s="17" t="n">
        <v>4520</v>
      </c>
      <c r="C30" s="18">
        <f>(3968.0/B30*100)</f>
        <v/>
      </c>
      <c r="D30" s="19" t="n">
        <v>552</v>
      </c>
      <c r="E30" s="18" t="n">
        <v>55.06999062</v>
      </c>
      <c r="F30" s="20" t="n">
        <v>2.70836485</v>
      </c>
      <c r="G30" s="18" t="n">
        <v>43.91761795</v>
      </c>
      <c r="H30" s="20" t="n">
        <v>2.73978866</v>
      </c>
      <c r="I30" s="18" t="s">
        <v>349</v>
      </c>
      <c r="J30" s="20" t="s">
        <v>349</v>
      </c>
      <c r="K30" s="18" t="n">
        <v>0</v>
      </c>
      <c r="L30" s="20" t="n">
        <v>0</v>
      </c>
      <c r="M30" s="18" t="n">
        <v>0</v>
      </c>
      <c r="N30" s="20" t="n">
        <v>0</v>
      </c>
      <c r="O30" s="18" t="n">
        <v>0</v>
      </c>
      <c r="P30" s="20" t="n">
        <v>0</v>
      </c>
      <c r="Q30" s="18" t="n">
        <v>1.01239143</v>
      </c>
      <c r="R30" s="20" t="n">
        <v>0.39994481</v>
      </c>
    </row>
    <row r="31" spans="1:18">
      <c r="A31" s="15" t="s">
        <v>373</v>
      </c>
      <c r="B31" s="17" t="n">
        <v>5456</v>
      </c>
      <c r="C31" s="18">
        <f>(4805.0/B31*100)</f>
        <v/>
      </c>
      <c r="D31" s="19" t="n">
        <v>651</v>
      </c>
      <c r="E31" s="18" t="n">
        <v>38.76596119</v>
      </c>
      <c r="F31" s="20" t="n">
        <v>1.99885003</v>
      </c>
      <c r="G31" s="18" t="n">
        <v>59.81816014</v>
      </c>
      <c r="H31" s="20" t="n">
        <v>1.99370554</v>
      </c>
      <c r="I31" s="18" t="s">
        <v>349</v>
      </c>
      <c r="J31" s="20" t="s">
        <v>349</v>
      </c>
      <c r="K31" s="18" t="n">
        <v>0.3597799</v>
      </c>
      <c r="L31" s="20" t="n">
        <v>0.28413936</v>
      </c>
      <c r="M31" s="18" t="n">
        <v>0</v>
      </c>
      <c r="N31" s="20" t="n">
        <v>0</v>
      </c>
      <c r="O31" s="18" t="n">
        <v>0</v>
      </c>
      <c r="P31" s="20" t="n">
        <v>0</v>
      </c>
      <c r="Q31" s="18" t="n">
        <v>1.05609877</v>
      </c>
      <c r="R31" s="20" t="n">
        <v>0.41522094</v>
      </c>
    </row>
    <row r="32" spans="1:18">
      <c r="A32" s="15" t="s">
        <v>374</v>
      </c>
      <c r="B32" s="17" t="n">
        <v>4478</v>
      </c>
      <c r="C32" s="18">
        <f>(3702.0/B32*100)</f>
        <v/>
      </c>
      <c r="D32" s="19" t="n">
        <v>776</v>
      </c>
      <c r="E32" s="18" t="n">
        <v>47.27748024</v>
      </c>
      <c r="F32" s="20" t="n">
        <v>1.97402202</v>
      </c>
      <c r="G32" s="18" t="n">
        <v>52.36782287</v>
      </c>
      <c r="H32" s="20" t="n">
        <v>2.00523003</v>
      </c>
      <c r="I32" s="18" t="s">
        <v>349</v>
      </c>
      <c r="J32" s="20" t="s">
        <v>349</v>
      </c>
      <c r="K32" s="18" t="n">
        <v>0.12910101</v>
      </c>
      <c r="L32" s="20" t="n">
        <v>0.12907019</v>
      </c>
      <c r="M32" s="18" t="n">
        <v>0</v>
      </c>
      <c r="N32" s="20" t="n">
        <v>0</v>
      </c>
      <c r="O32" s="18" t="n">
        <v>0</v>
      </c>
      <c r="P32" s="20" t="n">
        <v>0</v>
      </c>
      <c r="Q32" s="18" t="n">
        <v>0.22559588</v>
      </c>
      <c r="R32" s="20" t="n">
        <v>0.16258359</v>
      </c>
    </row>
    <row r="33" spans="1:18">
      <c r="A33" s="15" t="s">
        <v>375</v>
      </c>
      <c r="B33" s="17" t="n">
        <v>7325</v>
      </c>
      <c r="C33" s="18">
        <f>(6447.0/B33*100)</f>
        <v/>
      </c>
      <c r="D33" s="19" t="n">
        <v>878</v>
      </c>
      <c r="E33" s="18" t="n">
        <v>61.56364828</v>
      </c>
      <c r="F33" s="20" t="n">
        <v>1.90059117</v>
      </c>
      <c r="G33" s="18" t="n">
        <v>37.94335344</v>
      </c>
      <c r="H33" s="20" t="n">
        <v>1.8784812</v>
      </c>
      <c r="I33" s="18" t="s">
        <v>349</v>
      </c>
      <c r="J33" s="20" t="s">
        <v>349</v>
      </c>
      <c r="K33" s="18" t="n">
        <v>0.34522966</v>
      </c>
      <c r="L33" s="20" t="n">
        <v>0.40198659</v>
      </c>
      <c r="M33" s="18" t="n">
        <v>0</v>
      </c>
      <c r="N33" s="20" t="n">
        <v>0</v>
      </c>
      <c r="O33" s="18" t="n">
        <v>0</v>
      </c>
      <c r="P33" s="20" t="n">
        <v>0</v>
      </c>
      <c r="Q33" s="18" t="n">
        <v>0.14776862</v>
      </c>
      <c r="R33" s="20" t="n">
        <v>0.12968441</v>
      </c>
    </row>
    <row r="34" spans="1:18">
      <c r="A34" s="15" t="s">
        <v>376</v>
      </c>
      <c r="B34" s="17" t="n">
        <v>6350</v>
      </c>
      <c r="C34" s="18">
        <f>(5561.0/B34*100)</f>
        <v/>
      </c>
      <c r="D34" s="19" t="n">
        <v>789</v>
      </c>
      <c r="E34" s="18" t="n">
        <v>55.91047329</v>
      </c>
      <c r="F34" s="20" t="n">
        <v>2.17768404</v>
      </c>
      <c r="G34" s="18" t="n">
        <v>43.47941249</v>
      </c>
      <c r="H34" s="20" t="n">
        <v>2.12833767</v>
      </c>
      <c r="I34" s="18" t="s">
        <v>349</v>
      </c>
      <c r="J34" s="20" t="s">
        <v>349</v>
      </c>
      <c r="K34" s="18" t="n">
        <v>0.1020181</v>
      </c>
      <c r="L34" s="20" t="n">
        <v>0.1023443</v>
      </c>
      <c r="M34" s="18" t="n">
        <v>0</v>
      </c>
      <c r="N34" s="20" t="n">
        <v>0</v>
      </c>
      <c r="O34" s="18" t="n">
        <v>0</v>
      </c>
      <c r="P34" s="20" t="n">
        <v>0</v>
      </c>
      <c r="Q34" s="18" t="n">
        <v>0.50809611</v>
      </c>
      <c r="R34" s="20" t="n">
        <v>0.24484447</v>
      </c>
    </row>
    <row r="35" spans="1:18">
      <c r="A35" s="15" t="s">
        <v>377</v>
      </c>
      <c r="B35" s="17" t="n">
        <v>6406</v>
      </c>
      <c r="C35" s="18">
        <f>(5641.0/B35*100)</f>
        <v/>
      </c>
      <c r="D35" s="19" t="n">
        <v>765</v>
      </c>
      <c r="E35" s="18" t="n">
        <v>38.17551997</v>
      </c>
      <c r="F35" s="20" t="n">
        <v>2.10749707</v>
      </c>
      <c r="G35" s="18" t="n">
        <v>60.99992951</v>
      </c>
      <c r="H35" s="20" t="n">
        <v>2.13929828</v>
      </c>
      <c r="I35" s="18" t="s">
        <v>349</v>
      </c>
      <c r="J35" s="20" t="s">
        <v>349</v>
      </c>
      <c r="K35" s="18" t="n">
        <v>0.11986199</v>
      </c>
      <c r="L35" s="20" t="n">
        <v>0.08503429</v>
      </c>
      <c r="M35" s="18" t="n">
        <v>0</v>
      </c>
      <c r="N35" s="20" t="n">
        <v>0</v>
      </c>
      <c r="O35" s="18" t="n">
        <v>0</v>
      </c>
      <c r="P35" s="20" t="n">
        <v>0</v>
      </c>
      <c r="Q35" s="18" t="n">
        <v>0.70468853</v>
      </c>
      <c r="R35" s="20" t="n">
        <v>0.30492396</v>
      </c>
    </row>
    <row r="36" spans="1:18">
      <c r="A36" s="15" t="s">
        <v>378</v>
      </c>
      <c r="B36" s="17" t="n">
        <v>6736</v>
      </c>
      <c r="C36" s="18">
        <f>(5898.0/B36*100)</f>
        <v/>
      </c>
      <c r="D36" s="19" t="n">
        <v>838</v>
      </c>
      <c r="E36" s="18" t="n">
        <v>57.46170167</v>
      </c>
      <c r="F36" s="20" t="n">
        <v>1.74351369</v>
      </c>
      <c r="G36" s="18" t="n">
        <v>41.52521968</v>
      </c>
      <c r="H36" s="20" t="n">
        <v>1.73893788</v>
      </c>
      <c r="I36" s="18" t="s">
        <v>349</v>
      </c>
      <c r="J36" s="20" t="s">
        <v>349</v>
      </c>
      <c r="K36" s="18" t="n">
        <v>0.31717988</v>
      </c>
      <c r="L36" s="20" t="n">
        <v>0.20005399</v>
      </c>
      <c r="M36" s="18" t="n">
        <v>0</v>
      </c>
      <c r="N36" s="20" t="n">
        <v>0</v>
      </c>
      <c r="O36" s="18" t="n">
        <v>0</v>
      </c>
      <c r="P36" s="20" t="n">
        <v>0</v>
      </c>
      <c r="Q36" s="18" t="n">
        <v>0.69589877</v>
      </c>
      <c r="R36" s="20" t="n">
        <v>0.27758371</v>
      </c>
    </row>
    <row r="37" spans="1:18">
      <c r="A37" s="15" t="s">
        <v>379</v>
      </c>
      <c r="B37" s="17" t="n">
        <v>5458</v>
      </c>
      <c r="C37" s="18">
        <f>(4796.0/B37*100)</f>
        <v/>
      </c>
      <c r="D37" s="19" t="n">
        <v>662</v>
      </c>
      <c r="E37" s="18" t="n">
        <v>49.33832701</v>
      </c>
      <c r="F37" s="20" t="n">
        <v>2.44294068</v>
      </c>
      <c r="G37" s="18" t="n">
        <v>48.6620554</v>
      </c>
      <c r="H37" s="20" t="n">
        <v>2.58277325</v>
      </c>
      <c r="I37" s="18" t="s">
        <v>349</v>
      </c>
      <c r="J37" s="20" t="s">
        <v>349</v>
      </c>
      <c r="K37" s="18" t="n">
        <v>0.46937773</v>
      </c>
      <c r="L37" s="20" t="n">
        <v>0.29529526</v>
      </c>
      <c r="M37" s="18" t="n">
        <v>0</v>
      </c>
      <c r="N37" s="20" t="n">
        <v>0</v>
      </c>
      <c r="O37" s="18" t="n">
        <v>0</v>
      </c>
      <c r="P37" s="20" t="n">
        <v>0</v>
      </c>
      <c r="Q37" s="18" t="n">
        <v>1.53023987</v>
      </c>
      <c r="R37" s="20" t="n">
        <v>0.60133996</v>
      </c>
    </row>
    <row r="38" spans="1:18">
      <c r="A38" s="15" t="s">
        <v>380</v>
      </c>
      <c r="B38" s="17" t="n">
        <v>5860</v>
      </c>
      <c r="C38" s="18">
        <f>(4852.0/B38*100)</f>
        <v/>
      </c>
      <c r="D38" s="19" t="n">
        <v>1008</v>
      </c>
      <c r="E38" s="18" t="n">
        <v>43.26643803</v>
      </c>
      <c r="F38" s="20" t="n">
        <v>1.78302413</v>
      </c>
      <c r="G38" s="18" t="n">
        <v>55.78434034</v>
      </c>
      <c r="H38" s="20" t="n">
        <v>1.85878217</v>
      </c>
      <c r="I38" s="18" t="s">
        <v>349</v>
      </c>
      <c r="J38" s="20" t="s">
        <v>349</v>
      </c>
      <c r="K38" s="18" t="n">
        <v>0.10931916</v>
      </c>
      <c r="L38" s="20" t="n">
        <v>0.10426131</v>
      </c>
      <c r="M38" s="18" t="n">
        <v>0</v>
      </c>
      <c r="N38" s="20" t="n">
        <v>0</v>
      </c>
      <c r="O38" s="18" t="n">
        <v>0</v>
      </c>
      <c r="P38" s="20" t="n">
        <v>0</v>
      </c>
      <c r="Q38" s="18" t="n">
        <v>0.83990247</v>
      </c>
      <c r="R38" s="20" t="n">
        <v>0.3153843</v>
      </c>
    </row>
    <row r="39" spans="1:18">
      <c r="A39" s="15" t="s">
        <v>381</v>
      </c>
      <c r="B39" s="17" t="n">
        <v>5895</v>
      </c>
      <c r="C39" s="18">
        <f>(5181.0/B39*100)</f>
        <v/>
      </c>
      <c r="D39" s="19" t="n">
        <v>714</v>
      </c>
      <c r="E39" s="18" t="n">
        <v>69.85895669999999</v>
      </c>
      <c r="F39" s="20" t="n">
        <v>2.41280796</v>
      </c>
      <c r="G39" s="18" t="n">
        <v>29.40654896</v>
      </c>
      <c r="H39" s="20" t="n">
        <v>2.43175111</v>
      </c>
      <c r="I39" s="18" t="s">
        <v>349</v>
      </c>
      <c r="J39" s="20" t="s">
        <v>349</v>
      </c>
      <c r="K39" s="18" t="n">
        <v>0</v>
      </c>
      <c r="L39" s="20" t="n">
        <v>0</v>
      </c>
      <c r="M39" s="18" t="n">
        <v>0</v>
      </c>
      <c r="N39" s="20" t="n">
        <v>0</v>
      </c>
      <c r="O39" s="18" t="n">
        <v>0</v>
      </c>
      <c r="P39" s="20" t="n">
        <v>0</v>
      </c>
      <c r="Q39" s="18" t="n">
        <v>0.73449434</v>
      </c>
      <c r="R39" s="20" t="n">
        <v>0.26666461</v>
      </c>
    </row>
    <row r="40" spans="1:18">
      <c r="A40" s="15" t="s">
        <v>382</v>
      </c>
      <c r="B40" s="17" t="n">
        <v>14157</v>
      </c>
      <c r="C40" s="18">
        <f>(12405.0/B40*100)</f>
        <v/>
      </c>
      <c r="D40" s="19" t="n">
        <v>1752</v>
      </c>
      <c r="E40" s="18" t="n">
        <v>49.88367621</v>
      </c>
      <c r="F40" s="20" t="n">
        <v>1.7615486</v>
      </c>
      <c r="G40" s="18" t="n">
        <v>48.59551959</v>
      </c>
      <c r="H40" s="20" t="n">
        <v>1.76049618</v>
      </c>
      <c r="I40" s="18" t="s">
        <v>349</v>
      </c>
      <c r="J40" s="20" t="s">
        <v>349</v>
      </c>
      <c r="K40" s="18" t="n">
        <v>0.00655705</v>
      </c>
      <c r="L40" s="20" t="n">
        <v>0.00659238</v>
      </c>
      <c r="M40" s="18" t="n">
        <v>0</v>
      </c>
      <c r="N40" s="20" t="n">
        <v>0</v>
      </c>
      <c r="O40" s="18" t="n">
        <v>0</v>
      </c>
      <c r="P40" s="20" t="n">
        <v>0</v>
      </c>
      <c r="Q40" s="18" t="n">
        <v>1.51424715</v>
      </c>
      <c r="R40" s="20" t="n">
        <v>0.50602914</v>
      </c>
    </row>
    <row r="41" spans="1:18">
      <c r="A41" s="15" t="s">
        <v>383</v>
      </c>
      <c r="B41" s="17" t="n">
        <v>5712</v>
      </c>
      <c r="C41" s="18">
        <f>(5010.0/B41*100)</f>
        <v/>
      </c>
      <c r="D41" s="19" t="n">
        <v>702</v>
      </c>
      <c r="E41" s="18" t="n">
        <v>64.71019003000001</v>
      </c>
      <c r="F41" s="20" t="n">
        <v>1.93856949</v>
      </c>
      <c r="G41" s="18" t="n">
        <v>34.27356397</v>
      </c>
      <c r="H41" s="20" t="n">
        <v>1.96908867</v>
      </c>
      <c r="I41" s="18" t="s">
        <v>349</v>
      </c>
      <c r="J41" s="20" t="s">
        <v>349</v>
      </c>
      <c r="K41" s="18" t="n">
        <v>0</v>
      </c>
      <c r="L41" s="20" t="n">
        <v>0</v>
      </c>
      <c r="M41" s="18" t="n">
        <v>0</v>
      </c>
      <c r="N41" s="20" t="n">
        <v>0</v>
      </c>
      <c r="O41" s="18" t="n">
        <v>0</v>
      </c>
      <c r="P41" s="20" t="n">
        <v>0</v>
      </c>
      <c r="Q41" s="18" t="n">
        <v>1.016246</v>
      </c>
      <c r="R41" s="20" t="n">
        <v>0.29756833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(20461.0/B46*100)</f>
        <v/>
      </c>
      <c r="D46" s="19" t="n">
        <v>2680</v>
      </c>
      <c r="E46" s="18" t="n">
        <v>75.62129679</v>
      </c>
      <c r="F46" s="20" t="n">
        <v>1.07784549</v>
      </c>
      <c r="G46" s="18" t="n">
        <v>22.5359582</v>
      </c>
      <c r="H46" s="20" t="n">
        <v>1.08700381</v>
      </c>
      <c r="I46" s="18" t="s">
        <v>349</v>
      </c>
      <c r="J46" s="20" t="s">
        <v>349</v>
      </c>
      <c r="K46" s="18" t="n">
        <v>0.50038517</v>
      </c>
      <c r="L46" s="20" t="n">
        <v>0.18728666</v>
      </c>
      <c r="M46" s="18" t="n">
        <v>0</v>
      </c>
      <c r="N46" s="20" t="n">
        <v>0</v>
      </c>
      <c r="O46" s="18" t="n">
        <v>0</v>
      </c>
      <c r="P46" s="20" t="n">
        <v>0</v>
      </c>
      <c r="Q46" s="18" t="n">
        <v>1.34235984</v>
      </c>
      <c r="R46" s="20" t="n">
        <v>0.25443046</v>
      </c>
    </row>
    <row r="47" spans="1:18">
      <c r="A47" s="15" t="s">
        <v>389</v>
      </c>
      <c r="B47" s="17" t="n">
        <v>5928</v>
      </c>
      <c r="C47" s="18">
        <f>(5186.0/B47*100)</f>
        <v/>
      </c>
      <c r="D47" s="19" t="n">
        <v>742</v>
      </c>
      <c r="E47" s="18" t="n">
        <v>59.66033274</v>
      </c>
      <c r="F47" s="20" t="n">
        <v>1.98288534</v>
      </c>
      <c r="G47" s="18" t="n">
        <v>39.42144783</v>
      </c>
      <c r="H47" s="20" t="n">
        <v>2.00575764</v>
      </c>
      <c r="I47" s="18" t="s">
        <v>349</v>
      </c>
      <c r="J47" s="20" t="s">
        <v>349</v>
      </c>
      <c r="K47" s="18" t="n">
        <v>0</v>
      </c>
      <c r="L47" s="20" t="n">
        <v>0</v>
      </c>
      <c r="M47" s="18" t="n">
        <v>0</v>
      </c>
      <c r="N47" s="20" t="n">
        <v>0</v>
      </c>
      <c r="O47" s="18" t="n">
        <v>0</v>
      </c>
      <c r="P47" s="20" t="n">
        <v>0</v>
      </c>
      <c r="Q47" s="18" t="n">
        <v>0.91821944</v>
      </c>
      <c r="R47" s="20" t="n">
        <v>0.24554029</v>
      </c>
    </row>
    <row r="48" spans="1:18">
      <c r="A48" s="15" t="s">
        <v>390</v>
      </c>
      <c r="B48" s="17" t="n">
        <v>9841</v>
      </c>
      <c r="C48" s="18">
        <f>(8661.0/B48*100)</f>
        <v/>
      </c>
      <c r="D48" s="19" t="n">
        <v>1180</v>
      </c>
      <c r="E48" s="18" t="n">
        <v>39.26954518</v>
      </c>
      <c r="F48" s="20" t="n">
        <v>2.25899236</v>
      </c>
      <c r="G48" s="18" t="n">
        <v>59.79219628</v>
      </c>
      <c r="H48" s="20" t="n">
        <v>2.31485254</v>
      </c>
      <c r="I48" s="18" t="s">
        <v>349</v>
      </c>
      <c r="J48" s="20" t="s">
        <v>349</v>
      </c>
      <c r="K48" s="18" t="n">
        <v>0.44109485</v>
      </c>
      <c r="L48" s="20" t="n">
        <v>0.32686015</v>
      </c>
      <c r="M48" s="18" t="n">
        <v>0</v>
      </c>
      <c r="N48" s="20" t="n">
        <v>0</v>
      </c>
      <c r="O48" s="18" t="n">
        <v>0</v>
      </c>
      <c r="P48" s="20" t="n">
        <v>0</v>
      </c>
      <c r="Q48" s="18" t="n">
        <v>0.49716368</v>
      </c>
      <c r="R48" s="20" t="n">
        <v>0.22971593</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(10377.0/B50*100)</f>
        <v/>
      </c>
      <c r="D50" s="19" t="n">
        <v>1418</v>
      </c>
      <c r="E50" s="18" t="n">
        <v>78.9555524</v>
      </c>
      <c r="F50" s="20" t="n">
        <v>1.54251071</v>
      </c>
      <c r="G50" s="18" t="n">
        <v>19.4839605</v>
      </c>
      <c r="H50" s="20" t="n">
        <v>1.36945277</v>
      </c>
      <c r="I50" s="18" t="s">
        <v>349</v>
      </c>
      <c r="J50" s="20" t="s">
        <v>349</v>
      </c>
      <c r="K50" s="18" t="n">
        <v>0.71736026</v>
      </c>
      <c r="L50" s="20" t="n">
        <v>0.5584553</v>
      </c>
      <c r="M50" s="18" t="n">
        <v>0</v>
      </c>
      <c r="N50" s="20" t="n">
        <v>0</v>
      </c>
      <c r="O50" s="18" t="n">
        <v>0</v>
      </c>
      <c r="P50" s="20" t="n">
        <v>0</v>
      </c>
      <c r="Q50" s="18" t="n">
        <v>0.84312684</v>
      </c>
      <c r="R50" s="20" t="n">
        <v>0.32796613</v>
      </c>
    </row>
    <row r="51" spans="1:18">
      <c r="A51" s="15" t="s">
        <v>393</v>
      </c>
      <c r="B51" s="17" t="n">
        <v>6866</v>
      </c>
      <c r="C51" s="18">
        <f>(6127.0/B51*100)</f>
        <v/>
      </c>
      <c r="D51" s="19" t="n">
        <v>739</v>
      </c>
      <c r="E51" s="18" t="n">
        <v>82.05350794</v>
      </c>
      <c r="F51" s="20" t="n">
        <v>1.36236458</v>
      </c>
      <c r="G51" s="18" t="n">
        <v>16.00874092</v>
      </c>
      <c r="H51" s="20" t="n">
        <v>1.37998035</v>
      </c>
      <c r="I51" s="18" t="s">
        <v>349</v>
      </c>
      <c r="J51" s="20" t="s">
        <v>349</v>
      </c>
      <c r="K51" s="18" t="n">
        <v>0.09070532000000001</v>
      </c>
      <c r="L51" s="20" t="n">
        <v>0.07349719</v>
      </c>
      <c r="M51" s="18" t="n">
        <v>0</v>
      </c>
      <c r="N51" s="20" t="n">
        <v>0</v>
      </c>
      <c r="O51" s="18" t="n">
        <v>0</v>
      </c>
      <c r="P51" s="20" t="n">
        <v>0</v>
      </c>
      <c r="Q51" s="18" t="n">
        <v>1.84704583</v>
      </c>
      <c r="R51" s="20" t="n">
        <v>0.53803248</v>
      </c>
    </row>
    <row r="52" spans="1:18">
      <c r="A52" s="15" t="s">
        <v>394</v>
      </c>
      <c r="B52" s="17" t="n">
        <v>5809</v>
      </c>
      <c r="C52" s="18">
        <f>(5102.0/B52*100)</f>
        <v/>
      </c>
      <c r="D52" s="19" t="n">
        <v>707</v>
      </c>
      <c r="E52" s="18" t="n">
        <v>55.11732987</v>
      </c>
      <c r="F52" s="20" t="n">
        <v>2.0396646</v>
      </c>
      <c r="G52" s="18" t="n">
        <v>44.1798436</v>
      </c>
      <c r="H52" s="20" t="n">
        <v>2.0487144</v>
      </c>
      <c r="I52" s="18" t="s">
        <v>349</v>
      </c>
      <c r="J52" s="20" t="s">
        <v>349</v>
      </c>
      <c r="K52" s="18" t="n">
        <v>0.26073876</v>
      </c>
      <c r="L52" s="20" t="n">
        <v>0.18576473</v>
      </c>
      <c r="M52" s="18" t="n">
        <v>0</v>
      </c>
      <c r="N52" s="20" t="n">
        <v>0</v>
      </c>
      <c r="O52" s="18" t="n">
        <v>0</v>
      </c>
      <c r="P52" s="20" t="n">
        <v>0</v>
      </c>
      <c r="Q52" s="18" t="n">
        <v>0.44208777</v>
      </c>
      <c r="R52" s="20" t="n">
        <v>0.24614825</v>
      </c>
    </row>
    <row r="53" spans="1:18">
      <c r="A53" s="15" t="s">
        <v>395</v>
      </c>
      <c r="B53" s="17" t="n">
        <v>5571</v>
      </c>
      <c r="C53" s="18">
        <f>(4910.0/B53*100)</f>
        <v/>
      </c>
      <c r="D53" s="19" t="n">
        <v>661</v>
      </c>
      <c r="E53" s="18" t="n">
        <v>67.18998687</v>
      </c>
      <c r="F53" s="20" t="n">
        <v>2.1977322</v>
      </c>
      <c r="G53" s="18" t="n">
        <v>31.27758858</v>
      </c>
      <c r="H53" s="20" t="n">
        <v>2.17309878</v>
      </c>
      <c r="I53" s="18" t="s">
        <v>349</v>
      </c>
      <c r="J53" s="20" t="s">
        <v>349</v>
      </c>
      <c r="K53" s="18" t="n">
        <v>0.36774082</v>
      </c>
      <c r="L53" s="20" t="n">
        <v>0.21163962</v>
      </c>
      <c r="M53" s="18" t="n">
        <v>0</v>
      </c>
      <c r="N53" s="20" t="n">
        <v>0</v>
      </c>
      <c r="O53" s="18" t="n">
        <v>0</v>
      </c>
      <c r="P53" s="20" t="n">
        <v>0</v>
      </c>
      <c r="Q53" s="18" t="n">
        <v>1.16468373</v>
      </c>
      <c r="R53" s="20" t="n">
        <v>0.4339927</v>
      </c>
    </row>
    <row r="54" spans="1:18">
      <c r="A54" s="15" t="s">
        <v>396</v>
      </c>
      <c r="B54" s="17" t="n">
        <v>4740</v>
      </c>
      <c r="C54" s="18">
        <f>(3945.0/B54*100)</f>
        <v/>
      </c>
      <c r="D54" s="19" t="n">
        <v>795</v>
      </c>
      <c r="E54" s="18" t="n">
        <v>73.36978714999999</v>
      </c>
      <c r="F54" s="20" t="n">
        <v>1.64199105</v>
      </c>
      <c r="G54" s="18" t="n">
        <v>18.74361875</v>
      </c>
      <c r="H54" s="20" t="n">
        <v>1.40613643</v>
      </c>
      <c r="I54" s="18" t="s">
        <v>349</v>
      </c>
      <c r="J54" s="20" t="s">
        <v>349</v>
      </c>
      <c r="K54" s="18" t="n">
        <v>3.91253972</v>
      </c>
      <c r="L54" s="20" t="n">
        <v>0.77230272</v>
      </c>
      <c r="M54" s="18" t="n">
        <v>0</v>
      </c>
      <c r="N54" s="20" t="n">
        <v>0</v>
      </c>
      <c r="O54" s="18" t="n">
        <v>0</v>
      </c>
      <c r="P54" s="20" t="n">
        <v>0</v>
      </c>
      <c r="Q54" s="18" t="n">
        <v>3.97405439</v>
      </c>
      <c r="R54" s="20" t="n">
        <v>0.9755038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34.3959396</v>
      </c>
      <c r="F56" s="20" t="n">
        <v>1.90584978</v>
      </c>
      <c r="G56" s="18" t="n">
        <v>65.07140017</v>
      </c>
      <c r="H56" s="20" t="n">
        <v>1.89952378</v>
      </c>
      <c r="I56" s="18" t="s">
        <v>349</v>
      </c>
      <c r="J56" s="20" t="s">
        <v>349</v>
      </c>
      <c r="K56" s="18" t="n">
        <v>0</v>
      </c>
      <c r="L56" s="20" t="n">
        <v>0</v>
      </c>
      <c r="M56" s="18" t="n">
        <v>0</v>
      </c>
      <c r="N56" s="20" t="n">
        <v>0</v>
      </c>
      <c r="O56" s="18" t="n">
        <v>0</v>
      </c>
      <c r="P56" s="20" t="n">
        <v>0</v>
      </c>
      <c r="Q56" s="18" t="n">
        <v>0.53266023</v>
      </c>
      <c r="R56" s="20" t="n">
        <v>0.26904768</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(5723.0/B61*100)</f>
        <v/>
      </c>
      <c r="D61" s="19" t="n">
        <v>802</v>
      </c>
      <c r="E61" s="18" t="n">
        <v>56.0310158</v>
      </c>
      <c r="F61" s="20" t="n">
        <v>2.29020798</v>
      </c>
      <c r="G61" s="18" t="n">
        <v>43.11670209</v>
      </c>
      <c r="H61" s="20" t="n">
        <v>2.30670508</v>
      </c>
      <c r="I61" s="18" t="s">
        <v>349</v>
      </c>
      <c r="J61" s="20" t="s">
        <v>349</v>
      </c>
      <c r="K61" s="18" t="n">
        <v>0.33904267</v>
      </c>
      <c r="L61" s="20" t="n">
        <v>0.21483272</v>
      </c>
      <c r="M61" s="18" t="n">
        <v>0</v>
      </c>
      <c r="N61" s="20" t="n">
        <v>0</v>
      </c>
      <c r="O61" s="18" t="n">
        <v>0</v>
      </c>
      <c r="P61" s="20" t="n">
        <v>0</v>
      </c>
      <c r="Q61" s="18" t="n">
        <v>0.51323945</v>
      </c>
      <c r="R61" s="20" t="n">
        <v>0.28965543</v>
      </c>
    </row>
    <row r="62" spans="1:18">
      <c r="A62" s="15" t="s">
        <v>404</v>
      </c>
      <c r="B62" s="17" t="n">
        <v>4476</v>
      </c>
      <c r="C62" s="18">
        <f>(3926.0/B62*100)</f>
        <v/>
      </c>
      <c r="D62" s="19" t="n">
        <v>550</v>
      </c>
      <c r="E62" s="18" t="n">
        <v>33.47321345</v>
      </c>
      <c r="F62" s="20" t="n">
        <v>1.89046397</v>
      </c>
      <c r="G62" s="18" t="n">
        <v>66.16548546999999</v>
      </c>
      <c r="H62" s="20" t="n">
        <v>1.91376837</v>
      </c>
      <c r="I62" s="18" t="s">
        <v>349</v>
      </c>
      <c r="J62" s="20" t="s">
        <v>349</v>
      </c>
      <c r="K62" s="18" t="n">
        <v>0</v>
      </c>
      <c r="L62" s="20" t="n">
        <v>0</v>
      </c>
      <c r="M62" s="18" t="n">
        <v>0</v>
      </c>
      <c r="N62" s="20" t="n">
        <v>0</v>
      </c>
      <c r="O62" s="18" t="n">
        <v>0</v>
      </c>
      <c r="P62" s="20" t="n">
        <v>0</v>
      </c>
      <c r="Q62" s="18" t="n">
        <v>0.36130108</v>
      </c>
      <c r="R62" s="20" t="n">
        <v>0.2552987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(4968.0/B66*100)</f>
        <v/>
      </c>
      <c r="D66" s="19" t="n">
        <v>697</v>
      </c>
      <c r="E66" s="18" t="n">
        <v>68.90233409</v>
      </c>
      <c r="F66" s="20" t="n">
        <v>1.64125968</v>
      </c>
      <c r="G66" s="18" t="n">
        <v>28.40552271</v>
      </c>
      <c r="H66" s="20" t="n">
        <v>1.6411272</v>
      </c>
      <c r="I66" s="18" t="s">
        <v>349</v>
      </c>
      <c r="J66" s="20" t="s">
        <v>349</v>
      </c>
      <c r="K66" s="18" t="n">
        <v>0.26651733</v>
      </c>
      <c r="L66" s="20" t="n">
        <v>0.18934359</v>
      </c>
      <c r="M66" s="18" t="n">
        <v>0</v>
      </c>
      <c r="N66" s="20" t="n">
        <v>0</v>
      </c>
      <c r="O66" s="18" t="n">
        <v>0</v>
      </c>
      <c r="P66" s="20" t="n">
        <v>0</v>
      </c>
      <c r="Q66" s="18" t="n">
        <v>2.42562587</v>
      </c>
      <c r="R66" s="20" t="n">
        <v>0.52088429</v>
      </c>
    </row>
    <row r="67" spans="1:18">
      <c r="A67" s="15" t="s">
        <v>409</v>
      </c>
      <c r="B67" s="17" t="n">
        <v>6971</v>
      </c>
      <c r="C67" s="18">
        <f>(6135.0/B67*100)</f>
        <v/>
      </c>
      <c r="D67" s="19" t="n">
        <v>836</v>
      </c>
      <c r="E67" s="18" t="n">
        <v>79.30525566</v>
      </c>
      <c r="F67" s="20" t="n">
        <v>1.69188125</v>
      </c>
      <c r="G67" s="18" t="n">
        <v>19.35843608</v>
      </c>
      <c r="H67" s="20" t="n">
        <v>1.57320019</v>
      </c>
      <c r="I67" s="18" t="s">
        <v>349</v>
      </c>
      <c r="J67" s="20" t="s">
        <v>349</v>
      </c>
      <c r="K67" s="18" t="n">
        <v>0</v>
      </c>
      <c r="L67" s="20" t="n">
        <v>0</v>
      </c>
      <c r="M67" s="18" t="n">
        <v>0</v>
      </c>
      <c r="N67" s="20" t="n">
        <v>0</v>
      </c>
      <c r="O67" s="18" t="n">
        <v>0</v>
      </c>
      <c r="P67" s="20" t="n">
        <v>0</v>
      </c>
      <c r="Q67" s="18" t="n">
        <v>1.33630827</v>
      </c>
      <c r="R67" s="20" t="n">
        <v>0.4779435</v>
      </c>
    </row>
    <row r="68" spans="1:18">
      <c r="A68" s="15" t="s">
        <v>410</v>
      </c>
      <c r="B68" s="17" t="n">
        <v>12083</v>
      </c>
      <c r="C68" s="18">
        <f>(10080.0/B68*100)</f>
        <v/>
      </c>
      <c r="D68" s="19" t="n">
        <v>2003</v>
      </c>
      <c r="E68" s="18" t="n">
        <v>74.52689825</v>
      </c>
      <c r="F68" s="20" t="n">
        <v>0.88030284</v>
      </c>
      <c r="G68" s="18" t="n">
        <v>22.73385214</v>
      </c>
      <c r="H68" s="20" t="n">
        <v>0.8408314099999999</v>
      </c>
      <c r="I68" s="18" t="s">
        <v>349</v>
      </c>
      <c r="J68" s="20" t="s">
        <v>349</v>
      </c>
      <c r="K68" s="18" t="n">
        <v>0.97942913</v>
      </c>
      <c r="L68" s="20" t="n">
        <v>0.22404599</v>
      </c>
      <c r="M68" s="18" t="n">
        <v>0</v>
      </c>
      <c r="N68" s="20" t="n">
        <v>0</v>
      </c>
      <c r="O68" s="18" t="n">
        <v>0</v>
      </c>
      <c r="P68" s="20" t="n">
        <v>0</v>
      </c>
      <c r="Q68" s="18" t="n">
        <v>1.75982049</v>
      </c>
      <c r="R68" s="20" t="n">
        <v>0.28452801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(5305.0/B70*100)</f>
        <v/>
      </c>
      <c r="D70" s="19" t="n">
        <v>731</v>
      </c>
      <c r="E70" s="18" t="n">
        <v>60.78412777</v>
      </c>
      <c r="F70" s="20" t="n">
        <v>2.01401742</v>
      </c>
      <c r="G70" s="18" t="n">
        <v>38.60876098</v>
      </c>
      <c r="H70" s="20" t="n">
        <v>1.99202865</v>
      </c>
      <c r="I70" s="18" t="s">
        <v>349</v>
      </c>
      <c r="J70" s="20" t="s">
        <v>349</v>
      </c>
      <c r="K70" s="18" t="n">
        <v>0.16394908</v>
      </c>
      <c r="L70" s="20" t="n">
        <v>0.11668245</v>
      </c>
      <c r="M70" s="18" t="n">
        <v>0</v>
      </c>
      <c r="N70" s="20" t="n">
        <v>0</v>
      </c>
      <c r="O70" s="18" t="n">
        <v>0</v>
      </c>
      <c r="P70" s="20" t="n">
        <v>0</v>
      </c>
      <c r="Q70" s="18" t="n">
        <v>0.44316217</v>
      </c>
      <c r="R70" s="20" t="n">
        <v>0.26106951</v>
      </c>
    </row>
    <row r="71" spans="1:18">
      <c r="A71" s="15" t="s">
        <v>413</v>
      </c>
      <c r="B71" s="17" t="n">
        <v>6115</v>
      </c>
      <c r="C71" s="18">
        <f>(5348.0/B71*100)</f>
        <v/>
      </c>
      <c r="D71" s="19" t="n">
        <v>767</v>
      </c>
      <c r="E71" s="18" t="n">
        <v>37.19878864</v>
      </c>
      <c r="F71" s="20" t="n">
        <v>1.78123552</v>
      </c>
      <c r="G71" s="18" t="n">
        <v>62.06429995</v>
      </c>
      <c r="H71" s="20" t="n">
        <v>1.76390785</v>
      </c>
      <c r="I71" s="18" t="s">
        <v>349</v>
      </c>
      <c r="J71" s="20" t="s">
        <v>349</v>
      </c>
      <c r="K71" s="18" t="n">
        <v>0.13993299</v>
      </c>
      <c r="L71" s="20" t="n">
        <v>0.13310089</v>
      </c>
      <c r="M71" s="18" t="n">
        <v>0</v>
      </c>
      <c r="N71" s="20" t="n">
        <v>0</v>
      </c>
      <c r="O71" s="18" t="n">
        <v>0</v>
      </c>
      <c r="P71" s="20" t="n">
        <v>0</v>
      </c>
      <c r="Q71" s="18" t="n">
        <v>0.59697842</v>
      </c>
      <c r="R71" s="20" t="n">
        <v>0.26928742</v>
      </c>
    </row>
    <row r="72" spans="1:18">
      <c r="A72" s="15" t="s">
        <v>414</v>
      </c>
      <c r="B72" s="17" t="n">
        <v>7708</v>
      </c>
      <c r="C72" s="18">
        <f>(6749.0/B72*100)</f>
        <v/>
      </c>
      <c r="D72" s="19" t="n">
        <v>959</v>
      </c>
      <c r="E72" s="18" t="n">
        <v>29.87599283</v>
      </c>
      <c r="F72" s="20" t="n">
        <v>1.78297841</v>
      </c>
      <c r="G72" s="18" t="n">
        <v>69.34169162000001</v>
      </c>
      <c r="H72" s="20" t="n">
        <v>1.72863175</v>
      </c>
      <c r="I72" s="18" t="s">
        <v>349</v>
      </c>
      <c r="J72" s="20" t="s">
        <v>349</v>
      </c>
      <c r="K72" s="18" t="n">
        <v>0.07148569</v>
      </c>
      <c r="L72" s="20" t="n">
        <v>0.07172379</v>
      </c>
      <c r="M72" s="18" t="n">
        <v>0</v>
      </c>
      <c r="N72" s="20" t="n">
        <v>0</v>
      </c>
      <c r="O72" s="18" t="n">
        <v>0</v>
      </c>
      <c r="P72" s="20" t="n">
        <v>0</v>
      </c>
      <c r="Q72" s="18" t="n">
        <v>0.71082986</v>
      </c>
      <c r="R72" s="20" t="n">
        <v>0.26998404</v>
      </c>
    </row>
    <row r="73" spans="1:18">
      <c r="A73" s="15" t="s">
        <v>415</v>
      </c>
      <c r="B73" s="17" t="n">
        <v>8249</v>
      </c>
      <c r="C73" s="18">
        <f>(7250.0/B73*100)</f>
        <v/>
      </c>
      <c r="D73" s="19" t="n">
        <v>999</v>
      </c>
      <c r="E73" s="18" t="n">
        <v>72.08492758</v>
      </c>
      <c r="F73" s="20" t="n">
        <v>1.68922912</v>
      </c>
      <c r="G73" s="18" t="n">
        <v>27.43297708</v>
      </c>
      <c r="H73" s="20" t="n">
        <v>1.71816527</v>
      </c>
      <c r="I73" s="18" t="s">
        <v>349</v>
      </c>
      <c r="J73" s="20" t="s">
        <v>349</v>
      </c>
      <c r="K73" s="18" t="n">
        <v>0</v>
      </c>
      <c r="L73" s="20" t="n">
        <v>0</v>
      </c>
      <c r="M73" s="18" t="n">
        <v>0</v>
      </c>
      <c r="N73" s="20" t="n">
        <v>0</v>
      </c>
      <c r="O73" s="18" t="n">
        <v>0</v>
      </c>
      <c r="P73" s="20" t="n">
        <v>0</v>
      </c>
      <c r="Q73" s="18" t="n">
        <v>0.48209534</v>
      </c>
      <c r="R73" s="20" t="n">
        <v>0.25167236</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(4735.0/B75*100)</f>
        <v/>
      </c>
      <c r="D75" s="19" t="n">
        <v>640</v>
      </c>
      <c r="E75" s="18" t="n">
        <v>80.35063106</v>
      </c>
      <c r="F75" s="20" t="n">
        <v>1.68681169</v>
      </c>
      <c r="G75" s="18" t="n">
        <v>16.62710339</v>
      </c>
      <c r="H75" s="20" t="n">
        <v>1.5947534</v>
      </c>
      <c r="I75" s="18" t="s">
        <v>349</v>
      </c>
      <c r="J75" s="20" t="s">
        <v>349</v>
      </c>
      <c r="K75" s="18" t="n">
        <v>1.10017582</v>
      </c>
      <c r="L75" s="20" t="n">
        <v>0.39582903</v>
      </c>
      <c r="M75" s="18" t="n">
        <v>0</v>
      </c>
      <c r="N75" s="20" t="n">
        <v>0</v>
      </c>
      <c r="O75" s="18" t="n">
        <v>0</v>
      </c>
      <c r="P75" s="20" t="n">
        <v>0</v>
      </c>
      <c r="Q75" s="18" t="n">
        <v>1.92208974</v>
      </c>
      <c r="R75" s="20" t="n">
        <v>0.74022622</v>
      </c>
    </row>
    <row r="76" spans="1:18">
      <c r="A76" s="15" t="s">
        <v>418</v>
      </c>
      <c r="B76" s="17" t="n">
        <v>14167</v>
      </c>
      <c r="C76" s="18">
        <f>(12432.0/B76*100)</f>
        <v/>
      </c>
      <c r="D76" s="19" t="n">
        <v>1735</v>
      </c>
      <c r="E76" s="18" t="n">
        <v>70.25435306</v>
      </c>
      <c r="F76" s="20" t="n">
        <v>1.4398342</v>
      </c>
      <c r="G76" s="18" t="n">
        <v>27.41703393</v>
      </c>
      <c r="H76" s="20" t="n">
        <v>1.3977877</v>
      </c>
      <c r="I76" s="18" t="s">
        <v>349</v>
      </c>
      <c r="J76" s="20" t="s">
        <v>349</v>
      </c>
      <c r="K76" s="18" t="n">
        <v>0.72157894</v>
      </c>
      <c r="L76" s="20" t="n">
        <v>0.24461048</v>
      </c>
      <c r="M76" s="18" t="n">
        <v>0</v>
      </c>
      <c r="N76" s="20" t="n">
        <v>0</v>
      </c>
      <c r="O76" s="18" t="n">
        <v>0</v>
      </c>
      <c r="P76" s="20" t="n">
        <v>0</v>
      </c>
      <c r="Q76" s="18" t="n">
        <v>1.60703407</v>
      </c>
      <c r="R76" s="20" t="n">
        <v>0.48007301</v>
      </c>
    </row>
    <row r="77" spans="1:18">
      <c r="A77" s="15" t="s">
        <v>419</v>
      </c>
      <c r="B77" s="17" t="n">
        <v>6062</v>
      </c>
      <c r="C77" s="18">
        <f>(5308.0/B77*100)</f>
        <v/>
      </c>
      <c r="D77" s="19" t="n">
        <v>754</v>
      </c>
      <c r="E77" s="18" t="n">
        <v>70.24478911999999</v>
      </c>
      <c r="F77" s="20" t="n">
        <v>1.71288441</v>
      </c>
      <c r="G77" s="18" t="n">
        <v>27.38815117</v>
      </c>
      <c r="H77" s="20" t="n">
        <v>1.63251242</v>
      </c>
      <c r="I77" s="18" t="s">
        <v>349</v>
      </c>
      <c r="J77" s="20" t="s">
        <v>349</v>
      </c>
      <c r="K77" s="18" t="n">
        <v>0.51692773</v>
      </c>
      <c r="L77" s="20" t="n">
        <v>0.32684422</v>
      </c>
      <c r="M77" s="18" t="n">
        <v>0</v>
      </c>
      <c r="N77" s="20" t="n">
        <v>0</v>
      </c>
      <c r="O77" s="18" t="n">
        <v>0</v>
      </c>
      <c r="P77" s="20" t="n">
        <v>0</v>
      </c>
      <c r="Q77" s="18" t="n">
        <v>1.85013198</v>
      </c>
      <c r="R77" s="20" t="n">
        <v>0.46797072</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(7770.0/B81*100)</f>
        <v/>
      </c>
      <c r="D81" s="19" t="n">
        <v>1091</v>
      </c>
      <c r="E81" s="18" t="n">
        <v>73.63055263</v>
      </c>
      <c r="F81" s="20" t="n">
        <v>1.6015549</v>
      </c>
      <c r="G81" s="18" t="n">
        <v>25.45856484</v>
      </c>
      <c r="H81" s="20" t="n">
        <v>1.60274823</v>
      </c>
      <c r="I81" s="18" t="s">
        <v>349</v>
      </c>
      <c r="J81" s="20" t="s">
        <v>349</v>
      </c>
      <c r="K81" s="18" t="n">
        <v>0.26982768</v>
      </c>
      <c r="L81" s="20" t="n">
        <v>0.16029048</v>
      </c>
      <c r="M81" s="18" t="n">
        <v>0</v>
      </c>
      <c r="N81" s="20" t="n">
        <v>0</v>
      </c>
      <c r="O81" s="18" t="n">
        <v>0</v>
      </c>
      <c r="P81" s="20" t="n">
        <v>0</v>
      </c>
      <c r="Q81" s="18" t="n">
        <v>0.64105486</v>
      </c>
      <c r="R81" s="20" t="n">
        <v>0.31487074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(12777.0/B7*100)</f>
        <v/>
      </c>
      <c r="D7" s="19" t="n">
        <v>1753</v>
      </c>
      <c r="E7" s="18" t="n">
        <v>20.07295373</v>
      </c>
      <c r="F7" s="20" t="n">
        <v>1.20081778</v>
      </c>
      <c r="G7" s="18" t="n">
        <v>76.30664062</v>
      </c>
      <c r="H7" s="20" t="n">
        <v>1.24881189</v>
      </c>
      <c r="I7" s="18" t="s">
        <v>349</v>
      </c>
      <c r="J7" s="20" t="s">
        <v>349</v>
      </c>
      <c r="K7" s="18" t="n">
        <v>0.47650575</v>
      </c>
      <c r="L7" s="20" t="n">
        <v>0.19706694</v>
      </c>
      <c r="M7" s="18" t="n">
        <v>0</v>
      </c>
      <c r="N7" s="20" t="n">
        <v>0</v>
      </c>
      <c r="O7" s="18" t="n">
        <v>0</v>
      </c>
      <c r="P7" s="20" t="n">
        <v>0</v>
      </c>
      <c r="Q7" s="18" t="n">
        <v>3.1438999</v>
      </c>
      <c r="R7" s="20" t="n">
        <v>0.54924672</v>
      </c>
    </row>
    <row r="8" spans="1:18">
      <c r="A8" s="15" t="s">
        <v>350</v>
      </c>
      <c r="B8" s="17" t="n">
        <v>7007</v>
      </c>
      <c r="C8" s="18">
        <f>(6118.0/B8*100)</f>
        <v/>
      </c>
      <c r="D8" s="19" t="n">
        <v>889</v>
      </c>
      <c r="E8" s="18" t="n">
        <v>21.64269453</v>
      </c>
      <c r="F8" s="20" t="n">
        <v>1.5014005</v>
      </c>
      <c r="G8" s="18" t="n">
        <v>75.79207542</v>
      </c>
      <c r="H8" s="20" t="n">
        <v>1.57609406</v>
      </c>
      <c r="I8" s="18" t="s">
        <v>349</v>
      </c>
      <c r="J8" s="20" t="s">
        <v>349</v>
      </c>
      <c r="K8" s="18" t="n">
        <v>0.13246879</v>
      </c>
      <c r="L8" s="20" t="n">
        <v>0.13001405</v>
      </c>
      <c r="M8" s="18" t="n">
        <v>0</v>
      </c>
      <c r="N8" s="20" t="n">
        <v>0</v>
      </c>
      <c r="O8" s="18" t="n">
        <v>0</v>
      </c>
      <c r="P8" s="20" t="n">
        <v>0</v>
      </c>
      <c r="Q8" s="18" t="n">
        <v>2.43276125</v>
      </c>
      <c r="R8" s="20" t="n">
        <v>0.56259968</v>
      </c>
    </row>
    <row r="9" spans="1:18">
      <c r="A9" s="15" t="s">
        <v>351</v>
      </c>
      <c r="B9" s="17" t="n">
        <v>9651</v>
      </c>
      <c r="C9" s="18">
        <f>(8505.0/B9*100)</f>
        <v/>
      </c>
      <c r="D9" s="19" t="n">
        <v>1146</v>
      </c>
      <c r="E9" s="18" t="n">
        <v>22.0745598</v>
      </c>
      <c r="F9" s="20" t="n">
        <v>1.21911949</v>
      </c>
      <c r="G9" s="18" t="n">
        <v>75.67140404</v>
      </c>
      <c r="H9" s="20" t="n">
        <v>1.29841118</v>
      </c>
      <c r="I9" s="18" t="s">
        <v>349</v>
      </c>
      <c r="J9" s="20" t="s">
        <v>349</v>
      </c>
      <c r="K9" s="18" t="n">
        <v>0.04131069</v>
      </c>
      <c r="L9" s="20" t="n">
        <v>0.04115265</v>
      </c>
      <c r="M9" s="18" t="n">
        <v>0</v>
      </c>
      <c r="N9" s="20" t="n">
        <v>0</v>
      </c>
      <c r="O9" s="18" t="n">
        <v>0</v>
      </c>
      <c r="P9" s="20" t="n">
        <v>0</v>
      </c>
      <c r="Q9" s="18" t="n">
        <v>2.21272547</v>
      </c>
      <c r="R9" s="20" t="n">
        <v>0.45001092</v>
      </c>
    </row>
    <row r="10" spans="1:18">
      <c r="A10" s="15" t="s">
        <v>352</v>
      </c>
      <c r="B10" s="17" t="n">
        <v>20058</v>
      </c>
      <c r="C10" s="18">
        <f>(17588.0/B10*100)</f>
        <v/>
      </c>
      <c r="D10" s="19" t="n">
        <v>2470</v>
      </c>
      <c r="E10" s="18" t="n">
        <v>16.7645689</v>
      </c>
      <c r="F10" s="20" t="n">
        <v>1.00378533</v>
      </c>
      <c r="G10" s="18" t="n">
        <v>82.44295394</v>
      </c>
      <c r="H10" s="20" t="n">
        <v>1.03762453</v>
      </c>
      <c r="I10" s="18" t="s">
        <v>349</v>
      </c>
      <c r="J10" s="20" t="s">
        <v>349</v>
      </c>
      <c r="K10" s="18" t="n">
        <v>0.3080604</v>
      </c>
      <c r="L10" s="20" t="n">
        <v>0.16799914</v>
      </c>
      <c r="M10" s="18" t="n">
        <v>0</v>
      </c>
      <c r="N10" s="20" t="n">
        <v>0</v>
      </c>
      <c r="O10" s="18" t="n">
        <v>0</v>
      </c>
      <c r="P10" s="20" t="n">
        <v>0</v>
      </c>
      <c r="Q10" s="18" t="n">
        <v>0.48441675</v>
      </c>
      <c r="R10" s="20" t="n">
        <v>0.20662668</v>
      </c>
    </row>
    <row r="11" spans="1:18">
      <c r="A11" s="15" t="s">
        <v>353</v>
      </c>
      <c r="B11" s="17" t="n">
        <v>7053</v>
      </c>
      <c r="C11" s="18">
        <f>(6182.0/B11*100)</f>
        <v/>
      </c>
      <c r="D11" s="19" t="n">
        <v>871</v>
      </c>
      <c r="E11" s="18" t="n">
        <v>26.17313639</v>
      </c>
      <c r="F11" s="20" t="n">
        <v>1.96738526</v>
      </c>
      <c r="G11" s="18" t="n">
        <v>70.54241509000001</v>
      </c>
      <c r="H11" s="20" t="n">
        <v>2.03801763</v>
      </c>
      <c r="I11" s="18" t="s">
        <v>349</v>
      </c>
      <c r="J11" s="20" t="s">
        <v>349</v>
      </c>
      <c r="K11" s="18" t="n">
        <v>0.1434999</v>
      </c>
      <c r="L11" s="20" t="n">
        <v>0.10563092</v>
      </c>
      <c r="M11" s="18" t="n">
        <v>0</v>
      </c>
      <c r="N11" s="20" t="n">
        <v>0</v>
      </c>
      <c r="O11" s="18" t="n">
        <v>0</v>
      </c>
      <c r="P11" s="20" t="n">
        <v>0</v>
      </c>
      <c r="Q11" s="18" t="n">
        <v>3.14094862</v>
      </c>
      <c r="R11" s="20" t="n">
        <v>0.72855797</v>
      </c>
    </row>
    <row r="12" spans="1:18">
      <c r="A12" s="15" t="s">
        <v>354</v>
      </c>
      <c r="B12" s="17" t="n">
        <v>6894</v>
      </c>
      <c r="C12" s="18">
        <f>(6052.0/B12*100)</f>
        <v/>
      </c>
      <c r="D12" s="19" t="n">
        <v>842</v>
      </c>
      <c r="E12" s="18" t="n">
        <v>19.53978082</v>
      </c>
      <c r="F12" s="20" t="n">
        <v>1.61385424</v>
      </c>
      <c r="G12" s="18" t="n">
        <v>79.08029713000001</v>
      </c>
      <c r="H12" s="20" t="n">
        <v>1.72948232</v>
      </c>
      <c r="I12" s="18" t="s">
        <v>349</v>
      </c>
      <c r="J12" s="20" t="s">
        <v>349</v>
      </c>
      <c r="K12" s="18" t="n">
        <v>0.16646723</v>
      </c>
      <c r="L12" s="20" t="n">
        <v>0.27136456</v>
      </c>
      <c r="M12" s="18" t="n">
        <v>0</v>
      </c>
      <c r="N12" s="20" t="n">
        <v>0</v>
      </c>
      <c r="O12" s="18" t="n">
        <v>0</v>
      </c>
      <c r="P12" s="20" t="n">
        <v>0</v>
      </c>
      <c r="Q12" s="18" t="n">
        <v>1.21345483</v>
      </c>
      <c r="R12" s="20" t="n">
        <v>0.47544949</v>
      </c>
    </row>
    <row r="13" spans="1:18">
      <c r="A13" s="15" t="s">
        <v>355</v>
      </c>
      <c r="B13" s="17" t="n">
        <v>7161</v>
      </c>
      <c r="C13" s="18">
        <f>(6320.0/B13*100)</f>
        <v/>
      </c>
      <c r="D13" s="19" t="n">
        <v>841</v>
      </c>
      <c r="E13" s="18" t="n">
        <v>18.30697138</v>
      </c>
      <c r="F13" s="20" t="n">
        <v>1.58962763</v>
      </c>
      <c r="G13" s="18" t="n">
        <v>79.91986221000001</v>
      </c>
      <c r="H13" s="20" t="n">
        <v>1.73647937</v>
      </c>
      <c r="I13" s="18" t="s">
        <v>349</v>
      </c>
      <c r="J13" s="20" t="s">
        <v>349</v>
      </c>
      <c r="K13" s="18" t="n">
        <v>0.86977544</v>
      </c>
      <c r="L13" s="20" t="n">
        <v>0.46262185</v>
      </c>
      <c r="M13" s="18" t="n">
        <v>0</v>
      </c>
      <c r="N13" s="20" t="n">
        <v>0</v>
      </c>
      <c r="O13" s="18" t="n">
        <v>0</v>
      </c>
      <c r="P13" s="20" t="n">
        <v>0</v>
      </c>
      <c r="Q13" s="18" t="n">
        <v>0.90339098</v>
      </c>
      <c r="R13" s="20" t="n">
        <v>0.24004615</v>
      </c>
    </row>
    <row r="14" spans="1:18">
      <c r="A14" s="15" t="s">
        <v>356</v>
      </c>
      <c r="B14" s="17" t="n">
        <v>5587</v>
      </c>
      <c r="C14" s="18">
        <f>(4904.0/B14*100)</f>
        <v/>
      </c>
      <c r="D14" s="19" t="n">
        <v>683</v>
      </c>
      <c r="E14" s="18" t="n">
        <v>21.52988719</v>
      </c>
      <c r="F14" s="20" t="n">
        <v>1.7113542</v>
      </c>
      <c r="G14" s="18" t="n">
        <v>77.43582848</v>
      </c>
      <c r="H14" s="20" t="n">
        <v>1.80706706</v>
      </c>
      <c r="I14" s="18" t="s">
        <v>349</v>
      </c>
      <c r="J14" s="20" t="s">
        <v>349</v>
      </c>
      <c r="K14" s="18" t="n">
        <v>0</v>
      </c>
      <c r="L14" s="20" t="n">
        <v>0</v>
      </c>
      <c r="M14" s="18" t="n">
        <v>0</v>
      </c>
      <c r="N14" s="20" t="n">
        <v>0</v>
      </c>
      <c r="O14" s="18" t="n">
        <v>0</v>
      </c>
      <c r="P14" s="20" t="n">
        <v>0</v>
      </c>
      <c r="Q14" s="18" t="n">
        <v>1.03428433</v>
      </c>
      <c r="R14" s="20" t="n">
        <v>0.43035584</v>
      </c>
    </row>
    <row r="15" spans="1:18">
      <c r="A15" s="15" t="s">
        <v>357</v>
      </c>
      <c r="B15" s="17" t="n">
        <v>5882</v>
      </c>
      <c r="C15" s="18">
        <f>(5178.0/B15*100)</f>
        <v/>
      </c>
      <c r="D15" s="19" t="n">
        <v>704</v>
      </c>
      <c r="E15" s="18" t="n">
        <v>22.37367944</v>
      </c>
      <c r="F15" s="20" t="n">
        <v>1.50308023</v>
      </c>
      <c r="G15" s="18" t="n">
        <v>75.84747489999999</v>
      </c>
      <c r="H15" s="20" t="n">
        <v>1.58178275</v>
      </c>
      <c r="I15" s="18" t="s">
        <v>349</v>
      </c>
      <c r="J15" s="20" t="s">
        <v>349</v>
      </c>
      <c r="K15" s="18" t="n">
        <v>0.13616546</v>
      </c>
      <c r="L15" s="20" t="n">
        <v>0.13673131</v>
      </c>
      <c r="M15" s="18" t="n">
        <v>0</v>
      </c>
      <c r="N15" s="20" t="n">
        <v>0</v>
      </c>
      <c r="O15" s="18" t="n">
        <v>0</v>
      </c>
      <c r="P15" s="20" t="n">
        <v>0</v>
      </c>
      <c r="Q15" s="18" t="n">
        <v>1.6426802</v>
      </c>
      <c r="R15" s="20" t="n">
        <v>0.46285719</v>
      </c>
    </row>
    <row r="16" spans="1:18">
      <c r="A16" s="15" t="s">
        <v>358</v>
      </c>
      <c r="B16" s="17" t="n">
        <v>6108</v>
      </c>
      <c r="C16" s="18">
        <f>(5362.0/B16*100)</f>
        <v/>
      </c>
      <c r="D16" s="19" t="n">
        <v>746</v>
      </c>
      <c r="E16" s="18" t="n">
        <v>23.19173813</v>
      </c>
      <c r="F16" s="20" t="n">
        <v>1.27731781</v>
      </c>
      <c r="G16" s="18" t="n">
        <v>74.17097294</v>
      </c>
      <c r="H16" s="20" t="n">
        <v>1.32866528</v>
      </c>
      <c r="I16" s="18" t="s">
        <v>349</v>
      </c>
      <c r="J16" s="20" t="s">
        <v>349</v>
      </c>
      <c r="K16" s="18" t="n">
        <v>0.14259515</v>
      </c>
      <c r="L16" s="20" t="n">
        <v>0.14330492</v>
      </c>
      <c r="M16" s="18" t="n">
        <v>0</v>
      </c>
      <c r="N16" s="20" t="n">
        <v>0</v>
      </c>
      <c r="O16" s="18" t="n">
        <v>0</v>
      </c>
      <c r="P16" s="20" t="n">
        <v>0</v>
      </c>
      <c r="Q16" s="18" t="n">
        <v>2.49469378</v>
      </c>
      <c r="R16" s="20" t="n">
        <v>0.61308927</v>
      </c>
    </row>
    <row r="17" spans="1:18">
      <c r="A17" s="15" t="s">
        <v>359</v>
      </c>
      <c r="B17" s="17" t="n">
        <v>6504</v>
      </c>
      <c r="C17" s="18">
        <f>(5719.0/B17*100)</f>
        <v/>
      </c>
      <c r="D17" s="19" t="n">
        <v>785</v>
      </c>
      <c r="E17" s="18" t="n">
        <v>18.9268675</v>
      </c>
      <c r="F17" s="20" t="n">
        <v>1.49853141</v>
      </c>
      <c r="G17" s="18" t="n">
        <v>78.45301292000001</v>
      </c>
      <c r="H17" s="20" t="n">
        <v>1.41366217</v>
      </c>
      <c r="I17" s="18" t="s">
        <v>349</v>
      </c>
      <c r="J17" s="20" t="s">
        <v>349</v>
      </c>
      <c r="K17" s="18" t="n">
        <v>0</v>
      </c>
      <c r="L17" s="20" t="n">
        <v>0</v>
      </c>
      <c r="M17" s="18" t="n">
        <v>0</v>
      </c>
      <c r="N17" s="20" t="n">
        <v>0</v>
      </c>
      <c r="O17" s="18" t="n">
        <v>0</v>
      </c>
      <c r="P17" s="20" t="n">
        <v>0</v>
      </c>
      <c r="Q17" s="18" t="n">
        <v>2.62011958</v>
      </c>
      <c r="R17" s="20" t="n">
        <v>0.70374056</v>
      </c>
    </row>
    <row r="18" spans="1:18">
      <c r="A18" s="15" t="s">
        <v>360</v>
      </c>
      <c r="B18" s="17" t="n">
        <v>5532</v>
      </c>
      <c r="C18" s="18">
        <f>(4857.0/B18*100)</f>
        <v/>
      </c>
      <c r="D18" s="19" t="n">
        <v>675</v>
      </c>
      <c r="E18" s="18" t="n">
        <v>34.87182627</v>
      </c>
      <c r="F18" s="20" t="n">
        <v>2.00342169</v>
      </c>
      <c r="G18" s="18" t="n">
        <v>62.90718495</v>
      </c>
      <c r="H18" s="20" t="n">
        <v>2.04056269</v>
      </c>
      <c r="I18" s="18" t="s">
        <v>349</v>
      </c>
      <c r="J18" s="20" t="s">
        <v>349</v>
      </c>
      <c r="K18" s="18" t="n">
        <v>0.16698862</v>
      </c>
      <c r="L18" s="20" t="n">
        <v>0.16608631</v>
      </c>
      <c r="M18" s="18" t="n">
        <v>0</v>
      </c>
      <c r="N18" s="20" t="n">
        <v>0</v>
      </c>
      <c r="O18" s="18" t="n">
        <v>0</v>
      </c>
      <c r="P18" s="20" t="n">
        <v>0</v>
      </c>
      <c r="Q18" s="18" t="n">
        <v>2.05400016</v>
      </c>
      <c r="R18" s="20" t="n">
        <v>0.54192408</v>
      </c>
    </row>
    <row r="19" spans="1:18">
      <c r="A19" s="15" t="s">
        <v>361</v>
      </c>
      <c r="B19" s="17" t="n">
        <v>5658</v>
      </c>
      <c r="C19" s="18">
        <f>(4970.0/B19*100)</f>
        <v/>
      </c>
      <c r="D19" s="19" t="n">
        <v>688</v>
      </c>
      <c r="E19" s="18" t="n">
        <v>27.87978602</v>
      </c>
      <c r="F19" s="20" t="n">
        <v>2.0402591</v>
      </c>
      <c r="G19" s="18" t="n">
        <v>69.03524643</v>
      </c>
      <c r="H19" s="20" t="n">
        <v>2.19959984</v>
      </c>
      <c r="I19" s="18" t="s">
        <v>349</v>
      </c>
      <c r="J19" s="20" t="s">
        <v>349</v>
      </c>
      <c r="K19" s="18" t="n">
        <v>0.11575472</v>
      </c>
      <c r="L19" s="20" t="n">
        <v>0.11699673</v>
      </c>
      <c r="M19" s="18" t="n">
        <v>0</v>
      </c>
      <c r="N19" s="20" t="n">
        <v>0</v>
      </c>
      <c r="O19" s="18" t="n">
        <v>0</v>
      </c>
      <c r="P19" s="20" t="n">
        <v>0</v>
      </c>
      <c r="Q19" s="18" t="n">
        <v>2.96921283</v>
      </c>
      <c r="R19" s="20" t="n">
        <v>0.75840808</v>
      </c>
    </row>
    <row r="20" spans="1:18">
      <c r="A20" s="15" t="s">
        <v>362</v>
      </c>
      <c r="B20" s="17" t="n">
        <v>3371</v>
      </c>
      <c r="C20" s="18">
        <f>(2950.0/B20*100)</f>
        <v/>
      </c>
      <c r="D20" s="19" t="n">
        <v>421</v>
      </c>
      <c r="E20" s="18" t="n">
        <v>25.63715144</v>
      </c>
      <c r="F20" s="20" t="n">
        <v>1.98864235</v>
      </c>
      <c r="G20" s="18" t="n">
        <v>72.24482801000001</v>
      </c>
      <c r="H20" s="20" t="n">
        <v>1.9432648</v>
      </c>
      <c r="I20" s="18" t="s">
        <v>349</v>
      </c>
      <c r="J20" s="20" t="s">
        <v>349</v>
      </c>
      <c r="K20" s="18" t="n">
        <v>0.22512118</v>
      </c>
      <c r="L20" s="20" t="n">
        <v>0.22503122</v>
      </c>
      <c r="M20" s="18" t="n">
        <v>0</v>
      </c>
      <c r="N20" s="20" t="n">
        <v>0</v>
      </c>
      <c r="O20" s="18" t="n">
        <v>0</v>
      </c>
      <c r="P20" s="20" t="n">
        <v>0</v>
      </c>
      <c r="Q20" s="18" t="n">
        <v>1.89289936</v>
      </c>
      <c r="R20" s="20" t="n">
        <v>0.68891984</v>
      </c>
    </row>
    <row r="21" spans="1:18">
      <c r="A21" s="15" t="s">
        <v>363</v>
      </c>
      <c r="B21" s="17" t="n">
        <v>5741</v>
      </c>
      <c r="C21" s="18">
        <f>(4756.0/B21*100)</f>
        <v/>
      </c>
      <c r="D21" s="19" t="n">
        <v>985</v>
      </c>
      <c r="E21" s="18" t="n">
        <v>21.31765747</v>
      </c>
      <c r="F21" s="20" t="n">
        <v>1.32702401</v>
      </c>
      <c r="G21" s="18" t="n">
        <v>77.76207551</v>
      </c>
      <c r="H21" s="20" t="n">
        <v>1.36278234</v>
      </c>
      <c r="I21" s="18" t="s">
        <v>349</v>
      </c>
      <c r="J21" s="20" t="s">
        <v>349</v>
      </c>
      <c r="K21" s="18" t="n">
        <v>0.26013276</v>
      </c>
      <c r="L21" s="20" t="n">
        <v>0.18371929</v>
      </c>
      <c r="M21" s="18" t="n">
        <v>0</v>
      </c>
      <c r="N21" s="20" t="n">
        <v>0</v>
      </c>
      <c r="O21" s="18" t="n">
        <v>0</v>
      </c>
      <c r="P21" s="20" t="n">
        <v>0</v>
      </c>
      <c r="Q21" s="18" t="n">
        <v>0.66013425</v>
      </c>
      <c r="R21" s="20" t="n">
        <v>0.26529319</v>
      </c>
    </row>
    <row r="22" spans="1:18">
      <c r="A22" s="15" t="s">
        <v>364</v>
      </c>
      <c r="B22" s="17" t="n">
        <v>6598</v>
      </c>
      <c r="C22" s="18">
        <f>(5740.0/B22*100)</f>
        <v/>
      </c>
      <c r="D22" s="19" t="n">
        <v>858</v>
      </c>
      <c r="E22" s="18" t="n">
        <v>27.84335657</v>
      </c>
      <c r="F22" s="20" t="n">
        <v>2.00148157</v>
      </c>
      <c r="G22" s="18" t="n">
        <v>66.32832465</v>
      </c>
      <c r="H22" s="20" t="n">
        <v>2.07599381</v>
      </c>
      <c r="I22" s="18" t="s">
        <v>349</v>
      </c>
      <c r="J22" s="20" t="s">
        <v>349</v>
      </c>
      <c r="K22" s="18" t="n">
        <v>1.07117439</v>
      </c>
      <c r="L22" s="20" t="n">
        <v>0.44524375</v>
      </c>
      <c r="M22" s="18" t="n">
        <v>0</v>
      </c>
      <c r="N22" s="20" t="n">
        <v>0</v>
      </c>
      <c r="O22" s="18" t="n">
        <v>0</v>
      </c>
      <c r="P22" s="20" t="n">
        <v>0</v>
      </c>
      <c r="Q22" s="18" t="n">
        <v>4.75714439</v>
      </c>
      <c r="R22" s="20" t="n">
        <v>0.92714979</v>
      </c>
    </row>
    <row r="23" spans="1:18">
      <c r="A23" s="15" t="s">
        <v>365</v>
      </c>
      <c r="B23" s="17" t="n">
        <v>11583</v>
      </c>
      <c r="C23" s="18">
        <f>(10171.0/B23*100)</f>
        <v/>
      </c>
      <c r="D23" s="19" t="n">
        <v>1412</v>
      </c>
      <c r="E23" s="18" t="n">
        <v>27.93701154</v>
      </c>
      <c r="F23" s="20" t="n">
        <v>1.61273404</v>
      </c>
      <c r="G23" s="18" t="n">
        <v>68.23210269</v>
      </c>
      <c r="H23" s="20" t="n">
        <v>1.62178736</v>
      </c>
      <c r="I23" s="18" t="s">
        <v>349</v>
      </c>
      <c r="J23" s="20" t="s">
        <v>349</v>
      </c>
      <c r="K23" s="18" t="n">
        <v>0.43011565</v>
      </c>
      <c r="L23" s="20" t="n">
        <v>0.22307564</v>
      </c>
      <c r="M23" s="18" t="n">
        <v>0</v>
      </c>
      <c r="N23" s="20" t="n">
        <v>0</v>
      </c>
      <c r="O23" s="18" t="n">
        <v>0</v>
      </c>
      <c r="P23" s="20" t="n">
        <v>0</v>
      </c>
      <c r="Q23" s="18" t="n">
        <v>3.40077012</v>
      </c>
      <c r="R23" s="20" t="n">
        <v>0.68435177</v>
      </c>
    </row>
    <row r="24" spans="1:18">
      <c r="A24" s="15" t="s">
        <v>366</v>
      </c>
      <c r="B24" s="17" t="n">
        <v>6647</v>
      </c>
      <c r="C24" s="18">
        <f>(5847.0/B24*100)</f>
        <v/>
      </c>
      <c r="D24" s="19" t="n">
        <v>800</v>
      </c>
      <c r="E24" s="18" t="n">
        <v>15.09869217</v>
      </c>
      <c r="F24" s="20" t="n">
        <v>1.35995447</v>
      </c>
      <c r="G24" s="18" t="n">
        <v>84.26742784</v>
      </c>
      <c r="H24" s="20" t="n">
        <v>1.34683026</v>
      </c>
      <c r="I24" s="18" t="s">
        <v>349</v>
      </c>
      <c r="J24" s="20" t="s">
        <v>349</v>
      </c>
      <c r="K24" s="18" t="n">
        <v>0.11621281</v>
      </c>
      <c r="L24" s="20" t="n">
        <v>0.11799294</v>
      </c>
      <c r="M24" s="18" t="n">
        <v>0</v>
      </c>
      <c r="N24" s="20" t="n">
        <v>0</v>
      </c>
      <c r="O24" s="18" t="n">
        <v>0</v>
      </c>
      <c r="P24" s="20" t="n">
        <v>0</v>
      </c>
      <c r="Q24" s="18" t="n">
        <v>0.51766718</v>
      </c>
      <c r="R24" s="20" t="n">
        <v>0.23786052</v>
      </c>
    </row>
    <row r="25" spans="1:18">
      <c r="A25" s="15" t="s">
        <v>367</v>
      </c>
      <c r="B25" s="17" t="n">
        <v>5581</v>
      </c>
      <c r="C25" s="18">
        <f>(4896.0/B25*100)</f>
        <v/>
      </c>
      <c r="D25" s="19" t="n">
        <v>685</v>
      </c>
      <c r="E25" s="18" t="n">
        <v>19.82704263</v>
      </c>
      <c r="F25" s="20" t="n">
        <v>1.81784807</v>
      </c>
      <c r="G25" s="18" t="n">
        <v>78.70065291</v>
      </c>
      <c r="H25" s="20" t="n">
        <v>1.78972364</v>
      </c>
      <c r="I25" s="18" t="s">
        <v>349</v>
      </c>
      <c r="J25" s="20" t="s">
        <v>349</v>
      </c>
      <c r="K25" s="18" t="n">
        <v>0.28324231</v>
      </c>
      <c r="L25" s="20" t="n">
        <v>0.2418505</v>
      </c>
      <c r="M25" s="18" t="n">
        <v>0</v>
      </c>
      <c r="N25" s="20" t="n">
        <v>0</v>
      </c>
      <c r="O25" s="18" t="n">
        <v>0</v>
      </c>
      <c r="P25" s="20" t="n">
        <v>0</v>
      </c>
      <c r="Q25" s="18" t="n">
        <v>1.18906214</v>
      </c>
      <c r="R25" s="20" t="n">
        <v>0.46416594</v>
      </c>
    </row>
    <row r="26" spans="1:18">
      <c r="A26" s="15" t="s">
        <v>368</v>
      </c>
      <c r="B26" s="17" t="n">
        <v>4869</v>
      </c>
      <c r="C26" s="18">
        <f>(4276.0/B26*100)</f>
        <v/>
      </c>
      <c r="D26" s="19" t="n">
        <v>593</v>
      </c>
      <c r="E26" s="18" t="n">
        <v>30.23405685</v>
      </c>
      <c r="F26" s="20" t="n">
        <v>2.0389885</v>
      </c>
      <c r="G26" s="18" t="n">
        <v>68.70572811</v>
      </c>
      <c r="H26" s="20" t="n">
        <v>2.09927283</v>
      </c>
      <c r="I26" s="18" t="s">
        <v>349</v>
      </c>
      <c r="J26" s="20" t="s">
        <v>349</v>
      </c>
      <c r="K26" s="18" t="n">
        <v>0</v>
      </c>
      <c r="L26" s="20" t="n">
        <v>0</v>
      </c>
      <c r="M26" s="18" t="n">
        <v>0</v>
      </c>
      <c r="N26" s="20" t="n">
        <v>0</v>
      </c>
      <c r="O26" s="18" t="n">
        <v>0</v>
      </c>
      <c r="P26" s="20" t="n">
        <v>0</v>
      </c>
      <c r="Q26" s="18" t="n">
        <v>1.06021504</v>
      </c>
      <c r="R26" s="20" t="n">
        <v>0.47863988</v>
      </c>
    </row>
    <row r="27" spans="1:18">
      <c r="A27" s="15" t="s">
        <v>369</v>
      </c>
      <c r="B27" s="17" t="n">
        <v>5299</v>
      </c>
      <c r="C27" s="18">
        <f>(4653.0/B27*100)</f>
        <v/>
      </c>
      <c r="D27" s="19" t="n">
        <v>646</v>
      </c>
      <c r="E27" s="18" t="n">
        <v>24.94277224</v>
      </c>
      <c r="F27" s="20" t="n">
        <v>1.79360265</v>
      </c>
      <c r="G27" s="18" t="n">
        <v>73.47329171</v>
      </c>
      <c r="H27" s="20" t="n">
        <v>1.8124632</v>
      </c>
      <c r="I27" s="18" t="s">
        <v>349</v>
      </c>
      <c r="J27" s="20" t="s">
        <v>349</v>
      </c>
      <c r="K27" s="18" t="n">
        <v>0</v>
      </c>
      <c r="L27" s="20" t="n">
        <v>0</v>
      </c>
      <c r="M27" s="18" t="n">
        <v>0</v>
      </c>
      <c r="N27" s="20" t="n">
        <v>0</v>
      </c>
      <c r="O27" s="18" t="n">
        <v>0</v>
      </c>
      <c r="P27" s="20" t="n">
        <v>0</v>
      </c>
      <c r="Q27" s="18" t="n">
        <v>1.58393605</v>
      </c>
      <c r="R27" s="20" t="n">
        <v>0.44518593</v>
      </c>
    </row>
    <row r="28" spans="1:18">
      <c r="A28" s="15" t="s">
        <v>370</v>
      </c>
      <c r="B28" s="17" t="n">
        <v>7568</v>
      </c>
      <c r="C28" s="18">
        <f>(6636.0/B28*100)</f>
        <v/>
      </c>
      <c r="D28" s="19" t="n">
        <v>932</v>
      </c>
      <c r="E28" s="18" t="n">
        <v>40.64876591</v>
      </c>
      <c r="F28" s="20" t="n">
        <v>1.66533009</v>
      </c>
      <c r="G28" s="18" t="n">
        <v>58.45010025</v>
      </c>
      <c r="H28" s="20" t="n">
        <v>1.6491875</v>
      </c>
      <c r="I28" s="18" t="s">
        <v>349</v>
      </c>
      <c r="J28" s="20" t="s">
        <v>349</v>
      </c>
      <c r="K28" s="18" t="n">
        <v>0.26984426</v>
      </c>
      <c r="L28" s="20" t="n">
        <v>0.21230522</v>
      </c>
      <c r="M28" s="18" t="n">
        <v>0</v>
      </c>
      <c r="N28" s="20" t="n">
        <v>0</v>
      </c>
      <c r="O28" s="18" t="n">
        <v>0</v>
      </c>
      <c r="P28" s="20" t="n">
        <v>0</v>
      </c>
      <c r="Q28" s="18" t="n">
        <v>0.63128958</v>
      </c>
      <c r="R28" s="20" t="n">
        <v>0.23831769</v>
      </c>
    </row>
    <row r="29" spans="1:18">
      <c r="A29" s="15" t="s">
        <v>371</v>
      </c>
      <c r="B29" s="17" t="n">
        <v>5385</v>
      </c>
      <c r="C29" s="18">
        <f>(4732.0/B29*100)</f>
        <v/>
      </c>
      <c r="D29" s="19" t="n">
        <v>653</v>
      </c>
      <c r="E29" s="18" t="n">
        <v>23.47202261</v>
      </c>
      <c r="F29" s="20" t="n">
        <v>1.84433533</v>
      </c>
      <c r="G29" s="18" t="n">
        <v>75.70482195</v>
      </c>
      <c r="H29" s="20" t="n">
        <v>1.89433068</v>
      </c>
      <c r="I29" s="18" t="s">
        <v>349</v>
      </c>
      <c r="J29" s="20" t="s">
        <v>349</v>
      </c>
      <c r="K29" s="18" t="n">
        <v>0.49957536</v>
      </c>
      <c r="L29" s="20" t="n">
        <v>0.25814165</v>
      </c>
      <c r="M29" s="18" t="n">
        <v>0</v>
      </c>
      <c r="N29" s="20" t="n">
        <v>0</v>
      </c>
      <c r="O29" s="18" t="n">
        <v>0</v>
      </c>
      <c r="P29" s="20" t="n">
        <v>0</v>
      </c>
      <c r="Q29" s="18" t="n">
        <v>0.32358009</v>
      </c>
      <c r="R29" s="20" t="n">
        <v>0.23611418</v>
      </c>
    </row>
    <row r="30" spans="1:18">
      <c r="A30" s="15" t="s">
        <v>372</v>
      </c>
      <c r="B30" s="17" t="n">
        <v>4520</v>
      </c>
      <c r="C30" s="18">
        <f>(3968.0/B30*100)</f>
        <v/>
      </c>
      <c r="D30" s="19" t="n">
        <v>552</v>
      </c>
      <c r="E30" s="18" t="n">
        <v>18.01794336</v>
      </c>
      <c r="F30" s="20" t="n">
        <v>1.73545396</v>
      </c>
      <c r="G30" s="18" t="n">
        <v>79.47169350999999</v>
      </c>
      <c r="H30" s="20" t="n">
        <v>1.85846524</v>
      </c>
      <c r="I30" s="18" t="s">
        <v>349</v>
      </c>
      <c r="J30" s="20" t="s">
        <v>349</v>
      </c>
      <c r="K30" s="18" t="n">
        <v>0</v>
      </c>
      <c r="L30" s="20" t="n">
        <v>0</v>
      </c>
      <c r="M30" s="18" t="n">
        <v>0</v>
      </c>
      <c r="N30" s="20" t="n">
        <v>0</v>
      </c>
      <c r="O30" s="18" t="n">
        <v>0</v>
      </c>
      <c r="P30" s="20" t="n">
        <v>0</v>
      </c>
      <c r="Q30" s="18" t="n">
        <v>2.51036312</v>
      </c>
      <c r="R30" s="20" t="n">
        <v>0.7290944499999999</v>
      </c>
    </row>
    <row r="31" spans="1:18">
      <c r="A31" s="15" t="s">
        <v>373</v>
      </c>
      <c r="B31" s="17" t="n">
        <v>5456</v>
      </c>
      <c r="C31" s="18">
        <f>(4805.0/B31*100)</f>
        <v/>
      </c>
      <c r="D31" s="19" t="n">
        <v>651</v>
      </c>
      <c r="E31" s="18" t="n">
        <v>19.13845832</v>
      </c>
      <c r="F31" s="20" t="n">
        <v>1.77615985</v>
      </c>
      <c r="G31" s="18" t="n">
        <v>77.52512871</v>
      </c>
      <c r="H31" s="20" t="n">
        <v>1.89767959</v>
      </c>
      <c r="I31" s="18" t="s">
        <v>349</v>
      </c>
      <c r="J31" s="20" t="s">
        <v>349</v>
      </c>
      <c r="K31" s="18" t="n">
        <v>0.52411822</v>
      </c>
      <c r="L31" s="20" t="n">
        <v>0.32679699</v>
      </c>
      <c r="M31" s="18" t="n">
        <v>0</v>
      </c>
      <c r="N31" s="20" t="n">
        <v>0</v>
      </c>
      <c r="O31" s="18" t="n">
        <v>0</v>
      </c>
      <c r="P31" s="20" t="n">
        <v>0</v>
      </c>
      <c r="Q31" s="18" t="n">
        <v>2.81229475</v>
      </c>
      <c r="R31" s="20" t="n">
        <v>0.70123532</v>
      </c>
    </row>
    <row r="32" spans="1:18">
      <c r="A32" s="15" t="s">
        <v>374</v>
      </c>
      <c r="B32" s="17" t="n">
        <v>4478</v>
      </c>
      <c r="C32" s="18">
        <f>(3703.0/B32*100)</f>
        <v/>
      </c>
      <c r="D32" s="19" t="n">
        <v>775</v>
      </c>
      <c r="E32" s="18" t="n">
        <v>26.78334873</v>
      </c>
      <c r="F32" s="20" t="n">
        <v>1.78060931</v>
      </c>
      <c r="G32" s="18" t="n">
        <v>71.52564864999999</v>
      </c>
      <c r="H32" s="20" t="n">
        <v>1.73776396</v>
      </c>
      <c r="I32" s="18" t="s">
        <v>349</v>
      </c>
      <c r="J32" s="20" t="s">
        <v>349</v>
      </c>
      <c r="K32" s="18" t="n">
        <v>0.12925931</v>
      </c>
      <c r="L32" s="20" t="n">
        <v>0.12922835</v>
      </c>
      <c r="M32" s="18" t="n">
        <v>0</v>
      </c>
      <c r="N32" s="20" t="n">
        <v>0</v>
      </c>
      <c r="O32" s="18" t="n">
        <v>0</v>
      </c>
      <c r="P32" s="20" t="n">
        <v>0</v>
      </c>
      <c r="Q32" s="18" t="n">
        <v>1.56174331</v>
      </c>
      <c r="R32" s="20" t="n">
        <v>0.45379779</v>
      </c>
    </row>
    <row r="33" spans="1:18">
      <c r="A33" s="15" t="s">
        <v>375</v>
      </c>
      <c r="B33" s="17" t="n">
        <v>7325</v>
      </c>
      <c r="C33" s="18">
        <f>(6448.0/B33*100)</f>
        <v/>
      </c>
      <c r="D33" s="19" t="n">
        <v>877</v>
      </c>
      <c r="E33" s="18" t="n">
        <v>27.90741798</v>
      </c>
      <c r="F33" s="20" t="n">
        <v>1.82171631</v>
      </c>
      <c r="G33" s="18" t="n">
        <v>69.86477542</v>
      </c>
      <c r="H33" s="20" t="n">
        <v>1.85749623</v>
      </c>
      <c r="I33" s="18" t="s">
        <v>349</v>
      </c>
      <c r="J33" s="20" t="s">
        <v>349</v>
      </c>
      <c r="K33" s="18" t="n">
        <v>0.34608336</v>
      </c>
      <c r="L33" s="20" t="n">
        <v>0.4029177</v>
      </c>
      <c r="M33" s="18" t="n">
        <v>0</v>
      </c>
      <c r="N33" s="20" t="n">
        <v>0</v>
      </c>
      <c r="O33" s="18" t="n">
        <v>0</v>
      </c>
      <c r="P33" s="20" t="n">
        <v>0</v>
      </c>
      <c r="Q33" s="18" t="n">
        <v>1.88172325</v>
      </c>
      <c r="R33" s="20" t="n">
        <v>0.67454816</v>
      </c>
    </row>
    <row r="34" spans="1:18">
      <c r="A34" s="15" t="s">
        <v>376</v>
      </c>
      <c r="B34" s="17" t="n">
        <v>6350</v>
      </c>
      <c r="C34" s="18">
        <f>(5562.0/B34*100)</f>
        <v/>
      </c>
      <c r="D34" s="19" t="n">
        <v>788</v>
      </c>
      <c r="E34" s="18" t="n">
        <v>27.3979292</v>
      </c>
      <c r="F34" s="20" t="n">
        <v>2.01959568</v>
      </c>
      <c r="G34" s="18" t="n">
        <v>69.94789495000001</v>
      </c>
      <c r="H34" s="20" t="n">
        <v>2.03411724</v>
      </c>
      <c r="I34" s="18" t="s">
        <v>349</v>
      </c>
      <c r="J34" s="20" t="s">
        <v>349</v>
      </c>
      <c r="K34" s="18" t="n">
        <v>0.24212031</v>
      </c>
      <c r="L34" s="20" t="n">
        <v>0.17431105</v>
      </c>
      <c r="M34" s="18" t="n">
        <v>0</v>
      </c>
      <c r="N34" s="20" t="n">
        <v>0</v>
      </c>
      <c r="O34" s="18" t="n">
        <v>0</v>
      </c>
      <c r="P34" s="20" t="n">
        <v>0</v>
      </c>
      <c r="Q34" s="18" t="n">
        <v>2.41205553</v>
      </c>
      <c r="R34" s="20" t="n">
        <v>0.62444738</v>
      </c>
    </row>
    <row r="35" spans="1:18">
      <c r="A35" s="15" t="s">
        <v>377</v>
      </c>
      <c r="B35" s="17" t="n">
        <v>6406</v>
      </c>
      <c r="C35" s="18">
        <f>(5641.0/B35*100)</f>
        <v/>
      </c>
      <c r="D35" s="19" t="n">
        <v>765</v>
      </c>
      <c r="E35" s="18" t="n">
        <v>21.8584951</v>
      </c>
      <c r="F35" s="20" t="n">
        <v>1.63733127</v>
      </c>
      <c r="G35" s="18" t="n">
        <v>76.71392779</v>
      </c>
      <c r="H35" s="20" t="n">
        <v>1.65984909</v>
      </c>
      <c r="I35" s="18" t="s">
        <v>349</v>
      </c>
      <c r="J35" s="20" t="s">
        <v>349</v>
      </c>
      <c r="K35" s="18" t="n">
        <v>0.11986199</v>
      </c>
      <c r="L35" s="20" t="n">
        <v>0.08503429</v>
      </c>
      <c r="M35" s="18" t="n">
        <v>0</v>
      </c>
      <c r="N35" s="20" t="n">
        <v>0</v>
      </c>
      <c r="O35" s="18" t="n">
        <v>0</v>
      </c>
      <c r="P35" s="20" t="n">
        <v>0</v>
      </c>
      <c r="Q35" s="18" t="n">
        <v>1.30771511</v>
      </c>
      <c r="R35" s="20" t="n">
        <v>0.49412842</v>
      </c>
    </row>
    <row r="36" spans="1:18">
      <c r="A36" s="15" t="s">
        <v>378</v>
      </c>
      <c r="B36" s="17" t="n">
        <v>6736</v>
      </c>
      <c r="C36" s="18">
        <f>(5898.0/B36*100)</f>
        <v/>
      </c>
      <c r="D36" s="19" t="n">
        <v>838</v>
      </c>
      <c r="E36" s="18" t="n">
        <v>25.33651594</v>
      </c>
      <c r="F36" s="20" t="n">
        <v>1.39423364</v>
      </c>
      <c r="G36" s="18" t="n">
        <v>72.99873051</v>
      </c>
      <c r="H36" s="20" t="n">
        <v>1.41115064</v>
      </c>
      <c r="I36" s="18" t="s">
        <v>349</v>
      </c>
      <c r="J36" s="20" t="s">
        <v>349</v>
      </c>
      <c r="K36" s="18" t="n">
        <v>0.44593305</v>
      </c>
      <c r="L36" s="20" t="n">
        <v>0.30796413</v>
      </c>
      <c r="M36" s="18" t="n">
        <v>0</v>
      </c>
      <c r="N36" s="20" t="n">
        <v>0</v>
      </c>
      <c r="O36" s="18" t="n">
        <v>0</v>
      </c>
      <c r="P36" s="20" t="n">
        <v>0</v>
      </c>
      <c r="Q36" s="18" t="n">
        <v>1.2188205</v>
      </c>
      <c r="R36" s="20" t="n">
        <v>0.38568104</v>
      </c>
    </row>
    <row r="37" spans="1:18">
      <c r="A37" s="15" t="s">
        <v>379</v>
      </c>
      <c r="B37" s="17" t="n">
        <v>5458</v>
      </c>
      <c r="C37" s="18">
        <f>(4796.0/B37*100)</f>
        <v/>
      </c>
      <c r="D37" s="19" t="n">
        <v>662</v>
      </c>
      <c r="E37" s="18" t="n">
        <v>23.4319631</v>
      </c>
      <c r="F37" s="20" t="n">
        <v>1.6428978</v>
      </c>
      <c r="G37" s="18" t="n">
        <v>71.3541695</v>
      </c>
      <c r="H37" s="20" t="n">
        <v>1.83017936</v>
      </c>
      <c r="I37" s="18" t="s">
        <v>349</v>
      </c>
      <c r="J37" s="20" t="s">
        <v>349</v>
      </c>
      <c r="K37" s="18" t="n">
        <v>0.62306808</v>
      </c>
      <c r="L37" s="20" t="n">
        <v>0.33360061</v>
      </c>
      <c r="M37" s="18" t="n">
        <v>0</v>
      </c>
      <c r="N37" s="20" t="n">
        <v>0</v>
      </c>
      <c r="O37" s="18" t="n">
        <v>0</v>
      </c>
      <c r="P37" s="20" t="n">
        <v>0</v>
      </c>
      <c r="Q37" s="18" t="n">
        <v>4.59079932</v>
      </c>
      <c r="R37" s="20" t="n">
        <v>0.98902831</v>
      </c>
    </row>
    <row r="38" spans="1:18">
      <c r="A38" s="15" t="s">
        <v>380</v>
      </c>
      <c r="B38" s="17" t="n">
        <v>5860</v>
      </c>
      <c r="C38" s="18">
        <f>(4851.0/B38*100)</f>
        <v/>
      </c>
      <c r="D38" s="19" t="n">
        <v>1009</v>
      </c>
      <c r="E38" s="18" t="n">
        <v>22.69994861</v>
      </c>
      <c r="F38" s="20" t="n">
        <v>1.43479342</v>
      </c>
      <c r="G38" s="18" t="n">
        <v>74.27883804</v>
      </c>
      <c r="H38" s="20" t="n">
        <v>1.7058687</v>
      </c>
      <c r="I38" s="18" t="s">
        <v>349</v>
      </c>
      <c r="J38" s="20" t="s">
        <v>349</v>
      </c>
      <c r="K38" s="18" t="n">
        <v>0.1730725</v>
      </c>
      <c r="L38" s="20" t="n">
        <v>0.12349221</v>
      </c>
      <c r="M38" s="18" t="n">
        <v>0</v>
      </c>
      <c r="N38" s="20" t="n">
        <v>0</v>
      </c>
      <c r="O38" s="18" t="n">
        <v>0</v>
      </c>
      <c r="P38" s="20" t="n">
        <v>0</v>
      </c>
      <c r="Q38" s="18" t="n">
        <v>2.84814084</v>
      </c>
      <c r="R38" s="20" t="n">
        <v>0.71765759</v>
      </c>
    </row>
    <row r="39" spans="1:18">
      <c r="A39" s="15" t="s">
        <v>381</v>
      </c>
      <c r="B39" s="17" t="n">
        <v>5895</v>
      </c>
      <c r="C39" s="18">
        <f>(5182.0/B39*100)</f>
        <v/>
      </c>
      <c r="D39" s="19" t="n">
        <v>713</v>
      </c>
      <c r="E39" s="18" t="n">
        <v>44.78649471</v>
      </c>
      <c r="F39" s="20" t="n">
        <v>2.19647691</v>
      </c>
      <c r="G39" s="18" t="n">
        <v>53.44371846</v>
      </c>
      <c r="H39" s="20" t="n">
        <v>2.19547263</v>
      </c>
      <c r="I39" s="18" t="s">
        <v>349</v>
      </c>
      <c r="J39" s="20" t="s">
        <v>349</v>
      </c>
      <c r="K39" s="18" t="n">
        <v>0</v>
      </c>
      <c r="L39" s="20" t="n">
        <v>0</v>
      </c>
      <c r="M39" s="18" t="n">
        <v>0</v>
      </c>
      <c r="N39" s="20" t="n">
        <v>0</v>
      </c>
      <c r="O39" s="18" t="n">
        <v>0</v>
      </c>
      <c r="P39" s="20" t="n">
        <v>0</v>
      </c>
      <c r="Q39" s="18" t="n">
        <v>1.76978683</v>
      </c>
      <c r="R39" s="20" t="n">
        <v>0.60206835</v>
      </c>
    </row>
    <row r="40" spans="1:18">
      <c r="A40" s="15" t="s">
        <v>382</v>
      </c>
      <c r="B40" s="17" t="n">
        <v>14157</v>
      </c>
      <c r="C40" s="18">
        <f>(12406.0/B40*100)</f>
        <v/>
      </c>
      <c r="D40" s="19" t="n">
        <v>1751</v>
      </c>
      <c r="E40" s="18" t="n">
        <v>25.79412572</v>
      </c>
      <c r="F40" s="20" t="n">
        <v>1.95732458</v>
      </c>
      <c r="G40" s="18" t="n">
        <v>71.39191257</v>
      </c>
      <c r="H40" s="20" t="n">
        <v>1.82090451</v>
      </c>
      <c r="I40" s="18" t="s">
        <v>349</v>
      </c>
      <c r="J40" s="20" t="s">
        <v>349</v>
      </c>
      <c r="K40" s="18" t="n">
        <v>0.27140943</v>
      </c>
      <c r="L40" s="20" t="n">
        <v>0.21264748</v>
      </c>
      <c r="M40" s="18" t="n">
        <v>0</v>
      </c>
      <c r="N40" s="20" t="n">
        <v>0</v>
      </c>
      <c r="O40" s="18" t="n">
        <v>0</v>
      </c>
      <c r="P40" s="20" t="n">
        <v>0</v>
      </c>
      <c r="Q40" s="18" t="n">
        <v>2.54255228</v>
      </c>
      <c r="R40" s="20" t="n">
        <v>0.75934282</v>
      </c>
    </row>
    <row r="41" spans="1:18">
      <c r="A41" s="15" t="s">
        <v>383</v>
      </c>
      <c r="B41" s="17" t="n">
        <v>5712</v>
      </c>
      <c r="C41" s="18">
        <f>(5011.0/B41*100)</f>
        <v/>
      </c>
      <c r="D41" s="19" t="n">
        <v>701</v>
      </c>
      <c r="E41" s="18" t="n">
        <v>27.77442997</v>
      </c>
      <c r="F41" s="20" t="n">
        <v>1.71401493</v>
      </c>
      <c r="G41" s="18" t="n">
        <v>71.64112948</v>
      </c>
      <c r="H41" s="20" t="n">
        <v>1.68321915</v>
      </c>
      <c r="I41" s="18" t="s">
        <v>349</v>
      </c>
      <c r="J41" s="20" t="s">
        <v>349</v>
      </c>
      <c r="K41" s="18" t="n">
        <v>0</v>
      </c>
      <c r="L41" s="20" t="n">
        <v>0</v>
      </c>
      <c r="M41" s="18" t="n">
        <v>0</v>
      </c>
      <c r="N41" s="20" t="n">
        <v>0</v>
      </c>
      <c r="O41" s="18" t="n">
        <v>0</v>
      </c>
      <c r="P41" s="20" t="n">
        <v>0</v>
      </c>
      <c r="Q41" s="18" t="n">
        <v>0.5844405499999999</v>
      </c>
      <c r="R41" s="20" t="n">
        <v>0.29576191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(20498.0/B46*100)</f>
        <v/>
      </c>
      <c r="D46" s="19" t="n">
        <v>2643</v>
      </c>
      <c r="E46" s="18" t="n">
        <v>40.56442826</v>
      </c>
      <c r="F46" s="20" t="n">
        <v>1.2063576</v>
      </c>
      <c r="G46" s="18" t="n">
        <v>52.14831543</v>
      </c>
      <c r="H46" s="20" t="n">
        <v>1.34587821</v>
      </c>
      <c r="I46" s="18" t="s">
        <v>349</v>
      </c>
      <c r="J46" s="20" t="s">
        <v>349</v>
      </c>
      <c r="K46" s="18" t="n">
        <v>0.87482598</v>
      </c>
      <c r="L46" s="20" t="n">
        <v>0.22590632</v>
      </c>
      <c r="M46" s="18" t="n">
        <v>0</v>
      </c>
      <c r="N46" s="20" t="n">
        <v>0</v>
      </c>
      <c r="O46" s="18" t="n">
        <v>0</v>
      </c>
      <c r="P46" s="20" t="n">
        <v>0</v>
      </c>
      <c r="Q46" s="18" t="n">
        <v>6.41243034</v>
      </c>
      <c r="R46" s="20" t="n">
        <v>0.54157798</v>
      </c>
    </row>
    <row r="47" spans="1:18">
      <c r="A47" s="15" t="s">
        <v>389</v>
      </c>
      <c r="B47" s="17" t="n">
        <v>5928</v>
      </c>
      <c r="C47" s="18">
        <f>(5189.0/B47*100)</f>
        <v/>
      </c>
      <c r="D47" s="19" t="n">
        <v>739</v>
      </c>
      <c r="E47" s="18" t="n">
        <v>33.5391829</v>
      </c>
      <c r="F47" s="20" t="n">
        <v>1.92006268</v>
      </c>
      <c r="G47" s="18" t="n">
        <v>61.81374599</v>
      </c>
      <c r="H47" s="20" t="n">
        <v>1.856283</v>
      </c>
      <c r="I47" s="18" t="s">
        <v>349</v>
      </c>
      <c r="J47" s="20" t="s">
        <v>349</v>
      </c>
      <c r="K47" s="18" t="n">
        <v>0.12781482</v>
      </c>
      <c r="L47" s="20" t="n">
        <v>0.12746663</v>
      </c>
      <c r="M47" s="18" t="n">
        <v>0</v>
      </c>
      <c r="N47" s="20" t="n">
        <v>0</v>
      </c>
      <c r="O47" s="18" t="n">
        <v>0</v>
      </c>
      <c r="P47" s="20" t="n">
        <v>0</v>
      </c>
      <c r="Q47" s="18" t="n">
        <v>4.51925629</v>
      </c>
      <c r="R47" s="20" t="n">
        <v>0.86864725</v>
      </c>
    </row>
    <row r="48" spans="1:18">
      <c r="A48" s="15" t="s">
        <v>390</v>
      </c>
      <c r="B48" s="17" t="n">
        <v>9841</v>
      </c>
      <c r="C48" s="18">
        <f>(8661.0/B48*100)</f>
        <v/>
      </c>
      <c r="D48" s="19" t="n">
        <v>1180</v>
      </c>
      <c r="E48" s="18" t="n">
        <v>18.95965756</v>
      </c>
      <c r="F48" s="20" t="n">
        <v>1.68967663</v>
      </c>
      <c r="G48" s="18" t="n">
        <v>79.61647378000001</v>
      </c>
      <c r="H48" s="20" t="n">
        <v>1.79746351</v>
      </c>
      <c r="I48" s="18" t="s">
        <v>349</v>
      </c>
      <c r="J48" s="20" t="s">
        <v>349</v>
      </c>
      <c r="K48" s="18" t="n">
        <v>0.60593705</v>
      </c>
      <c r="L48" s="20" t="n">
        <v>0.36481112</v>
      </c>
      <c r="M48" s="18" t="n">
        <v>0</v>
      </c>
      <c r="N48" s="20" t="n">
        <v>0</v>
      </c>
      <c r="O48" s="18" t="n">
        <v>0</v>
      </c>
      <c r="P48" s="20" t="n">
        <v>0</v>
      </c>
      <c r="Q48" s="18" t="n">
        <v>0.81793161</v>
      </c>
      <c r="R48" s="20" t="n">
        <v>0.33312447</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(10380.0/B50*100)</f>
        <v/>
      </c>
      <c r="D50" s="19" t="n">
        <v>1415</v>
      </c>
      <c r="E50" s="18" t="n">
        <v>36.01702474</v>
      </c>
      <c r="F50" s="20" t="n">
        <v>1.70735695</v>
      </c>
      <c r="G50" s="18" t="n">
        <v>61.84549828</v>
      </c>
      <c r="H50" s="20" t="n">
        <v>1.69440221</v>
      </c>
      <c r="I50" s="18" t="s">
        <v>349</v>
      </c>
      <c r="J50" s="20" t="s">
        <v>349</v>
      </c>
      <c r="K50" s="18" t="n">
        <v>0.8996155300000001</v>
      </c>
      <c r="L50" s="20" t="n">
        <v>0.58482038</v>
      </c>
      <c r="M50" s="18" t="n">
        <v>0</v>
      </c>
      <c r="N50" s="20" t="n">
        <v>0</v>
      </c>
      <c r="O50" s="18" t="n">
        <v>0</v>
      </c>
      <c r="P50" s="20" t="n">
        <v>0</v>
      </c>
      <c r="Q50" s="18" t="n">
        <v>1.23786145</v>
      </c>
      <c r="R50" s="20" t="n">
        <v>0.39287455</v>
      </c>
    </row>
    <row r="51" spans="1:18">
      <c r="A51" s="15" t="s">
        <v>393</v>
      </c>
      <c r="B51" s="17" t="n">
        <v>6866</v>
      </c>
      <c r="C51" s="18">
        <f>(6129.0/B51*100)</f>
        <v/>
      </c>
      <c r="D51" s="19" t="n">
        <v>737</v>
      </c>
      <c r="E51" s="18" t="n">
        <v>34.91112918</v>
      </c>
      <c r="F51" s="20" t="n">
        <v>1.9595934</v>
      </c>
      <c r="G51" s="18" t="n">
        <v>61.56213426</v>
      </c>
      <c r="H51" s="20" t="n">
        <v>2.18189366</v>
      </c>
      <c r="I51" s="18" t="s">
        <v>349</v>
      </c>
      <c r="J51" s="20" t="s">
        <v>349</v>
      </c>
      <c r="K51" s="18" t="n">
        <v>0.0909664</v>
      </c>
      <c r="L51" s="20" t="n">
        <v>0.07369779</v>
      </c>
      <c r="M51" s="18" t="n">
        <v>0</v>
      </c>
      <c r="N51" s="20" t="n">
        <v>0</v>
      </c>
      <c r="O51" s="18" t="n">
        <v>0</v>
      </c>
      <c r="P51" s="20" t="n">
        <v>0</v>
      </c>
      <c r="Q51" s="18" t="n">
        <v>3.43577016</v>
      </c>
      <c r="R51" s="20" t="n">
        <v>0.7633195699999999</v>
      </c>
    </row>
    <row r="52" spans="1:18">
      <c r="A52" s="15" t="s">
        <v>394</v>
      </c>
      <c r="B52" s="17" t="n">
        <v>5809</v>
      </c>
      <c r="C52" s="18">
        <f>(5102.0/B52*100)</f>
        <v/>
      </c>
      <c r="D52" s="19" t="n">
        <v>707</v>
      </c>
      <c r="E52" s="18" t="n">
        <v>24.60694152</v>
      </c>
      <c r="F52" s="20" t="n">
        <v>1.83539267</v>
      </c>
      <c r="G52" s="18" t="n">
        <v>72.5991966</v>
      </c>
      <c r="H52" s="20" t="n">
        <v>1.92475529</v>
      </c>
      <c r="I52" s="18" t="s">
        <v>349</v>
      </c>
      <c r="J52" s="20" t="s">
        <v>349</v>
      </c>
      <c r="K52" s="18" t="n">
        <v>0.4454167</v>
      </c>
      <c r="L52" s="20" t="n">
        <v>0.27325274</v>
      </c>
      <c r="M52" s="18" t="n">
        <v>0</v>
      </c>
      <c r="N52" s="20" t="n">
        <v>0</v>
      </c>
      <c r="O52" s="18" t="n">
        <v>0</v>
      </c>
      <c r="P52" s="20" t="n">
        <v>0</v>
      </c>
      <c r="Q52" s="18" t="n">
        <v>2.34844518</v>
      </c>
      <c r="R52" s="20" t="n">
        <v>0.58034657</v>
      </c>
    </row>
    <row r="53" spans="1:18">
      <c r="A53" s="15" t="s">
        <v>395</v>
      </c>
      <c r="B53" s="17" t="n">
        <v>5571</v>
      </c>
      <c r="C53" s="18">
        <f>(4910.0/B53*100)</f>
        <v/>
      </c>
      <c r="D53" s="19" t="n">
        <v>661</v>
      </c>
      <c r="E53" s="18" t="n">
        <v>34.31876846</v>
      </c>
      <c r="F53" s="20" t="n">
        <v>1.74761938</v>
      </c>
      <c r="G53" s="18" t="n">
        <v>60.94880588</v>
      </c>
      <c r="H53" s="20" t="n">
        <v>1.82156574</v>
      </c>
      <c r="I53" s="18" t="s">
        <v>349</v>
      </c>
      <c r="J53" s="20" t="s">
        <v>349</v>
      </c>
      <c r="K53" s="18" t="n">
        <v>0.6502734100000001</v>
      </c>
      <c r="L53" s="20" t="n">
        <v>0.29000107</v>
      </c>
      <c r="M53" s="18" t="n">
        <v>0</v>
      </c>
      <c r="N53" s="20" t="n">
        <v>0</v>
      </c>
      <c r="O53" s="18" t="n">
        <v>0</v>
      </c>
      <c r="P53" s="20" t="n">
        <v>0</v>
      </c>
      <c r="Q53" s="18" t="n">
        <v>4.08215225</v>
      </c>
      <c r="R53" s="20" t="n">
        <v>0.74702035</v>
      </c>
    </row>
    <row r="54" spans="1:18">
      <c r="A54" s="15" t="s">
        <v>396</v>
      </c>
      <c r="B54" s="17" t="n">
        <v>4740</v>
      </c>
      <c r="C54" s="18">
        <f>(3946.0/B54*100)</f>
        <v/>
      </c>
      <c r="D54" s="19" t="n">
        <v>794</v>
      </c>
      <c r="E54" s="18" t="n">
        <v>47.62670064</v>
      </c>
      <c r="F54" s="20" t="n">
        <v>2.03346722</v>
      </c>
      <c r="G54" s="18" t="n">
        <v>40.89267397</v>
      </c>
      <c r="H54" s="20" t="n">
        <v>1.90559215</v>
      </c>
      <c r="I54" s="18" t="s">
        <v>349</v>
      </c>
      <c r="J54" s="20" t="s">
        <v>349</v>
      </c>
      <c r="K54" s="18" t="n">
        <v>4.44819767</v>
      </c>
      <c r="L54" s="20" t="n">
        <v>0.81924259</v>
      </c>
      <c r="M54" s="18" t="n">
        <v>0</v>
      </c>
      <c r="N54" s="20" t="n">
        <v>0</v>
      </c>
      <c r="O54" s="18" t="n">
        <v>0</v>
      </c>
      <c r="P54" s="20" t="n">
        <v>0</v>
      </c>
      <c r="Q54" s="18" t="n">
        <v>7.03242772</v>
      </c>
      <c r="R54" s="20" t="n">
        <v>1.07970461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14.73353394</v>
      </c>
      <c r="F56" s="20" t="n">
        <v>1.58785714</v>
      </c>
      <c r="G56" s="18" t="n">
        <v>84.396759</v>
      </c>
      <c r="H56" s="20" t="n">
        <v>1.66216688</v>
      </c>
      <c r="I56" s="18" t="s">
        <v>349</v>
      </c>
      <c r="J56" s="20" t="s">
        <v>349</v>
      </c>
      <c r="K56" s="18" t="n">
        <v>0</v>
      </c>
      <c r="L56" s="20" t="n">
        <v>0</v>
      </c>
      <c r="M56" s="18" t="n">
        <v>0</v>
      </c>
      <c r="N56" s="20" t="n">
        <v>0</v>
      </c>
      <c r="O56" s="18" t="n">
        <v>0</v>
      </c>
      <c r="P56" s="20" t="n">
        <v>0</v>
      </c>
      <c r="Q56" s="18" t="n">
        <v>0.86970705</v>
      </c>
      <c r="R56" s="20" t="n">
        <v>0.47288591</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(5725.0/B61*100)</f>
        <v/>
      </c>
      <c r="D61" s="19" t="n">
        <v>800</v>
      </c>
      <c r="E61" s="18" t="n">
        <v>24.71863004</v>
      </c>
      <c r="F61" s="20" t="n">
        <v>1.76327172</v>
      </c>
      <c r="G61" s="18" t="n">
        <v>72.57104614000001</v>
      </c>
      <c r="H61" s="20" t="n">
        <v>1.75487372</v>
      </c>
      <c r="I61" s="18" t="s">
        <v>349</v>
      </c>
      <c r="J61" s="20" t="s">
        <v>349</v>
      </c>
      <c r="K61" s="18" t="n">
        <v>0.339617</v>
      </c>
      <c r="L61" s="20" t="n">
        <v>0.21522117</v>
      </c>
      <c r="M61" s="18" t="n">
        <v>0</v>
      </c>
      <c r="N61" s="20" t="n">
        <v>0</v>
      </c>
      <c r="O61" s="18" t="n">
        <v>0</v>
      </c>
      <c r="P61" s="20" t="n">
        <v>0</v>
      </c>
      <c r="Q61" s="18" t="n">
        <v>2.37070682</v>
      </c>
      <c r="R61" s="20" t="n">
        <v>0.67345257</v>
      </c>
    </row>
    <row r="62" spans="1:18">
      <c r="A62" s="15" t="s">
        <v>404</v>
      </c>
      <c r="B62" s="17" t="n">
        <v>4476</v>
      </c>
      <c r="C62" s="18">
        <f>(3926.0/B62*100)</f>
        <v/>
      </c>
      <c r="D62" s="19" t="n">
        <v>550</v>
      </c>
      <c r="E62" s="18" t="n">
        <v>14.34664797</v>
      </c>
      <c r="F62" s="20" t="n">
        <v>1.46743027</v>
      </c>
      <c r="G62" s="18" t="n">
        <v>85.65335202999999</v>
      </c>
      <c r="H62" s="20" t="n">
        <v>1.46743027</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31.76388411</v>
      </c>
      <c r="F66" s="20" t="n">
        <v>1.82294075</v>
      </c>
      <c r="G66" s="18" t="n">
        <v>59.29836612</v>
      </c>
      <c r="H66" s="20" t="n">
        <v>2.12086401</v>
      </c>
      <c r="I66" s="18" t="s">
        <v>349</v>
      </c>
      <c r="J66" s="20" t="s">
        <v>349</v>
      </c>
      <c r="K66" s="18" t="n">
        <v>0.54158988</v>
      </c>
      <c r="L66" s="20" t="n">
        <v>0.26982371</v>
      </c>
      <c r="M66" s="18" t="n">
        <v>0</v>
      </c>
      <c r="N66" s="20" t="n">
        <v>0</v>
      </c>
      <c r="O66" s="18" t="n">
        <v>0</v>
      </c>
      <c r="P66" s="20" t="n">
        <v>0</v>
      </c>
      <c r="Q66" s="18" t="n">
        <v>8.39615989</v>
      </c>
      <c r="R66" s="20" t="n">
        <v>1.08060735</v>
      </c>
    </row>
    <row r="67" spans="1:18">
      <c r="A67" s="15" t="s">
        <v>409</v>
      </c>
      <c r="B67" s="17" t="n">
        <v>6971</v>
      </c>
      <c r="C67" s="18">
        <f>(6143.0/B67*100)</f>
        <v/>
      </c>
      <c r="D67" s="19" t="n">
        <v>828</v>
      </c>
      <c r="E67" s="18" t="n">
        <v>37.21178963</v>
      </c>
      <c r="F67" s="20" t="n">
        <v>1.78896588</v>
      </c>
      <c r="G67" s="18" t="n">
        <v>59.45966319</v>
      </c>
      <c r="H67" s="20" t="n">
        <v>1.77661073</v>
      </c>
      <c r="I67" s="18" t="s">
        <v>349</v>
      </c>
      <c r="J67" s="20" t="s">
        <v>349</v>
      </c>
      <c r="K67" s="18" t="n">
        <v>0</v>
      </c>
      <c r="L67" s="20" t="n">
        <v>0</v>
      </c>
      <c r="M67" s="18" t="n">
        <v>0</v>
      </c>
      <c r="N67" s="20" t="n">
        <v>0</v>
      </c>
      <c r="O67" s="18" t="n">
        <v>0</v>
      </c>
      <c r="P67" s="20" t="n">
        <v>0</v>
      </c>
      <c r="Q67" s="18" t="n">
        <v>3.32854718</v>
      </c>
      <c r="R67" s="20" t="n">
        <v>0.62973826</v>
      </c>
    </row>
    <row r="68" spans="1:18">
      <c r="A68" s="15" t="s">
        <v>410</v>
      </c>
      <c r="B68" s="17" t="n">
        <v>12083</v>
      </c>
      <c r="C68" s="18">
        <f>(10082.0/B68*100)</f>
        <v/>
      </c>
      <c r="D68" s="19" t="n">
        <v>2001</v>
      </c>
      <c r="E68" s="18" t="n">
        <v>42.3413557</v>
      </c>
      <c r="F68" s="20" t="n">
        <v>1.1935929</v>
      </c>
      <c r="G68" s="18" t="n">
        <v>53.42897652</v>
      </c>
      <c r="H68" s="20" t="n">
        <v>1.13605842</v>
      </c>
      <c r="I68" s="18" t="s">
        <v>349</v>
      </c>
      <c r="J68" s="20" t="s">
        <v>349</v>
      </c>
      <c r="K68" s="18" t="n">
        <v>1.2783202</v>
      </c>
      <c r="L68" s="20" t="n">
        <v>0.25980517</v>
      </c>
      <c r="M68" s="18" t="n">
        <v>0</v>
      </c>
      <c r="N68" s="20" t="n">
        <v>0</v>
      </c>
      <c r="O68" s="18" t="n">
        <v>0</v>
      </c>
      <c r="P68" s="20" t="n">
        <v>0</v>
      </c>
      <c r="Q68" s="18" t="n">
        <v>2.95134759</v>
      </c>
      <c r="R68" s="20" t="n">
        <v>0.37670991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(5308.0/B70*100)</f>
        <v/>
      </c>
      <c r="D70" s="19" t="n">
        <v>728</v>
      </c>
      <c r="E70" s="18" t="n">
        <v>22.13869487</v>
      </c>
      <c r="F70" s="20" t="n">
        <v>1.73891922</v>
      </c>
      <c r="G70" s="18" t="n">
        <v>75.71439493</v>
      </c>
      <c r="H70" s="20" t="n">
        <v>1.96661073</v>
      </c>
      <c r="I70" s="18" t="s">
        <v>349</v>
      </c>
      <c r="J70" s="20" t="s">
        <v>349</v>
      </c>
      <c r="K70" s="18" t="n">
        <v>0.16475664</v>
      </c>
      <c r="L70" s="20" t="n">
        <v>0.11726285</v>
      </c>
      <c r="M70" s="18" t="n">
        <v>0</v>
      </c>
      <c r="N70" s="20" t="n">
        <v>0</v>
      </c>
      <c r="O70" s="18" t="n">
        <v>0</v>
      </c>
      <c r="P70" s="20" t="n">
        <v>0</v>
      </c>
      <c r="Q70" s="18" t="n">
        <v>1.98215356</v>
      </c>
      <c r="R70" s="20" t="n">
        <v>0.62285158</v>
      </c>
    </row>
    <row r="71" spans="1:18">
      <c r="A71" s="15" t="s">
        <v>413</v>
      </c>
      <c r="B71" s="17" t="n">
        <v>6115</v>
      </c>
      <c r="C71" s="18">
        <f>(5348.0/B71*100)</f>
        <v/>
      </c>
      <c r="D71" s="19" t="n">
        <v>767</v>
      </c>
      <c r="E71" s="18" t="n">
        <v>14.72010218</v>
      </c>
      <c r="F71" s="20" t="n">
        <v>1.33619126</v>
      </c>
      <c r="G71" s="18" t="n">
        <v>84.81280283</v>
      </c>
      <c r="H71" s="20" t="n">
        <v>1.31167989</v>
      </c>
      <c r="I71" s="18" t="s">
        <v>349</v>
      </c>
      <c r="J71" s="20" t="s">
        <v>349</v>
      </c>
      <c r="K71" s="18" t="n">
        <v>0.13993299</v>
      </c>
      <c r="L71" s="20" t="n">
        <v>0.13310089</v>
      </c>
      <c r="M71" s="18" t="n">
        <v>0</v>
      </c>
      <c r="N71" s="20" t="n">
        <v>0</v>
      </c>
      <c r="O71" s="18" t="n">
        <v>0</v>
      </c>
      <c r="P71" s="20" t="n">
        <v>0</v>
      </c>
      <c r="Q71" s="18" t="n">
        <v>0.327162</v>
      </c>
      <c r="R71" s="20" t="n">
        <v>0.33299523</v>
      </c>
    </row>
    <row r="72" spans="1:18">
      <c r="A72" s="15" t="s">
        <v>414</v>
      </c>
      <c r="B72" s="17" t="n">
        <v>7708</v>
      </c>
      <c r="C72" s="18">
        <f>(6750.0/B72*100)</f>
        <v/>
      </c>
      <c r="D72" s="19" t="n">
        <v>958</v>
      </c>
      <c r="E72" s="18" t="n">
        <v>15.54758533</v>
      </c>
      <c r="F72" s="20" t="n">
        <v>1.08735242</v>
      </c>
      <c r="G72" s="18" t="n">
        <v>83.94556034999999</v>
      </c>
      <c r="H72" s="20" t="n">
        <v>1.09974452</v>
      </c>
      <c r="I72" s="18" t="s">
        <v>349</v>
      </c>
      <c r="J72" s="20" t="s">
        <v>349</v>
      </c>
      <c r="K72" s="18" t="n">
        <v>0.07156572</v>
      </c>
      <c r="L72" s="20" t="n">
        <v>0.07180385</v>
      </c>
      <c r="M72" s="18" t="n">
        <v>0</v>
      </c>
      <c r="N72" s="20" t="n">
        <v>0</v>
      </c>
      <c r="O72" s="18" t="n">
        <v>0</v>
      </c>
      <c r="P72" s="20" t="n">
        <v>0</v>
      </c>
      <c r="Q72" s="18" t="n">
        <v>0.4352886</v>
      </c>
      <c r="R72" s="20" t="n">
        <v>0.21517178</v>
      </c>
    </row>
    <row r="73" spans="1:18">
      <c r="A73" s="15" t="s">
        <v>415</v>
      </c>
      <c r="B73" s="17" t="n">
        <v>8249</v>
      </c>
      <c r="C73" s="18">
        <f>(7253.0/B73*100)</f>
        <v/>
      </c>
      <c r="D73" s="19" t="n">
        <v>996</v>
      </c>
      <c r="E73" s="18" t="n">
        <v>50.06224063</v>
      </c>
      <c r="F73" s="20" t="n">
        <v>2.1648406</v>
      </c>
      <c r="G73" s="18" t="n">
        <v>48.49494538</v>
      </c>
      <c r="H73" s="20" t="n">
        <v>2.2056149</v>
      </c>
      <c r="I73" s="18" t="s">
        <v>349</v>
      </c>
      <c r="J73" s="20" t="s">
        <v>349</v>
      </c>
      <c r="K73" s="18" t="n">
        <v>0</v>
      </c>
      <c r="L73" s="20" t="n">
        <v>0</v>
      </c>
      <c r="M73" s="18" t="n">
        <v>0</v>
      </c>
      <c r="N73" s="20" t="n">
        <v>0</v>
      </c>
      <c r="O73" s="18" t="n">
        <v>0</v>
      </c>
      <c r="P73" s="20" t="n">
        <v>0</v>
      </c>
      <c r="Q73" s="18" t="n">
        <v>1.44281399</v>
      </c>
      <c r="R73" s="20" t="n">
        <v>0.39584368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(4737.0/B75*100)</f>
        <v/>
      </c>
      <c r="D75" s="19" t="n">
        <v>638</v>
      </c>
      <c r="E75" s="18" t="n">
        <v>49.85396154</v>
      </c>
      <c r="F75" s="20" t="n">
        <v>2.12049981</v>
      </c>
      <c r="G75" s="18" t="n">
        <v>43.66588509</v>
      </c>
      <c r="H75" s="20" t="n">
        <v>2.05590866</v>
      </c>
      <c r="I75" s="18" t="s">
        <v>349</v>
      </c>
      <c r="J75" s="20" t="s">
        <v>349</v>
      </c>
      <c r="K75" s="18" t="n">
        <v>1.42843897</v>
      </c>
      <c r="L75" s="20" t="n">
        <v>0.45909691</v>
      </c>
      <c r="M75" s="18" t="n">
        <v>0</v>
      </c>
      <c r="N75" s="20" t="n">
        <v>0</v>
      </c>
      <c r="O75" s="18" t="n">
        <v>0</v>
      </c>
      <c r="P75" s="20" t="n">
        <v>0</v>
      </c>
      <c r="Q75" s="18" t="n">
        <v>5.0517144</v>
      </c>
      <c r="R75" s="20" t="n">
        <v>1.14436417</v>
      </c>
    </row>
    <row r="76" spans="1:18">
      <c r="A76" s="15" t="s">
        <v>418</v>
      </c>
      <c r="B76" s="17" t="n">
        <v>14167</v>
      </c>
      <c r="C76" s="18">
        <f>(12434.0/B76*100)</f>
        <v/>
      </c>
      <c r="D76" s="19" t="n">
        <v>1733</v>
      </c>
      <c r="E76" s="18" t="n">
        <v>40.61112709</v>
      </c>
      <c r="F76" s="20" t="n">
        <v>1.41303841</v>
      </c>
      <c r="G76" s="18" t="n">
        <v>56.86001779</v>
      </c>
      <c r="H76" s="20" t="n">
        <v>1.3942813</v>
      </c>
      <c r="I76" s="18" t="s">
        <v>349</v>
      </c>
      <c r="J76" s="20" t="s">
        <v>349</v>
      </c>
      <c r="K76" s="18" t="n">
        <v>0.83645495</v>
      </c>
      <c r="L76" s="20" t="n">
        <v>0.23605816</v>
      </c>
      <c r="M76" s="18" t="n">
        <v>0</v>
      </c>
      <c r="N76" s="20" t="n">
        <v>0</v>
      </c>
      <c r="O76" s="18" t="n">
        <v>0</v>
      </c>
      <c r="P76" s="20" t="n">
        <v>0</v>
      </c>
      <c r="Q76" s="18" t="n">
        <v>1.69240017</v>
      </c>
      <c r="R76" s="20" t="n">
        <v>0.34954098</v>
      </c>
    </row>
    <row r="77" spans="1:18">
      <c r="A77" s="15" t="s">
        <v>419</v>
      </c>
      <c r="B77" s="17" t="n">
        <v>6062</v>
      </c>
      <c r="C77" s="18">
        <f>(5310.0/B77*100)</f>
        <v/>
      </c>
      <c r="D77" s="19" t="n">
        <v>752</v>
      </c>
      <c r="E77" s="18" t="n">
        <v>28.37853993</v>
      </c>
      <c r="F77" s="20" t="n">
        <v>1.56982667</v>
      </c>
      <c r="G77" s="18" t="n">
        <v>67.38292149</v>
      </c>
      <c r="H77" s="20" t="n">
        <v>1.76140894</v>
      </c>
      <c r="I77" s="18" t="s">
        <v>349</v>
      </c>
      <c r="J77" s="20" t="s">
        <v>349</v>
      </c>
      <c r="K77" s="18" t="n">
        <v>0.69912752</v>
      </c>
      <c r="L77" s="20" t="n">
        <v>0.37463856</v>
      </c>
      <c r="M77" s="18" t="n">
        <v>0</v>
      </c>
      <c r="N77" s="20" t="n">
        <v>0</v>
      </c>
      <c r="O77" s="18" t="n">
        <v>0</v>
      </c>
      <c r="P77" s="20" t="n">
        <v>0</v>
      </c>
      <c r="Q77" s="18" t="n">
        <v>3.53941106</v>
      </c>
      <c r="R77" s="20" t="n">
        <v>0.72696279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(7771.0/B81*100)</f>
        <v/>
      </c>
      <c r="D81" s="19" t="n">
        <v>1090</v>
      </c>
      <c r="E81" s="18" t="n">
        <v>35.60455888</v>
      </c>
      <c r="F81" s="20" t="n">
        <v>1.85863923</v>
      </c>
      <c r="G81" s="18" t="n">
        <v>63.68302344</v>
      </c>
      <c r="H81" s="20" t="n">
        <v>1.86630942</v>
      </c>
      <c r="I81" s="18" t="s">
        <v>349</v>
      </c>
      <c r="J81" s="20" t="s">
        <v>349</v>
      </c>
      <c r="K81" s="18" t="n">
        <v>0.27024172</v>
      </c>
      <c r="L81" s="20" t="n">
        <v>0.16053345</v>
      </c>
      <c r="M81" s="18" t="n">
        <v>0</v>
      </c>
      <c r="N81" s="20" t="n">
        <v>0</v>
      </c>
      <c r="O81" s="18" t="n">
        <v>0</v>
      </c>
      <c r="P81" s="20" t="n">
        <v>0</v>
      </c>
      <c r="Q81" s="18" t="n">
        <v>0.44217596</v>
      </c>
      <c r="R81" s="20" t="n">
        <v>0.2475283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(12778.0/B7*100)</f>
        <v/>
      </c>
      <c r="D7" s="19" t="n">
        <v>1752</v>
      </c>
      <c r="E7" s="18" t="n">
        <v>79.52783037</v>
      </c>
      <c r="F7" s="20" t="n">
        <v>1.22585753</v>
      </c>
      <c r="G7" s="18" t="n">
        <v>16.00560024</v>
      </c>
      <c r="H7" s="20" t="n">
        <v>0.94606938</v>
      </c>
      <c r="I7" s="18" t="s">
        <v>349</v>
      </c>
      <c r="J7" s="20" t="s">
        <v>349</v>
      </c>
      <c r="K7" s="18" t="n">
        <v>0.58990792</v>
      </c>
      <c r="L7" s="20" t="n">
        <v>0.21892376</v>
      </c>
      <c r="M7" s="18" t="n">
        <v>0</v>
      </c>
      <c r="N7" s="20" t="n">
        <v>0</v>
      </c>
      <c r="O7" s="18" t="n">
        <v>0</v>
      </c>
      <c r="P7" s="20" t="n">
        <v>0</v>
      </c>
      <c r="Q7" s="18" t="n">
        <v>3.87666147</v>
      </c>
      <c r="R7" s="20" t="n">
        <v>0.54957315</v>
      </c>
    </row>
    <row r="8" spans="1:18">
      <c r="A8" s="15" t="s">
        <v>350</v>
      </c>
      <c r="B8" s="17" t="n">
        <v>7007</v>
      </c>
      <c r="C8" s="18">
        <f>(6118.0/B8*100)</f>
        <v/>
      </c>
      <c r="D8" s="19" t="n">
        <v>889</v>
      </c>
      <c r="E8" s="18" t="n">
        <v>79.30331224</v>
      </c>
      <c r="F8" s="20" t="n">
        <v>1.53297714</v>
      </c>
      <c r="G8" s="18" t="n">
        <v>15.19460022</v>
      </c>
      <c r="H8" s="20" t="n">
        <v>1.42844363</v>
      </c>
      <c r="I8" s="18" t="s">
        <v>349</v>
      </c>
      <c r="J8" s="20" t="s">
        <v>349</v>
      </c>
      <c r="K8" s="18" t="n">
        <v>0.13246879</v>
      </c>
      <c r="L8" s="20" t="n">
        <v>0.13001405</v>
      </c>
      <c r="M8" s="18" t="n">
        <v>0</v>
      </c>
      <c r="N8" s="20" t="n">
        <v>0</v>
      </c>
      <c r="O8" s="18" t="n">
        <v>0</v>
      </c>
      <c r="P8" s="20" t="n">
        <v>0</v>
      </c>
      <c r="Q8" s="18" t="n">
        <v>5.36961875</v>
      </c>
      <c r="R8" s="20" t="n">
        <v>0.7328627599999999</v>
      </c>
    </row>
    <row r="9" spans="1:18">
      <c r="A9" s="15" t="s">
        <v>351</v>
      </c>
      <c r="B9" s="17" t="n">
        <v>9651</v>
      </c>
      <c r="C9" s="18">
        <f>(8506.0/B9*100)</f>
        <v/>
      </c>
      <c r="D9" s="19" t="n">
        <v>1145</v>
      </c>
      <c r="E9" s="18" t="n">
        <v>74.97253023</v>
      </c>
      <c r="F9" s="20" t="n">
        <v>1.20844018</v>
      </c>
      <c r="G9" s="18" t="n">
        <v>19.47205544</v>
      </c>
      <c r="H9" s="20" t="n">
        <v>1.20538019</v>
      </c>
      <c r="I9" s="18" t="s">
        <v>349</v>
      </c>
      <c r="J9" s="20" t="s">
        <v>349</v>
      </c>
      <c r="K9" s="18" t="n">
        <v>0.04134382</v>
      </c>
      <c r="L9" s="20" t="n">
        <v>0.04118629</v>
      </c>
      <c r="M9" s="18" t="n">
        <v>0</v>
      </c>
      <c r="N9" s="20" t="n">
        <v>0</v>
      </c>
      <c r="O9" s="18" t="n">
        <v>0</v>
      </c>
      <c r="P9" s="20" t="n">
        <v>0</v>
      </c>
      <c r="Q9" s="18" t="n">
        <v>5.51407052</v>
      </c>
      <c r="R9" s="20" t="n">
        <v>0.67434502</v>
      </c>
    </row>
    <row r="10" spans="1:18">
      <c r="A10" s="15" t="s">
        <v>352</v>
      </c>
      <c r="B10" s="17" t="n">
        <v>20058</v>
      </c>
      <c r="C10" s="18">
        <f>(17587.0/B10*100)</f>
        <v/>
      </c>
      <c r="D10" s="19" t="n">
        <v>2471</v>
      </c>
      <c r="E10" s="18" t="n">
        <v>79.92387506</v>
      </c>
      <c r="F10" s="20" t="n">
        <v>1.01040054</v>
      </c>
      <c r="G10" s="18" t="n">
        <v>17.29438268</v>
      </c>
      <c r="H10" s="20" t="n">
        <v>0.9727962999999999</v>
      </c>
      <c r="I10" s="18" t="s">
        <v>349</v>
      </c>
      <c r="J10" s="20" t="s">
        <v>349</v>
      </c>
      <c r="K10" s="18" t="n">
        <v>0.31354573</v>
      </c>
      <c r="L10" s="20" t="n">
        <v>0.16797103</v>
      </c>
      <c r="M10" s="18" t="n">
        <v>0</v>
      </c>
      <c r="N10" s="20" t="n">
        <v>0</v>
      </c>
      <c r="O10" s="18" t="n">
        <v>0</v>
      </c>
      <c r="P10" s="20" t="n">
        <v>0</v>
      </c>
      <c r="Q10" s="18" t="n">
        <v>2.46819653</v>
      </c>
      <c r="R10" s="20" t="n">
        <v>0.48427726</v>
      </c>
    </row>
    <row r="11" spans="1:18">
      <c r="A11" s="15" t="s">
        <v>353</v>
      </c>
      <c r="B11" s="17" t="n">
        <v>7053</v>
      </c>
      <c r="C11" s="18">
        <f>(6183.0/B11*100)</f>
        <v/>
      </c>
      <c r="D11" s="19" t="n">
        <v>870</v>
      </c>
      <c r="E11" s="18" t="n">
        <v>83.75093824</v>
      </c>
      <c r="F11" s="20" t="n">
        <v>1.39251284</v>
      </c>
      <c r="G11" s="18" t="n">
        <v>7.40485925</v>
      </c>
      <c r="H11" s="20" t="n">
        <v>1.09073671</v>
      </c>
      <c r="I11" s="18" t="s">
        <v>349</v>
      </c>
      <c r="J11" s="20" t="s">
        <v>349</v>
      </c>
      <c r="K11" s="18" t="n">
        <v>0.17525826</v>
      </c>
      <c r="L11" s="20" t="n">
        <v>0.13631789</v>
      </c>
      <c r="M11" s="18" t="n">
        <v>0</v>
      </c>
      <c r="N11" s="20" t="n">
        <v>0</v>
      </c>
      <c r="O11" s="18" t="n">
        <v>0</v>
      </c>
      <c r="P11" s="20" t="n">
        <v>0</v>
      </c>
      <c r="Q11" s="18" t="n">
        <v>8.66894426</v>
      </c>
      <c r="R11" s="20" t="n">
        <v>0.90549094</v>
      </c>
    </row>
    <row r="12" spans="1:18">
      <c r="A12" s="15" t="s">
        <v>354</v>
      </c>
      <c r="B12" s="17" t="n">
        <v>6894</v>
      </c>
      <c r="C12" s="18">
        <f>(6052.0/B12*100)</f>
        <v/>
      </c>
      <c r="D12" s="19" t="n">
        <v>842</v>
      </c>
      <c r="E12" s="18" t="n">
        <v>78.03699698</v>
      </c>
      <c r="F12" s="20" t="n">
        <v>1.76760447</v>
      </c>
      <c r="G12" s="18" t="n">
        <v>15.93733661</v>
      </c>
      <c r="H12" s="20" t="n">
        <v>1.43348497</v>
      </c>
      <c r="I12" s="18" t="s">
        <v>349</v>
      </c>
      <c r="J12" s="20" t="s">
        <v>349</v>
      </c>
      <c r="K12" s="18" t="n">
        <v>0.27754575</v>
      </c>
      <c r="L12" s="20" t="n">
        <v>0.29203398</v>
      </c>
      <c r="M12" s="18" t="n">
        <v>0</v>
      </c>
      <c r="N12" s="20" t="n">
        <v>0</v>
      </c>
      <c r="O12" s="18" t="n">
        <v>0</v>
      </c>
      <c r="P12" s="20" t="n">
        <v>0</v>
      </c>
      <c r="Q12" s="18" t="n">
        <v>5.74812065</v>
      </c>
      <c r="R12" s="20" t="n">
        <v>1.00833896</v>
      </c>
    </row>
    <row r="13" spans="1:18">
      <c r="A13" s="15" t="s">
        <v>355</v>
      </c>
      <c r="B13" s="17" t="n">
        <v>7161</v>
      </c>
      <c r="C13" s="18">
        <f>(6320.0/B13*100)</f>
        <v/>
      </c>
      <c r="D13" s="19" t="n">
        <v>841</v>
      </c>
      <c r="E13" s="18" t="n">
        <v>75.68180841</v>
      </c>
      <c r="F13" s="20" t="n">
        <v>1.91955765</v>
      </c>
      <c r="G13" s="18" t="n">
        <v>19.60992587</v>
      </c>
      <c r="H13" s="20" t="n">
        <v>1.74467765</v>
      </c>
      <c r="I13" s="18" t="s">
        <v>349</v>
      </c>
      <c r="J13" s="20" t="s">
        <v>349</v>
      </c>
      <c r="K13" s="18" t="n">
        <v>0.86977544</v>
      </c>
      <c r="L13" s="20" t="n">
        <v>0.46262185</v>
      </c>
      <c r="M13" s="18" t="n">
        <v>0</v>
      </c>
      <c r="N13" s="20" t="n">
        <v>0</v>
      </c>
      <c r="O13" s="18" t="n">
        <v>0</v>
      </c>
      <c r="P13" s="20" t="n">
        <v>0</v>
      </c>
      <c r="Q13" s="18" t="n">
        <v>3.83849028</v>
      </c>
      <c r="R13" s="20" t="n">
        <v>0.71914618</v>
      </c>
    </row>
    <row r="14" spans="1:18">
      <c r="A14" s="15" t="s">
        <v>356</v>
      </c>
      <c r="B14" s="17" t="n">
        <v>5587</v>
      </c>
      <c r="C14" s="18">
        <f>(4904.0/B14*100)</f>
        <v/>
      </c>
      <c r="D14" s="19" t="n">
        <v>683</v>
      </c>
      <c r="E14" s="18" t="n">
        <v>83.99996374</v>
      </c>
      <c r="F14" s="20" t="n">
        <v>1.34346482</v>
      </c>
      <c r="G14" s="18" t="n">
        <v>13.37008591</v>
      </c>
      <c r="H14" s="20" t="n">
        <v>1.26209639</v>
      </c>
      <c r="I14" s="18" t="s">
        <v>349</v>
      </c>
      <c r="J14" s="20" t="s">
        <v>349</v>
      </c>
      <c r="K14" s="18" t="n">
        <v>0</v>
      </c>
      <c r="L14" s="20" t="n">
        <v>0</v>
      </c>
      <c r="M14" s="18" t="n">
        <v>0</v>
      </c>
      <c r="N14" s="20" t="n">
        <v>0</v>
      </c>
      <c r="O14" s="18" t="n">
        <v>0</v>
      </c>
      <c r="P14" s="20" t="n">
        <v>0</v>
      </c>
      <c r="Q14" s="18" t="n">
        <v>2.62995035</v>
      </c>
      <c r="R14" s="20" t="n">
        <v>0.66985604</v>
      </c>
    </row>
    <row r="15" spans="1:18">
      <c r="A15" s="15" t="s">
        <v>357</v>
      </c>
      <c r="B15" s="17" t="n">
        <v>5882</v>
      </c>
      <c r="C15" s="18">
        <f>(5178.0/B15*100)</f>
        <v/>
      </c>
      <c r="D15" s="19" t="n">
        <v>704</v>
      </c>
      <c r="E15" s="18" t="n">
        <v>81.08198796000001</v>
      </c>
      <c r="F15" s="20" t="n">
        <v>1.49905279</v>
      </c>
      <c r="G15" s="18" t="n">
        <v>13.51214133</v>
      </c>
      <c r="H15" s="20" t="n">
        <v>1.35235072</v>
      </c>
      <c r="I15" s="18" t="s">
        <v>349</v>
      </c>
      <c r="J15" s="20" t="s">
        <v>349</v>
      </c>
      <c r="K15" s="18" t="n">
        <v>0.13616546</v>
      </c>
      <c r="L15" s="20" t="n">
        <v>0.13673131</v>
      </c>
      <c r="M15" s="18" t="n">
        <v>0</v>
      </c>
      <c r="N15" s="20" t="n">
        <v>0</v>
      </c>
      <c r="O15" s="18" t="n">
        <v>0</v>
      </c>
      <c r="P15" s="20" t="n">
        <v>0</v>
      </c>
      <c r="Q15" s="18" t="n">
        <v>5.26970524</v>
      </c>
      <c r="R15" s="20" t="n">
        <v>0.97588737</v>
      </c>
    </row>
    <row r="16" spans="1:18">
      <c r="A16" s="15" t="s">
        <v>358</v>
      </c>
      <c r="B16" s="17" t="n">
        <v>6108</v>
      </c>
      <c r="C16" s="18">
        <f>(5362.0/B16*100)</f>
        <v/>
      </c>
      <c r="D16" s="19" t="n">
        <v>746</v>
      </c>
      <c r="E16" s="18" t="n">
        <v>81.98781337</v>
      </c>
      <c r="F16" s="20" t="n">
        <v>1.29055671</v>
      </c>
      <c r="G16" s="18" t="n">
        <v>11.08625339</v>
      </c>
      <c r="H16" s="20" t="n">
        <v>1.03586388</v>
      </c>
      <c r="I16" s="18" t="s">
        <v>349</v>
      </c>
      <c r="J16" s="20" t="s">
        <v>349</v>
      </c>
      <c r="K16" s="18" t="n">
        <v>0.14259515</v>
      </c>
      <c r="L16" s="20" t="n">
        <v>0.14330492</v>
      </c>
      <c r="M16" s="18" t="n">
        <v>0</v>
      </c>
      <c r="N16" s="20" t="n">
        <v>0</v>
      </c>
      <c r="O16" s="18" t="n">
        <v>0</v>
      </c>
      <c r="P16" s="20" t="n">
        <v>0</v>
      </c>
      <c r="Q16" s="18" t="n">
        <v>6.78333809</v>
      </c>
      <c r="R16" s="20" t="n">
        <v>0.9307649099999999</v>
      </c>
    </row>
    <row r="17" spans="1:18">
      <c r="A17" s="15" t="s">
        <v>359</v>
      </c>
      <c r="B17" s="17" t="n">
        <v>6504</v>
      </c>
      <c r="C17" s="18">
        <f>(5719.0/B17*100)</f>
        <v/>
      </c>
      <c r="D17" s="19" t="n">
        <v>785</v>
      </c>
      <c r="E17" s="18" t="n">
        <v>81.10919885</v>
      </c>
      <c r="F17" s="20" t="n">
        <v>1.55251153</v>
      </c>
      <c r="G17" s="18" t="n">
        <v>11.44940941</v>
      </c>
      <c r="H17" s="20" t="n">
        <v>1.19989607</v>
      </c>
      <c r="I17" s="18" t="s">
        <v>349</v>
      </c>
      <c r="J17" s="20" t="s">
        <v>349</v>
      </c>
      <c r="K17" s="18" t="n">
        <v>0.14851019</v>
      </c>
      <c r="L17" s="20" t="n">
        <v>0.16555878</v>
      </c>
      <c r="M17" s="18" t="n">
        <v>0</v>
      </c>
      <c r="N17" s="20" t="n">
        <v>0</v>
      </c>
      <c r="O17" s="18" t="n">
        <v>0</v>
      </c>
      <c r="P17" s="20" t="n">
        <v>0</v>
      </c>
      <c r="Q17" s="18" t="n">
        <v>7.29288155</v>
      </c>
      <c r="R17" s="20" t="n">
        <v>0.98517783</v>
      </c>
    </row>
    <row r="18" spans="1:18">
      <c r="A18" s="15" t="s">
        <v>360</v>
      </c>
      <c r="B18" s="17" t="n">
        <v>5532</v>
      </c>
      <c r="C18" s="18">
        <f>(4857.0/B18*100)</f>
        <v/>
      </c>
      <c r="D18" s="19" t="n">
        <v>675</v>
      </c>
      <c r="E18" s="18" t="n">
        <v>85.85643395</v>
      </c>
      <c r="F18" s="20" t="n">
        <v>1.60572068</v>
      </c>
      <c r="G18" s="18" t="n">
        <v>10.80952537</v>
      </c>
      <c r="H18" s="20" t="n">
        <v>1.44272342</v>
      </c>
      <c r="I18" s="18" t="s">
        <v>349</v>
      </c>
      <c r="J18" s="20" t="s">
        <v>349</v>
      </c>
      <c r="K18" s="18" t="n">
        <v>0.16698862</v>
      </c>
      <c r="L18" s="20" t="n">
        <v>0.16608631</v>
      </c>
      <c r="M18" s="18" t="n">
        <v>0</v>
      </c>
      <c r="N18" s="20" t="n">
        <v>0</v>
      </c>
      <c r="O18" s="18" t="n">
        <v>0</v>
      </c>
      <c r="P18" s="20" t="n">
        <v>0</v>
      </c>
      <c r="Q18" s="18" t="n">
        <v>3.16705206</v>
      </c>
      <c r="R18" s="20" t="n">
        <v>0.6022782</v>
      </c>
    </row>
    <row r="19" spans="1:18">
      <c r="A19" s="15" t="s">
        <v>361</v>
      </c>
      <c r="B19" s="17" t="n">
        <v>5658</v>
      </c>
      <c r="C19" s="18">
        <f>(4970.0/B19*100)</f>
        <v/>
      </c>
      <c r="D19" s="19" t="n">
        <v>688</v>
      </c>
      <c r="E19" s="18" t="n">
        <v>82.92243666</v>
      </c>
      <c r="F19" s="20" t="n">
        <v>1.34381946</v>
      </c>
      <c r="G19" s="18" t="n">
        <v>10.98983384</v>
      </c>
      <c r="H19" s="20" t="n">
        <v>1.11592199</v>
      </c>
      <c r="I19" s="18" t="s">
        <v>349</v>
      </c>
      <c r="J19" s="20" t="s">
        <v>349</v>
      </c>
      <c r="K19" s="18" t="n">
        <v>0.26888626</v>
      </c>
      <c r="L19" s="20" t="n">
        <v>0.19323789</v>
      </c>
      <c r="M19" s="18" t="n">
        <v>0</v>
      </c>
      <c r="N19" s="20" t="n">
        <v>0</v>
      </c>
      <c r="O19" s="18" t="n">
        <v>0</v>
      </c>
      <c r="P19" s="20" t="n">
        <v>0</v>
      </c>
      <c r="Q19" s="18" t="n">
        <v>5.81884324</v>
      </c>
      <c r="R19" s="20" t="n">
        <v>0.90027044</v>
      </c>
    </row>
    <row r="20" spans="1:18">
      <c r="A20" s="15" t="s">
        <v>362</v>
      </c>
      <c r="B20" s="17" t="n">
        <v>3371</v>
      </c>
      <c r="C20" s="18">
        <f>(2950.0/B20*100)</f>
        <v/>
      </c>
      <c r="D20" s="19" t="n">
        <v>421</v>
      </c>
      <c r="E20" s="18" t="n">
        <v>80.46072699</v>
      </c>
      <c r="F20" s="20" t="n">
        <v>2.17113543</v>
      </c>
      <c r="G20" s="18" t="n">
        <v>15.17059173</v>
      </c>
      <c r="H20" s="20" t="n">
        <v>1.89176485</v>
      </c>
      <c r="I20" s="18" t="s">
        <v>349</v>
      </c>
      <c r="J20" s="20" t="s">
        <v>349</v>
      </c>
      <c r="K20" s="18" t="n">
        <v>0.22512118</v>
      </c>
      <c r="L20" s="20" t="n">
        <v>0.22503122</v>
      </c>
      <c r="M20" s="18" t="n">
        <v>0</v>
      </c>
      <c r="N20" s="20" t="n">
        <v>0</v>
      </c>
      <c r="O20" s="18" t="n">
        <v>0</v>
      </c>
      <c r="P20" s="20" t="n">
        <v>0</v>
      </c>
      <c r="Q20" s="18" t="n">
        <v>4.14356009</v>
      </c>
      <c r="R20" s="20" t="n">
        <v>1.03224833</v>
      </c>
    </row>
    <row r="21" spans="1:18">
      <c r="A21" s="15" t="s">
        <v>363</v>
      </c>
      <c r="B21" s="17" t="n">
        <v>5741</v>
      </c>
      <c r="C21" s="18">
        <f>(4756.0/B21*100)</f>
        <v/>
      </c>
      <c r="D21" s="19" t="n">
        <v>985</v>
      </c>
      <c r="E21" s="18" t="n">
        <v>86.61037373000001</v>
      </c>
      <c r="F21" s="20" t="n">
        <v>1.10376729</v>
      </c>
      <c r="G21" s="18" t="n">
        <v>10.30639855</v>
      </c>
      <c r="H21" s="20" t="n">
        <v>0.97330549</v>
      </c>
      <c r="I21" s="18" t="s">
        <v>349</v>
      </c>
      <c r="J21" s="20" t="s">
        <v>349</v>
      </c>
      <c r="K21" s="18" t="n">
        <v>0.36838101</v>
      </c>
      <c r="L21" s="20" t="n">
        <v>0.21296108</v>
      </c>
      <c r="M21" s="18" t="n">
        <v>0</v>
      </c>
      <c r="N21" s="20" t="n">
        <v>0</v>
      </c>
      <c r="O21" s="18" t="n">
        <v>0</v>
      </c>
      <c r="P21" s="20" t="n">
        <v>0</v>
      </c>
      <c r="Q21" s="18" t="n">
        <v>2.71484671</v>
      </c>
      <c r="R21" s="20" t="n">
        <v>0.44960697</v>
      </c>
    </row>
    <row r="22" spans="1:18">
      <c r="A22" s="15" t="s">
        <v>364</v>
      </c>
      <c r="B22" s="17" t="n">
        <v>6598</v>
      </c>
      <c r="C22" s="18">
        <f>(5740.0/B22*100)</f>
        <v/>
      </c>
      <c r="D22" s="19" t="n">
        <v>858</v>
      </c>
      <c r="E22" s="18" t="n">
        <v>77.31483385999999</v>
      </c>
      <c r="F22" s="20" t="n">
        <v>1.63156937</v>
      </c>
      <c r="G22" s="18" t="n">
        <v>13.04750104</v>
      </c>
      <c r="H22" s="20" t="n">
        <v>1.39381124</v>
      </c>
      <c r="I22" s="18" t="s">
        <v>349</v>
      </c>
      <c r="J22" s="20" t="s">
        <v>349</v>
      </c>
      <c r="K22" s="18" t="n">
        <v>1.07117439</v>
      </c>
      <c r="L22" s="20" t="n">
        <v>0.44524375</v>
      </c>
      <c r="M22" s="18" t="n">
        <v>0</v>
      </c>
      <c r="N22" s="20" t="n">
        <v>0</v>
      </c>
      <c r="O22" s="18" t="n">
        <v>0</v>
      </c>
      <c r="P22" s="20" t="n">
        <v>0</v>
      </c>
      <c r="Q22" s="18" t="n">
        <v>8.566490699999999</v>
      </c>
      <c r="R22" s="20" t="n">
        <v>1.01611588</v>
      </c>
    </row>
    <row r="23" spans="1:18">
      <c r="A23" s="15" t="s">
        <v>365</v>
      </c>
      <c r="B23" s="17" t="n">
        <v>11583</v>
      </c>
      <c r="C23" s="18">
        <f>(10171.0/B23*100)</f>
        <v/>
      </c>
      <c r="D23" s="19" t="n">
        <v>1412</v>
      </c>
      <c r="E23" s="18" t="n">
        <v>76.56520524</v>
      </c>
      <c r="F23" s="20" t="n">
        <v>1.33524855</v>
      </c>
      <c r="G23" s="18" t="n">
        <v>15.86216847</v>
      </c>
      <c r="H23" s="20" t="n">
        <v>1.08282096</v>
      </c>
      <c r="I23" s="18" t="s">
        <v>349</v>
      </c>
      <c r="J23" s="20" t="s">
        <v>349</v>
      </c>
      <c r="K23" s="18" t="n">
        <v>0.7034734</v>
      </c>
      <c r="L23" s="20" t="n">
        <v>0.21137195</v>
      </c>
      <c r="M23" s="18" t="n">
        <v>0</v>
      </c>
      <c r="N23" s="20" t="n">
        <v>0</v>
      </c>
      <c r="O23" s="18" t="n">
        <v>0</v>
      </c>
      <c r="P23" s="20" t="n">
        <v>0</v>
      </c>
      <c r="Q23" s="18" t="n">
        <v>6.86915289</v>
      </c>
      <c r="R23" s="20" t="n">
        <v>0.75757154</v>
      </c>
    </row>
    <row r="24" spans="1:18">
      <c r="A24" s="15" t="s">
        <v>366</v>
      </c>
      <c r="B24" s="17" t="n">
        <v>6647</v>
      </c>
      <c r="C24" s="18">
        <f>(5847.0/B24*100)</f>
        <v/>
      </c>
      <c r="D24" s="19" t="n">
        <v>800</v>
      </c>
      <c r="E24" s="18" t="n">
        <v>61.38821469</v>
      </c>
      <c r="F24" s="20" t="n">
        <v>1.74612688</v>
      </c>
      <c r="G24" s="18" t="n">
        <v>34.04061743</v>
      </c>
      <c r="H24" s="20" t="n">
        <v>1.64577878</v>
      </c>
      <c r="I24" s="18" t="s">
        <v>349</v>
      </c>
      <c r="J24" s="20" t="s">
        <v>349</v>
      </c>
      <c r="K24" s="18" t="n">
        <v>0.11621281</v>
      </c>
      <c r="L24" s="20" t="n">
        <v>0.11799294</v>
      </c>
      <c r="M24" s="18" t="n">
        <v>0</v>
      </c>
      <c r="N24" s="20" t="n">
        <v>0</v>
      </c>
      <c r="O24" s="18" t="n">
        <v>0</v>
      </c>
      <c r="P24" s="20" t="n">
        <v>0</v>
      </c>
      <c r="Q24" s="18" t="n">
        <v>4.45495507</v>
      </c>
      <c r="R24" s="20" t="n">
        <v>0.6395596</v>
      </c>
    </row>
    <row r="25" spans="1:18">
      <c r="A25" s="15" t="s">
        <v>367</v>
      </c>
      <c r="B25" s="17" t="n">
        <v>5581</v>
      </c>
      <c r="C25" s="18">
        <f>(4896.0/B25*100)</f>
        <v/>
      </c>
      <c r="D25" s="19" t="n">
        <v>685</v>
      </c>
      <c r="E25" s="18" t="n">
        <v>71.0576497</v>
      </c>
      <c r="F25" s="20" t="n">
        <v>2.09134276</v>
      </c>
      <c r="G25" s="18" t="n">
        <v>25.69690028</v>
      </c>
      <c r="H25" s="20" t="n">
        <v>1.99463372</v>
      </c>
      <c r="I25" s="18" t="s">
        <v>349</v>
      </c>
      <c r="J25" s="20" t="s">
        <v>349</v>
      </c>
      <c r="K25" s="18" t="n">
        <v>0.43610668</v>
      </c>
      <c r="L25" s="20" t="n">
        <v>0.2870606</v>
      </c>
      <c r="M25" s="18" t="n">
        <v>0</v>
      </c>
      <c r="N25" s="20" t="n">
        <v>0</v>
      </c>
      <c r="O25" s="18" t="n">
        <v>0</v>
      </c>
      <c r="P25" s="20" t="n">
        <v>0</v>
      </c>
      <c r="Q25" s="18" t="n">
        <v>2.80934333</v>
      </c>
      <c r="R25" s="20" t="n">
        <v>0.63871521</v>
      </c>
    </row>
    <row r="26" spans="1:18">
      <c r="A26" s="15" t="s">
        <v>368</v>
      </c>
      <c r="B26" s="17" t="n">
        <v>4869</v>
      </c>
      <c r="C26" s="18">
        <f>(4277.0/B26*100)</f>
        <v/>
      </c>
      <c r="D26" s="19" t="n">
        <v>592</v>
      </c>
      <c r="E26" s="18" t="n">
        <v>84.19396992</v>
      </c>
      <c r="F26" s="20" t="n">
        <v>1.67713398</v>
      </c>
      <c r="G26" s="18" t="n">
        <v>11.94305904</v>
      </c>
      <c r="H26" s="20" t="n">
        <v>1.45851501</v>
      </c>
      <c r="I26" s="18" t="s">
        <v>349</v>
      </c>
      <c r="J26" s="20" t="s">
        <v>349</v>
      </c>
      <c r="K26" s="18" t="n">
        <v>0</v>
      </c>
      <c r="L26" s="20" t="n">
        <v>0</v>
      </c>
      <c r="M26" s="18" t="n">
        <v>0</v>
      </c>
      <c r="N26" s="20" t="n">
        <v>0</v>
      </c>
      <c r="O26" s="18" t="n">
        <v>0</v>
      </c>
      <c r="P26" s="20" t="n">
        <v>0</v>
      </c>
      <c r="Q26" s="18" t="n">
        <v>3.86297104</v>
      </c>
      <c r="R26" s="20" t="n">
        <v>0.68876934</v>
      </c>
    </row>
    <row r="27" spans="1:18">
      <c r="A27" s="15" t="s">
        <v>369</v>
      </c>
      <c r="B27" s="17" t="n">
        <v>5299</v>
      </c>
      <c r="C27" s="18">
        <f>(4654.0/B27*100)</f>
        <v/>
      </c>
      <c r="D27" s="19" t="n">
        <v>645</v>
      </c>
      <c r="E27" s="18" t="n">
        <v>82.87209145</v>
      </c>
      <c r="F27" s="20" t="n">
        <v>1.58862305</v>
      </c>
      <c r="G27" s="18" t="n">
        <v>11.66237638</v>
      </c>
      <c r="H27" s="20" t="n">
        <v>1.28679726</v>
      </c>
      <c r="I27" s="18" t="s">
        <v>349</v>
      </c>
      <c r="J27" s="20" t="s">
        <v>349</v>
      </c>
      <c r="K27" s="18" t="n">
        <v>0</v>
      </c>
      <c r="L27" s="20" t="n">
        <v>0</v>
      </c>
      <c r="M27" s="18" t="n">
        <v>0</v>
      </c>
      <c r="N27" s="20" t="n">
        <v>0</v>
      </c>
      <c r="O27" s="18" t="n">
        <v>0</v>
      </c>
      <c r="P27" s="20" t="n">
        <v>0</v>
      </c>
      <c r="Q27" s="18" t="n">
        <v>5.46553217</v>
      </c>
      <c r="R27" s="20" t="n">
        <v>0.9492377400000001</v>
      </c>
    </row>
    <row r="28" spans="1:18">
      <c r="A28" s="15" t="s">
        <v>370</v>
      </c>
      <c r="B28" s="17" t="n">
        <v>7568</v>
      </c>
      <c r="C28" s="18">
        <f>(6638.0/B28*100)</f>
        <v/>
      </c>
      <c r="D28" s="19" t="n">
        <v>930</v>
      </c>
      <c r="E28" s="18" t="n">
        <v>87.80975011</v>
      </c>
      <c r="F28" s="20" t="n">
        <v>1.30833713</v>
      </c>
      <c r="G28" s="18" t="n">
        <v>10.07708839</v>
      </c>
      <c r="H28" s="20" t="n">
        <v>1.21929857</v>
      </c>
      <c r="I28" s="18" t="s">
        <v>349</v>
      </c>
      <c r="J28" s="20" t="s">
        <v>349</v>
      </c>
      <c r="K28" s="18" t="n">
        <v>0.33975775</v>
      </c>
      <c r="L28" s="20" t="n">
        <v>0.22310197</v>
      </c>
      <c r="M28" s="18" t="n">
        <v>0</v>
      </c>
      <c r="N28" s="20" t="n">
        <v>0</v>
      </c>
      <c r="O28" s="18" t="n">
        <v>0</v>
      </c>
      <c r="P28" s="20" t="n">
        <v>0</v>
      </c>
      <c r="Q28" s="18" t="n">
        <v>1.77340375</v>
      </c>
      <c r="R28" s="20" t="n">
        <v>0.5140804</v>
      </c>
    </row>
    <row r="29" spans="1:18">
      <c r="A29" s="15" t="s">
        <v>371</v>
      </c>
      <c r="B29" s="17" t="n">
        <v>5385</v>
      </c>
      <c r="C29" s="18">
        <f>(4732.0/B29*100)</f>
        <v/>
      </c>
      <c r="D29" s="19" t="n">
        <v>653</v>
      </c>
      <c r="E29" s="18" t="n">
        <v>87.09453209</v>
      </c>
      <c r="F29" s="20" t="n">
        <v>1.12561379</v>
      </c>
      <c r="G29" s="18" t="n">
        <v>11.02472909</v>
      </c>
      <c r="H29" s="20" t="n">
        <v>1.00534433</v>
      </c>
      <c r="I29" s="18" t="s">
        <v>349</v>
      </c>
      <c r="J29" s="20" t="s">
        <v>349</v>
      </c>
      <c r="K29" s="18" t="n">
        <v>0.49957536</v>
      </c>
      <c r="L29" s="20" t="n">
        <v>0.25814165</v>
      </c>
      <c r="M29" s="18" t="n">
        <v>0</v>
      </c>
      <c r="N29" s="20" t="n">
        <v>0</v>
      </c>
      <c r="O29" s="18" t="n">
        <v>0</v>
      </c>
      <c r="P29" s="20" t="n">
        <v>0</v>
      </c>
      <c r="Q29" s="18" t="n">
        <v>1.38116346</v>
      </c>
      <c r="R29" s="20" t="n">
        <v>0.47439518</v>
      </c>
    </row>
    <row r="30" spans="1:18">
      <c r="A30" s="15" t="s">
        <v>372</v>
      </c>
      <c r="B30" s="17" t="n">
        <v>4520</v>
      </c>
      <c r="C30" s="18">
        <f>(3968.0/B30*100)</f>
        <v/>
      </c>
      <c r="D30" s="19" t="n">
        <v>552</v>
      </c>
      <c r="E30" s="18" t="n">
        <v>80.2124614</v>
      </c>
      <c r="F30" s="20" t="n">
        <v>1.69963848</v>
      </c>
      <c r="G30" s="18" t="n">
        <v>14.12052077</v>
      </c>
      <c r="H30" s="20" t="n">
        <v>1.3877648</v>
      </c>
      <c r="I30" s="18" t="s">
        <v>349</v>
      </c>
      <c r="J30" s="20" t="s">
        <v>349</v>
      </c>
      <c r="K30" s="18" t="n">
        <v>0</v>
      </c>
      <c r="L30" s="20" t="n">
        <v>0</v>
      </c>
      <c r="M30" s="18" t="n">
        <v>0</v>
      </c>
      <c r="N30" s="20" t="n">
        <v>0</v>
      </c>
      <c r="O30" s="18" t="n">
        <v>0</v>
      </c>
      <c r="P30" s="20" t="n">
        <v>0</v>
      </c>
      <c r="Q30" s="18" t="n">
        <v>5.66701783</v>
      </c>
      <c r="R30" s="20" t="n">
        <v>1.06065946</v>
      </c>
    </row>
    <row r="31" spans="1:18">
      <c r="A31" s="15" t="s">
        <v>373</v>
      </c>
      <c r="B31" s="17" t="n">
        <v>5456</v>
      </c>
      <c r="C31" s="18">
        <f>(4805.0/B31*100)</f>
        <v/>
      </c>
      <c r="D31" s="19" t="n">
        <v>651</v>
      </c>
      <c r="E31" s="18" t="n">
        <v>76.36337625</v>
      </c>
      <c r="F31" s="20" t="n">
        <v>1.68796813</v>
      </c>
      <c r="G31" s="18" t="n">
        <v>16.69088572</v>
      </c>
      <c r="H31" s="20" t="n">
        <v>1.59071362</v>
      </c>
      <c r="I31" s="18" t="s">
        <v>349</v>
      </c>
      <c r="J31" s="20" t="s">
        <v>349</v>
      </c>
      <c r="K31" s="18" t="n">
        <v>0.66830917</v>
      </c>
      <c r="L31" s="20" t="n">
        <v>0.35225677</v>
      </c>
      <c r="M31" s="18" t="n">
        <v>0</v>
      </c>
      <c r="N31" s="20" t="n">
        <v>0</v>
      </c>
      <c r="O31" s="18" t="n">
        <v>0</v>
      </c>
      <c r="P31" s="20" t="n">
        <v>0</v>
      </c>
      <c r="Q31" s="18" t="n">
        <v>6.27742887</v>
      </c>
      <c r="R31" s="20" t="n">
        <v>1.00346464</v>
      </c>
    </row>
    <row r="32" spans="1:18">
      <c r="A32" s="15" t="s">
        <v>374</v>
      </c>
      <c r="B32" s="17" t="n">
        <v>4478</v>
      </c>
      <c r="C32" s="18">
        <f>(3703.0/B32*100)</f>
        <v/>
      </c>
      <c r="D32" s="19" t="n">
        <v>775</v>
      </c>
      <c r="E32" s="18" t="n">
        <v>79.25701223999999</v>
      </c>
      <c r="F32" s="20" t="n">
        <v>1.56297713</v>
      </c>
      <c r="G32" s="18" t="n">
        <v>14.51607418</v>
      </c>
      <c r="H32" s="20" t="n">
        <v>1.44293927</v>
      </c>
      <c r="I32" s="18" t="s">
        <v>349</v>
      </c>
      <c r="J32" s="20" t="s">
        <v>349</v>
      </c>
      <c r="K32" s="18" t="n">
        <v>0.12925931</v>
      </c>
      <c r="L32" s="20" t="n">
        <v>0.12922835</v>
      </c>
      <c r="M32" s="18" t="n">
        <v>0</v>
      </c>
      <c r="N32" s="20" t="n">
        <v>0</v>
      </c>
      <c r="O32" s="18" t="n">
        <v>0</v>
      </c>
      <c r="P32" s="20" t="n">
        <v>0</v>
      </c>
      <c r="Q32" s="18" t="n">
        <v>6.09765426</v>
      </c>
      <c r="R32" s="20" t="n">
        <v>0.9184181300000001</v>
      </c>
    </row>
    <row r="33" spans="1:18">
      <c r="A33" s="15" t="s">
        <v>375</v>
      </c>
      <c r="B33" s="17" t="n">
        <v>7325</v>
      </c>
      <c r="C33" s="18">
        <f>(6450.0/B33*100)</f>
        <v/>
      </c>
      <c r="D33" s="19" t="n">
        <v>875</v>
      </c>
      <c r="E33" s="18" t="n">
        <v>78.44620069</v>
      </c>
      <c r="F33" s="20" t="n">
        <v>1.85438123</v>
      </c>
      <c r="G33" s="18" t="n">
        <v>15.89443569</v>
      </c>
      <c r="H33" s="20" t="n">
        <v>1.59323151</v>
      </c>
      <c r="I33" s="18" t="s">
        <v>349</v>
      </c>
      <c r="J33" s="20" t="s">
        <v>349</v>
      </c>
      <c r="K33" s="18" t="n">
        <v>0.347367</v>
      </c>
      <c r="L33" s="20" t="n">
        <v>0.40434829</v>
      </c>
      <c r="M33" s="18" t="n">
        <v>0</v>
      </c>
      <c r="N33" s="20" t="n">
        <v>0</v>
      </c>
      <c r="O33" s="18" t="n">
        <v>0</v>
      </c>
      <c r="P33" s="20" t="n">
        <v>0</v>
      </c>
      <c r="Q33" s="18" t="n">
        <v>5.31199663</v>
      </c>
      <c r="R33" s="20" t="n">
        <v>0.96196708</v>
      </c>
    </row>
    <row r="34" spans="1:18">
      <c r="A34" s="15" t="s">
        <v>376</v>
      </c>
      <c r="B34" s="17" t="n">
        <v>6350</v>
      </c>
      <c r="C34" s="18">
        <f>(5562.0/B34*100)</f>
        <v/>
      </c>
      <c r="D34" s="19" t="n">
        <v>788</v>
      </c>
      <c r="E34" s="18" t="n">
        <v>79.54084981</v>
      </c>
      <c r="F34" s="20" t="n">
        <v>1.5363004</v>
      </c>
      <c r="G34" s="18" t="n">
        <v>17.16942173</v>
      </c>
      <c r="H34" s="20" t="n">
        <v>1.34538407</v>
      </c>
      <c r="I34" s="18" t="s">
        <v>349</v>
      </c>
      <c r="J34" s="20" t="s">
        <v>349</v>
      </c>
      <c r="K34" s="18" t="n">
        <v>0.24212031</v>
      </c>
      <c r="L34" s="20" t="n">
        <v>0.17431105</v>
      </c>
      <c r="M34" s="18" t="n">
        <v>0</v>
      </c>
      <c r="N34" s="20" t="n">
        <v>0</v>
      </c>
      <c r="O34" s="18" t="n">
        <v>0</v>
      </c>
      <c r="P34" s="20" t="n">
        <v>0</v>
      </c>
      <c r="Q34" s="18" t="n">
        <v>3.04760814</v>
      </c>
      <c r="R34" s="20" t="n">
        <v>0.59306979</v>
      </c>
    </row>
    <row r="35" spans="1:18">
      <c r="A35" s="15" t="s">
        <v>377</v>
      </c>
      <c r="B35" s="17" t="n">
        <v>6406</v>
      </c>
      <c r="C35" s="18">
        <f>(5641.0/B35*100)</f>
        <v/>
      </c>
      <c r="D35" s="19" t="n">
        <v>765</v>
      </c>
      <c r="E35" s="18" t="n">
        <v>75.65021182</v>
      </c>
      <c r="F35" s="20" t="n">
        <v>2.06983562</v>
      </c>
      <c r="G35" s="18" t="n">
        <v>19.18140151</v>
      </c>
      <c r="H35" s="20" t="n">
        <v>1.98746677</v>
      </c>
      <c r="I35" s="18" t="s">
        <v>349</v>
      </c>
      <c r="J35" s="20" t="s">
        <v>349</v>
      </c>
      <c r="K35" s="18" t="n">
        <v>0.11986199</v>
      </c>
      <c r="L35" s="20" t="n">
        <v>0.08503429</v>
      </c>
      <c r="M35" s="18" t="n">
        <v>0</v>
      </c>
      <c r="N35" s="20" t="n">
        <v>0</v>
      </c>
      <c r="O35" s="18" t="n">
        <v>0</v>
      </c>
      <c r="P35" s="20" t="n">
        <v>0</v>
      </c>
      <c r="Q35" s="18" t="n">
        <v>5.04852469</v>
      </c>
      <c r="R35" s="20" t="n">
        <v>0.94781081</v>
      </c>
    </row>
    <row r="36" spans="1:18">
      <c r="A36" s="15" t="s">
        <v>378</v>
      </c>
      <c r="B36" s="17" t="n">
        <v>6736</v>
      </c>
      <c r="C36" s="18">
        <f>(5901.0/B36*100)</f>
        <v/>
      </c>
      <c r="D36" s="19" t="n">
        <v>835</v>
      </c>
      <c r="E36" s="18" t="n">
        <v>85.7728314</v>
      </c>
      <c r="F36" s="20" t="n">
        <v>1.25503303</v>
      </c>
      <c r="G36" s="18" t="n">
        <v>8.97294847</v>
      </c>
      <c r="H36" s="20" t="n">
        <v>0.8898792800000001</v>
      </c>
      <c r="I36" s="18" t="s">
        <v>349</v>
      </c>
      <c r="J36" s="20" t="s">
        <v>349</v>
      </c>
      <c r="K36" s="18" t="n">
        <v>0.44752835</v>
      </c>
      <c r="L36" s="20" t="n">
        <v>0.30914476</v>
      </c>
      <c r="M36" s="18" t="n">
        <v>0</v>
      </c>
      <c r="N36" s="20" t="n">
        <v>0</v>
      </c>
      <c r="O36" s="18" t="n">
        <v>0</v>
      </c>
      <c r="P36" s="20" t="n">
        <v>0</v>
      </c>
      <c r="Q36" s="18" t="n">
        <v>4.80669179</v>
      </c>
      <c r="R36" s="20" t="n">
        <v>0.81773939</v>
      </c>
    </row>
    <row r="37" spans="1:18">
      <c r="A37" s="15" t="s">
        <v>379</v>
      </c>
      <c r="B37" s="17" t="n">
        <v>5458</v>
      </c>
      <c r="C37" s="18">
        <f>(4796.0/B37*100)</f>
        <v/>
      </c>
      <c r="D37" s="19" t="n">
        <v>662</v>
      </c>
      <c r="E37" s="18" t="n">
        <v>77.67745838</v>
      </c>
      <c r="F37" s="20" t="n">
        <v>1.53701729</v>
      </c>
      <c r="G37" s="18" t="n">
        <v>12.44443999</v>
      </c>
      <c r="H37" s="20" t="n">
        <v>1.23125162</v>
      </c>
      <c r="I37" s="18" t="s">
        <v>349</v>
      </c>
      <c r="J37" s="20" t="s">
        <v>349</v>
      </c>
      <c r="K37" s="18" t="n">
        <v>0.62306808</v>
      </c>
      <c r="L37" s="20" t="n">
        <v>0.33360061</v>
      </c>
      <c r="M37" s="18" t="n">
        <v>0</v>
      </c>
      <c r="N37" s="20" t="n">
        <v>0</v>
      </c>
      <c r="O37" s="18" t="n">
        <v>0</v>
      </c>
      <c r="P37" s="20" t="n">
        <v>0</v>
      </c>
      <c r="Q37" s="18" t="n">
        <v>9.25503355</v>
      </c>
      <c r="R37" s="20" t="n">
        <v>1.22881629</v>
      </c>
    </row>
    <row r="38" spans="1:18">
      <c r="A38" s="15" t="s">
        <v>380</v>
      </c>
      <c r="B38" s="17" t="n">
        <v>5860</v>
      </c>
      <c r="C38" s="18">
        <f>(4852.0/B38*100)</f>
        <v/>
      </c>
      <c r="D38" s="19" t="n">
        <v>1008</v>
      </c>
      <c r="E38" s="18" t="n">
        <v>70.64051409</v>
      </c>
      <c r="F38" s="20" t="n">
        <v>1.48083653</v>
      </c>
      <c r="G38" s="18" t="n">
        <v>23.89635054</v>
      </c>
      <c r="H38" s="20" t="n">
        <v>1.37082417</v>
      </c>
      <c r="I38" s="18" t="s">
        <v>349</v>
      </c>
      <c r="J38" s="20" t="s">
        <v>349</v>
      </c>
      <c r="K38" s="18" t="n">
        <v>0.52311983</v>
      </c>
      <c r="L38" s="20" t="n">
        <v>0.2814628</v>
      </c>
      <c r="M38" s="18" t="n">
        <v>0</v>
      </c>
      <c r="N38" s="20" t="n">
        <v>0</v>
      </c>
      <c r="O38" s="18" t="n">
        <v>0</v>
      </c>
      <c r="P38" s="20" t="n">
        <v>0</v>
      </c>
      <c r="Q38" s="18" t="n">
        <v>4.94001555</v>
      </c>
      <c r="R38" s="20" t="n">
        <v>0.75000998</v>
      </c>
    </row>
    <row r="39" spans="1:18">
      <c r="A39" s="15" t="s">
        <v>381</v>
      </c>
      <c r="B39" s="17" t="n">
        <v>5895</v>
      </c>
      <c r="C39" s="18">
        <f>(5183.0/B39*100)</f>
        <v/>
      </c>
      <c r="D39" s="19" t="n">
        <v>712</v>
      </c>
      <c r="E39" s="18" t="n">
        <v>88.21044616</v>
      </c>
      <c r="F39" s="20" t="n">
        <v>1.34990281</v>
      </c>
      <c r="G39" s="18" t="n">
        <v>7.71563172</v>
      </c>
      <c r="H39" s="20" t="n">
        <v>1.20340236</v>
      </c>
      <c r="I39" s="18" t="s">
        <v>349</v>
      </c>
      <c r="J39" s="20" t="s">
        <v>349</v>
      </c>
      <c r="K39" s="18" t="n">
        <v>0</v>
      </c>
      <c r="L39" s="20" t="n">
        <v>0</v>
      </c>
      <c r="M39" s="18" t="n">
        <v>0</v>
      </c>
      <c r="N39" s="20" t="n">
        <v>0</v>
      </c>
      <c r="O39" s="18" t="n">
        <v>0</v>
      </c>
      <c r="P39" s="20" t="n">
        <v>0</v>
      </c>
      <c r="Q39" s="18" t="n">
        <v>4.07392212</v>
      </c>
      <c r="R39" s="20" t="n">
        <v>0.77340908</v>
      </c>
    </row>
    <row r="40" spans="1:18">
      <c r="A40" s="15" t="s">
        <v>382</v>
      </c>
      <c r="B40" s="17" t="n">
        <v>14157</v>
      </c>
      <c r="C40" s="18">
        <f>(12406.0/B40*100)</f>
        <v/>
      </c>
      <c r="D40" s="19" t="n">
        <v>1751</v>
      </c>
      <c r="E40" s="18" t="n">
        <v>84.55513829</v>
      </c>
      <c r="F40" s="20" t="n">
        <v>1.40681742</v>
      </c>
      <c r="G40" s="18" t="n">
        <v>11.21978897</v>
      </c>
      <c r="H40" s="20" t="n">
        <v>1.29695037</v>
      </c>
      <c r="I40" s="18" t="s">
        <v>349</v>
      </c>
      <c r="J40" s="20" t="s">
        <v>349</v>
      </c>
      <c r="K40" s="18" t="n">
        <v>0.27140943</v>
      </c>
      <c r="L40" s="20" t="n">
        <v>0.21264748</v>
      </c>
      <c r="M40" s="18" t="n">
        <v>0</v>
      </c>
      <c r="N40" s="20" t="n">
        <v>0</v>
      </c>
      <c r="O40" s="18" t="n">
        <v>0</v>
      </c>
      <c r="P40" s="20" t="n">
        <v>0</v>
      </c>
      <c r="Q40" s="18" t="n">
        <v>3.95366331</v>
      </c>
      <c r="R40" s="20" t="n">
        <v>0.65596478</v>
      </c>
    </row>
    <row r="41" spans="1:18">
      <c r="A41" s="15" t="s">
        <v>383</v>
      </c>
      <c r="B41" s="17" t="n">
        <v>5712</v>
      </c>
      <c r="C41" s="18">
        <f>(5012.0/B41*100)</f>
        <v/>
      </c>
      <c r="D41" s="19" t="n">
        <v>700</v>
      </c>
      <c r="E41" s="18" t="n">
        <v>87.93278997</v>
      </c>
      <c r="F41" s="20" t="n">
        <v>1.39726227</v>
      </c>
      <c r="G41" s="18" t="n">
        <v>10.4035219</v>
      </c>
      <c r="H41" s="20" t="n">
        <v>1.24225803</v>
      </c>
      <c r="I41" s="18" t="s">
        <v>349</v>
      </c>
      <c r="J41" s="20" t="s">
        <v>349</v>
      </c>
      <c r="K41" s="18" t="n">
        <v>0</v>
      </c>
      <c r="L41" s="20" t="n">
        <v>0</v>
      </c>
      <c r="M41" s="18" t="n">
        <v>0</v>
      </c>
      <c r="N41" s="20" t="n">
        <v>0</v>
      </c>
      <c r="O41" s="18" t="n">
        <v>0</v>
      </c>
      <c r="P41" s="20" t="n">
        <v>0</v>
      </c>
      <c r="Q41" s="18" t="n">
        <v>1.66368814</v>
      </c>
      <c r="R41" s="20" t="n">
        <v>0.49123314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(20521.0/B46*100)</f>
        <v/>
      </c>
      <c r="D46" s="19" t="n">
        <v>2620</v>
      </c>
      <c r="E46" s="18" t="n">
        <v>88.00932501</v>
      </c>
      <c r="F46" s="20" t="n">
        <v>0.80917473</v>
      </c>
      <c r="G46" s="18" t="n">
        <v>3.4066582</v>
      </c>
      <c r="H46" s="20" t="n">
        <v>0.4146525</v>
      </c>
      <c r="I46" s="18" t="s">
        <v>349</v>
      </c>
      <c r="J46" s="20" t="s">
        <v>349</v>
      </c>
      <c r="K46" s="18" t="n">
        <v>0.96310742</v>
      </c>
      <c r="L46" s="20" t="n">
        <v>0.23414949</v>
      </c>
      <c r="M46" s="18" t="n">
        <v>0</v>
      </c>
      <c r="N46" s="20" t="n">
        <v>0</v>
      </c>
      <c r="O46" s="18" t="n">
        <v>0</v>
      </c>
      <c r="P46" s="20" t="n">
        <v>0</v>
      </c>
      <c r="Q46" s="18" t="n">
        <v>7.62090937</v>
      </c>
      <c r="R46" s="20" t="n">
        <v>0.62746913</v>
      </c>
    </row>
    <row r="47" spans="1:18">
      <c r="A47" s="15" t="s">
        <v>389</v>
      </c>
      <c r="B47" s="17" t="n">
        <v>5928</v>
      </c>
      <c r="C47" s="18">
        <f>(5189.0/B47*100)</f>
        <v/>
      </c>
      <c r="D47" s="19" t="n">
        <v>739</v>
      </c>
      <c r="E47" s="18" t="n">
        <v>83.51005259999999</v>
      </c>
      <c r="F47" s="20" t="n">
        <v>1.4300704</v>
      </c>
      <c r="G47" s="18" t="n">
        <v>10.39919879</v>
      </c>
      <c r="H47" s="20" t="n">
        <v>1.30532023</v>
      </c>
      <c r="I47" s="18" t="s">
        <v>349</v>
      </c>
      <c r="J47" s="20" t="s">
        <v>349</v>
      </c>
      <c r="K47" s="18" t="n">
        <v>0.12781482</v>
      </c>
      <c r="L47" s="20" t="n">
        <v>0.12746663</v>
      </c>
      <c r="M47" s="18" t="n">
        <v>0</v>
      </c>
      <c r="N47" s="20" t="n">
        <v>0</v>
      </c>
      <c r="O47" s="18" t="n">
        <v>0</v>
      </c>
      <c r="P47" s="20" t="n">
        <v>0</v>
      </c>
      <c r="Q47" s="18" t="n">
        <v>5.96293379</v>
      </c>
      <c r="R47" s="20" t="n">
        <v>0.89138819</v>
      </c>
    </row>
    <row r="48" spans="1:18">
      <c r="A48" s="15" t="s">
        <v>390</v>
      </c>
      <c r="B48" s="17" t="n">
        <v>9841</v>
      </c>
      <c r="C48" s="18">
        <f>(8661.0/B48*100)</f>
        <v/>
      </c>
      <c r="D48" s="19" t="n">
        <v>1180</v>
      </c>
      <c r="E48" s="18" t="n">
        <v>60.91956606</v>
      </c>
      <c r="F48" s="20" t="n">
        <v>2.42404213</v>
      </c>
      <c r="G48" s="18" t="n">
        <v>36.46302111</v>
      </c>
      <c r="H48" s="20" t="n">
        <v>2.54895053</v>
      </c>
      <c r="I48" s="18" t="s">
        <v>349</v>
      </c>
      <c r="J48" s="20" t="s">
        <v>349</v>
      </c>
      <c r="K48" s="18" t="n">
        <v>0.60593705</v>
      </c>
      <c r="L48" s="20" t="n">
        <v>0.36481112</v>
      </c>
      <c r="M48" s="18" t="n">
        <v>0</v>
      </c>
      <c r="N48" s="20" t="n">
        <v>0</v>
      </c>
      <c r="O48" s="18" t="n">
        <v>0</v>
      </c>
      <c r="P48" s="20" t="n">
        <v>0</v>
      </c>
      <c r="Q48" s="18" t="n">
        <v>2.01147578</v>
      </c>
      <c r="R48" s="20" t="n">
        <v>0.5171086</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(10384.0/B50*100)</f>
        <v/>
      </c>
      <c r="D50" s="19" t="n">
        <v>1411</v>
      </c>
      <c r="E50" s="18" t="n">
        <v>88.33785314000001</v>
      </c>
      <c r="F50" s="20" t="n">
        <v>1.3296678</v>
      </c>
      <c r="G50" s="18" t="n">
        <v>6.87526688</v>
      </c>
      <c r="H50" s="20" t="n">
        <v>0.90419949</v>
      </c>
      <c r="I50" s="18" t="s">
        <v>349</v>
      </c>
      <c r="J50" s="20" t="s">
        <v>349</v>
      </c>
      <c r="K50" s="18" t="n">
        <v>1.16964277</v>
      </c>
      <c r="L50" s="20" t="n">
        <v>0.6146574</v>
      </c>
      <c r="M50" s="18" t="n">
        <v>0</v>
      </c>
      <c r="N50" s="20" t="n">
        <v>0</v>
      </c>
      <c r="O50" s="18" t="n">
        <v>0</v>
      </c>
      <c r="P50" s="20" t="n">
        <v>0</v>
      </c>
      <c r="Q50" s="18" t="n">
        <v>3.61723721</v>
      </c>
      <c r="R50" s="20" t="n">
        <v>0.79742854</v>
      </c>
    </row>
    <row r="51" spans="1:18">
      <c r="A51" s="15" t="s">
        <v>393</v>
      </c>
      <c r="B51" s="17" t="n">
        <v>6866</v>
      </c>
      <c r="C51" s="18">
        <f>(6131.0/B51*100)</f>
        <v/>
      </c>
      <c r="D51" s="19" t="n">
        <v>735</v>
      </c>
      <c r="E51" s="18" t="n">
        <v>90.90378736</v>
      </c>
      <c r="F51" s="20" t="n">
        <v>1.18704225</v>
      </c>
      <c r="G51" s="18" t="n">
        <v>4.70209822</v>
      </c>
      <c r="H51" s="20" t="n">
        <v>0.83790346</v>
      </c>
      <c r="I51" s="18" t="s">
        <v>349</v>
      </c>
      <c r="J51" s="20" t="s">
        <v>349</v>
      </c>
      <c r="K51" s="18" t="n">
        <v>0.20756955</v>
      </c>
      <c r="L51" s="20" t="n">
        <v>0.1232454</v>
      </c>
      <c r="M51" s="18" t="n">
        <v>0</v>
      </c>
      <c r="N51" s="20" t="n">
        <v>0</v>
      </c>
      <c r="O51" s="18" t="n">
        <v>0</v>
      </c>
      <c r="P51" s="20" t="n">
        <v>0</v>
      </c>
      <c r="Q51" s="18" t="n">
        <v>4.18654486</v>
      </c>
      <c r="R51" s="20" t="n">
        <v>0.82677143</v>
      </c>
    </row>
    <row r="52" spans="1:18">
      <c r="A52" s="15" t="s">
        <v>394</v>
      </c>
      <c r="B52" s="17" t="n">
        <v>5809</v>
      </c>
      <c r="C52" s="18">
        <f>(5103.0/B52*100)</f>
        <v/>
      </c>
      <c r="D52" s="19" t="n">
        <v>706</v>
      </c>
      <c r="E52" s="18" t="n">
        <v>84.64232998</v>
      </c>
      <c r="F52" s="20" t="n">
        <v>1.38784693</v>
      </c>
      <c r="G52" s="18" t="n">
        <v>9.55517607</v>
      </c>
      <c r="H52" s="20" t="n">
        <v>1.11975003</v>
      </c>
      <c r="I52" s="18" t="s">
        <v>349</v>
      </c>
      <c r="J52" s="20" t="s">
        <v>349</v>
      </c>
      <c r="K52" s="18" t="n">
        <v>0.44601256</v>
      </c>
      <c r="L52" s="20" t="n">
        <v>0.27359366</v>
      </c>
      <c r="M52" s="18" t="n">
        <v>0</v>
      </c>
      <c r="N52" s="20" t="n">
        <v>0</v>
      </c>
      <c r="O52" s="18" t="n">
        <v>0</v>
      </c>
      <c r="P52" s="20" t="n">
        <v>0</v>
      </c>
      <c r="Q52" s="18" t="n">
        <v>5.35648138</v>
      </c>
      <c r="R52" s="20" t="n">
        <v>0.82505777</v>
      </c>
    </row>
    <row r="53" spans="1:18">
      <c r="A53" s="15" t="s">
        <v>395</v>
      </c>
      <c r="B53" s="17" t="n">
        <v>5571</v>
      </c>
      <c r="C53" s="18">
        <f>(4911.0/B53*100)</f>
        <v/>
      </c>
      <c r="D53" s="19" t="n">
        <v>660</v>
      </c>
      <c r="E53" s="18" t="n">
        <v>85.5719419</v>
      </c>
      <c r="F53" s="20" t="n">
        <v>1.31177071</v>
      </c>
      <c r="G53" s="18" t="n">
        <v>7.42093617</v>
      </c>
      <c r="H53" s="20" t="n">
        <v>0.95888449</v>
      </c>
      <c r="I53" s="18" t="s">
        <v>349</v>
      </c>
      <c r="J53" s="20" t="s">
        <v>349</v>
      </c>
      <c r="K53" s="18" t="n">
        <v>0.76875033</v>
      </c>
      <c r="L53" s="20" t="n">
        <v>0.31336829</v>
      </c>
      <c r="M53" s="18" t="n">
        <v>0</v>
      </c>
      <c r="N53" s="20" t="n">
        <v>0</v>
      </c>
      <c r="O53" s="18" t="n">
        <v>0</v>
      </c>
      <c r="P53" s="20" t="n">
        <v>0</v>
      </c>
      <c r="Q53" s="18" t="n">
        <v>6.2383716</v>
      </c>
      <c r="R53" s="20" t="n">
        <v>0.9965778199999999</v>
      </c>
    </row>
    <row r="54" spans="1:18">
      <c r="A54" s="15" t="s">
        <v>396</v>
      </c>
      <c r="B54" s="17" t="n">
        <v>4740</v>
      </c>
      <c r="C54" s="18">
        <f>(3947.0/B54*100)</f>
        <v/>
      </c>
      <c r="D54" s="19" t="n">
        <v>793</v>
      </c>
      <c r="E54" s="18" t="n">
        <v>82.51404044</v>
      </c>
      <c r="F54" s="20" t="n">
        <v>1.50925799</v>
      </c>
      <c r="G54" s="18" t="n">
        <v>1.65075564</v>
      </c>
      <c r="H54" s="20" t="n">
        <v>0.46885625</v>
      </c>
      <c r="I54" s="18" t="s">
        <v>349</v>
      </c>
      <c r="J54" s="20" t="s">
        <v>349</v>
      </c>
      <c r="K54" s="18" t="n">
        <v>5.679388</v>
      </c>
      <c r="L54" s="20" t="n">
        <v>0.99927604</v>
      </c>
      <c r="M54" s="18" t="n">
        <v>0</v>
      </c>
      <c r="N54" s="20" t="n">
        <v>0</v>
      </c>
      <c r="O54" s="18" t="n">
        <v>0</v>
      </c>
      <c r="P54" s="20" t="n">
        <v>0</v>
      </c>
      <c r="Q54" s="18" t="n">
        <v>10.15581592</v>
      </c>
      <c r="R54" s="20" t="n">
        <v>1.22248302</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72.13863957</v>
      </c>
      <c r="F56" s="20" t="n">
        <v>1.72833325</v>
      </c>
      <c r="G56" s="18" t="n">
        <v>26.32090635</v>
      </c>
      <c r="H56" s="20" t="n">
        <v>1.72764754</v>
      </c>
      <c r="I56" s="18" t="s">
        <v>349</v>
      </c>
      <c r="J56" s="20" t="s">
        <v>349</v>
      </c>
      <c r="K56" s="18" t="n">
        <v>0</v>
      </c>
      <c r="L56" s="20" t="n">
        <v>0</v>
      </c>
      <c r="M56" s="18" t="n">
        <v>0</v>
      </c>
      <c r="N56" s="20" t="n">
        <v>0</v>
      </c>
      <c r="O56" s="18" t="n">
        <v>0</v>
      </c>
      <c r="P56" s="20" t="n">
        <v>0</v>
      </c>
      <c r="Q56" s="18" t="n">
        <v>1.54045408</v>
      </c>
      <c r="R56" s="20" t="n">
        <v>0.49699337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(5726.0/B61*100)</f>
        <v/>
      </c>
      <c r="D61" s="19" t="n">
        <v>799</v>
      </c>
      <c r="E61" s="18" t="n">
        <v>82.05391767</v>
      </c>
      <c r="F61" s="20" t="n">
        <v>1.83725765</v>
      </c>
      <c r="G61" s="18" t="n">
        <v>14.27719996</v>
      </c>
      <c r="H61" s="20" t="n">
        <v>1.64338438</v>
      </c>
      <c r="I61" s="18" t="s">
        <v>349</v>
      </c>
      <c r="J61" s="20" t="s">
        <v>349</v>
      </c>
      <c r="K61" s="18" t="n">
        <v>0.33970981</v>
      </c>
      <c r="L61" s="20" t="n">
        <v>0.21528092</v>
      </c>
      <c r="M61" s="18" t="n">
        <v>0</v>
      </c>
      <c r="N61" s="20" t="n">
        <v>0</v>
      </c>
      <c r="O61" s="18" t="n">
        <v>0</v>
      </c>
      <c r="P61" s="20" t="n">
        <v>0</v>
      </c>
      <c r="Q61" s="18" t="n">
        <v>3.32917255</v>
      </c>
      <c r="R61" s="20" t="n">
        <v>0.81074948</v>
      </c>
    </row>
    <row r="62" spans="1:18">
      <c r="A62" s="15" t="s">
        <v>404</v>
      </c>
      <c r="B62" s="17" t="n">
        <v>4476</v>
      </c>
      <c r="C62" s="18">
        <f>(3926.0/B62*100)</f>
        <v/>
      </c>
      <c r="D62" s="19" t="n">
        <v>550</v>
      </c>
      <c r="E62" s="18" t="n">
        <v>71.45856612999999</v>
      </c>
      <c r="F62" s="20" t="n">
        <v>1.78432767</v>
      </c>
      <c r="G62" s="18" t="n">
        <v>27.99948226</v>
      </c>
      <c r="H62" s="20" t="n">
        <v>1.80626256</v>
      </c>
      <c r="I62" s="18" t="s">
        <v>349</v>
      </c>
      <c r="J62" s="20" t="s">
        <v>349</v>
      </c>
      <c r="K62" s="18" t="n">
        <v>0</v>
      </c>
      <c r="L62" s="20" t="n">
        <v>0</v>
      </c>
      <c r="M62" s="18" t="n">
        <v>0</v>
      </c>
      <c r="N62" s="20" t="n">
        <v>0</v>
      </c>
      <c r="O62" s="18" t="n">
        <v>0</v>
      </c>
      <c r="P62" s="20" t="n">
        <v>0</v>
      </c>
      <c r="Q62" s="18" t="n">
        <v>0.54195162</v>
      </c>
      <c r="R62" s="20" t="n">
        <v>0.30969461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80.40863766</v>
      </c>
      <c r="F66" s="20" t="n">
        <v>1.54295757</v>
      </c>
      <c r="G66" s="18" t="n">
        <v>5.92887014</v>
      </c>
      <c r="H66" s="20" t="n">
        <v>0.87679637</v>
      </c>
      <c r="I66" s="18" t="s">
        <v>349</v>
      </c>
      <c r="J66" s="20" t="s">
        <v>349</v>
      </c>
      <c r="K66" s="18" t="n">
        <v>0.54158988</v>
      </c>
      <c r="L66" s="20" t="n">
        <v>0.26982371</v>
      </c>
      <c r="M66" s="18" t="n">
        <v>0</v>
      </c>
      <c r="N66" s="20" t="n">
        <v>0</v>
      </c>
      <c r="O66" s="18" t="n">
        <v>0</v>
      </c>
      <c r="P66" s="20" t="n">
        <v>0</v>
      </c>
      <c r="Q66" s="18" t="n">
        <v>13.12090231</v>
      </c>
      <c r="R66" s="20" t="n">
        <v>1.36489378</v>
      </c>
    </row>
    <row r="67" spans="1:18">
      <c r="A67" s="15" t="s">
        <v>409</v>
      </c>
      <c r="B67" s="17" t="n">
        <v>6971</v>
      </c>
      <c r="C67" s="18">
        <f>(6149.0/B67*100)</f>
        <v/>
      </c>
      <c r="D67" s="19" t="n">
        <v>822</v>
      </c>
      <c r="E67" s="18" t="n">
        <v>80.02195038000001</v>
      </c>
      <c r="F67" s="20" t="n">
        <v>1.62659589</v>
      </c>
      <c r="G67" s="18" t="n">
        <v>14.70053397</v>
      </c>
      <c r="H67" s="20" t="n">
        <v>1.45176317</v>
      </c>
      <c r="I67" s="18" t="s">
        <v>349</v>
      </c>
      <c r="J67" s="20" t="s">
        <v>349</v>
      </c>
      <c r="K67" s="18" t="n">
        <v>0</v>
      </c>
      <c r="L67" s="20" t="n">
        <v>0</v>
      </c>
      <c r="M67" s="18" t="n">
        <v>0</v>
      </c>
      <c r="N67" s="20" t="n">
        <v>0</v>
      </c>
      <c r="O67" s="18" t="n">
        <v>0</v>
      </c>
      <c r="P67" s="20" t="n">
        <v>0</v>
      </c>
      <c r="Q67" s="18" t="n">
        <v>5.27751565</v>
      </c>
      <c r="R67" s="20" t="n">
        <v>0.95207262</v>
      </c>
    </row>
    <row r="68" spans="1:18">
      <c r="A68" s="15" t="s">
        <v>410</v>
      </c>
      <c r="B68" s="17" t="n">
        <v>12083</v>
      </c>
      <c r="C68" s="18">
        <f>(10081.0/B68*100)</f>
        <v/>
      </c>
      <c r="D68" s="19" t="n">
        <v>2002</v>
      </c>
      <c r="E68" s="18" t="n">
        <v>87.55728343</v>
      </c>
      <c r="F68" s="20" t="n">
        <v>0.70031029</v>
      </c>
      <c r="G68" s="18" t="n">
        <v>6.23178765</v>
      </c>
      <c r="H68" s="20" t="n">
        <v>0.50090627</v>
      </c>
      <c r="I68" s="18" t="s">
        <v>349</v>
      </c>
      <c r="J68" s="20" t="s">
        <v>349</v>
      </c>
      <c r="K68" s="18" t="n">
        <v>1.47960501</v>
      </c>
      <c r="L68" s="20" t="n">
        <v>0.27638756</v>
      </c>
      <c r="M68" s="18" t="n">
        <v>0</v>
      </c>
      <c r="N68" s="20" t="n">
        <v>0</v>
      </c>
      <c r="O68" s="18" t="n">
        <v>0</v>
      </c>
      <c r="P68" s="20" t="n">
        <v>0</v>
      </c>
      <c r="Q68" s="18" t="n">
        <v>4.7313239</v>
      </c>
      <c r="R68" s="20" t="n">
        <v>0.46161443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(5309.0/B70*100)</f>
        <v/>
      </c>
      <c r="D70" s="19" t="n">
        <v>727</v>
      </c>
      <c r="E70" s="18" t="n">
        <v>76.67470557999999</v>
      </c>
      <c r="F70" s="20" t="n">
        <v>1.49756064</v>
      </c>
      <c r="G70" s="18" t="n">
        <v>19.19293293</v>
      </c>
      <c r="H70" s="20" t="n">
        <v>1.75790398</v>
      </c>
      <c r="I70" s="18" t="s">
        <v>349</v>
      </c>
      <c r="J70" s="20" t="s">
        <v>349</v>
      </c>
      <c r="K70" s="18" t="n">
        <v>0.16537895</v>
      </c>
      <c r="L70" s="20" t="n">
        <v>0.1168252</v>
      </c>
      <c r="M70" s="18" t="n">
        <v>0</v>
      </c>
      <c r="N70" s="20" t="n">
        <v>0</v>
      </c>
      <c r="O70" s="18" t="n">
        <v>0</v>
      </c>
      <c r="P70" s="20" t="n">
        <v>0</v>
      </c>
      <c r="Q70" s="18" t="n">
        <v>3.96698254</v>
      </c>
      <c r="R70" s="20" t="n">
        <v>0.75686518</v>
      </c>
    </row>
    <row r="71" spans="1:18">
      <c r="A71" s="15" t="s">
        <v>413</v>
      </c>
      <c r="B71" s="17" t="n">
        <v>6115</v>
      </c>
      <c r="C71" s="18">
        <f>(5348.0/B71*100)</f>
        <v/>
      </c>
      <c r="D71" s="19" t="n">
        <v>767</v>
      </c>
      <c r="E71" s="18" t="n">
        <v>62.49539124</v>
      </c>
      <c r="F71" s="20" t="n">
        <v>1.92531988</v>
      </c>
      <c r="G71" s="18" t="n">
        <v>35.62826211</v>
      </c>
      <c r="H71" s="20" t="n">
        <v>1.95302501</v>
      </c>
      <c r="I71" s="18" t="s">
        <v>349</v>
      </c>
      <c r="J71" s="20" t="s">
        <v>349</v>
      </c>
      <c r="K71" s="18" t="n">
        <v>0.13993299</v>
      </c>
      <c r="L71" s="20" t="n">
        <v>0.13310089</v>
      </c>
      <c r="M71" s="18" t="n">
        <v>0</v>
      </c>
      <c r="N71" s="20" t="n">
        <v>0</v>
      </c>
      <c r="O71" s="18" t="n">
        <v>0</v>
      </c>
      <c r="P71" s="20" t="n">
        <v>0</v>
      </c>
      <c r="Q71" s="18" t="n">
        <v>1.73641366</v>
      </c>
      <c r="R71" s="20" t="n">
        <v>0.44283779</v>
      </c>
    </row>
    <row r="72" spans="1:18">
      <c r="A72" s="15" t="s">
        <v>414</v>
      </c>
      <c r="B72" s="17" t="n">
        <v>7708</v>
      </c>
      <c r="C72" s="18">
        <f>(6749.0/B72*100)</f>
        <v/>
      </c>
      <c r="D72" s="19" t="n">
        <v>959</v>
      </c>
      <c r="E72" s="18" t="n">
        <v>60.32891899</v>
      </c>
      <c r="F72" s="20" t="n">
        <v>1.71517247</v>
      </c>
      <c r="G72" s="18" t="n">
        <v>38.45451556</v>
      </c>
      <c r="H72" s="20" t="n">
        <v>1.77582695</v>
      </c>
      <c r="I72" s="18" t="s">
        <v>349</v>
      </c>
      <c r="J72" s="20" t="s">
        <v>349</v>
      </c>
      <c r="K72" s="18" t="n">
        <v>0.18330875</v>
      </c>
      <c r="L72" s="20" t="n">
        <v>0.13294652</v>
      </c>
      <c r="M72" s="18" t="n">
        <v>0</v>
      </c>
      <c r="N72" s="20" t="n">
        <v>0</v>
      </c>
      <c r="O72" s="18" t="n">
        <v>0</v>
      </c>
      <c r="P72" s="20" t="n">
        <v>0</v>
      </c>
      <c r="Q72" s="18" t="n">
        <v>1.0332567</v>
      </c>
      <c r="R72" s="20" t="n">
        <v>0.34387473</v>
      </c>
    </row>
    <row r="73" spans="1:18">
      <c r="A73" s="15" t="s">
        <v>415</v>
      </c>
      <c r="B73" s="17" t="n">
        <v>8249</v>
      </c>
      <c r="C73" s="18">
        <f>(7254.0/B73*100)</f>
        <v/>
      </c>
      <c r="D73" s="19" t="n">
        <v>995</v>
      </c>
      <c r="E73" s="18" t="n">
        <v>86.63824481</v>
      </c>
      <c r="F73" s="20" t="n">
        <v>1.51915171</v>
      </c>
      <c r="G73" s="18" t="n">
        <v>11.93676718</v>
      </c>
      <c r="H73" s="20" t="n">
        <v>1.49322669</v>
      </c>
      <c r="I73" s="18" t="s">
        <v>349</v>
      </c>
      <c r="J73" s="20" t="s">
        <v>349</v>
      </c>
      <c r="K73" s="18" t="n">
        <v>0</v>
      </c>
      <c r="L73" s="20" t="n">
        <v>0</v>
      </c>
      <c r="M73" s="18" t="n">
        <v>0</v>
      </c>
      <c r="N73" s="20" t="n">
        <v>0</v>
      </c>
      <c r="O73" s="18" t="n">
        <v>0</v>
      </c>
      <c r="P73" s="20" t="n">
        <v>0</v>
      </c>
      <c r="Q73" s="18" t="n">
        <v>1.42498801</v>
      </c>
      <c r="R73" s="20" t="n">
        <v>0.5188251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(4738.0/B75*100)</f>
        <v/>
      </c>
      <c r="D75" s="19" t="n">
        <v>637</v>
      </c>
      <c r="E75" s="18" t="n">
        <v>89.31976668</v>
      </c>
      <c r="F75" s="20" t="n">
        <v>1.10485626</v>
      </c>
      <c r="G75" s="18" t="n">
        <v>3.23400059</v>
      </c>
      <c r="H75" s="20" t="n">
        <v>0.60543486</v>
      </c>
      <c r="I75" s="18" t="s">
        <v>349</v>
      </c>
      <c r="J75" s="20" t="s">
        <v>349</v>
      </c>
      <c r="K75" s="18" t="n">
        <v>2.0304162</v>
      </c>
      <c r="L75" s="20" t="n">
        <v>0.57767527</v>
      </c>
      <c r="M75" s="18" t="n">
        <v>0</v>
      </c>
      <c r="N75" s="20" t="n">
        <v>0</v>
      </c>
      <c r="O75" s="18" t="n">
        <v>0</v>
      </c>
      <c r="P75" s="20" t="n">
        <v>0</v>
      </c>
      <c r="Q75" s="18" t="n">
        <v>5.41581653</v>
      </c>
      <c r="R75" s="20" t="n">
        <v>0.94177454</v>
      </c>
    </row>
    <row r="76" spans="1:18">
      <c r="A76" s="15" t="s">
        <v>418</v>
      </c>
      <c r="B76" s="17" t="n">
        <v>14167</v>
      </c>
      <c r="C76" s="18">
        <f>(12434.0/B76*100)</f>
        <v/>
      </c>
      <c r="D76" s="19" t="n">
        <v>1733</v>
      </c>
      <c r="E76" s="18" t="n">
        <v>87.63789047</v>
      </c>
      <c r="F76" s="20" t="n">
        <v>1.03828295</v>
      </c>
      <c r="G76" s="18" t="n">
        <v>8.8134581</v>
      </c>
      <c r="H76" s="20" t="n">
        <v>0.92963472</v>
      </c>
      <c r="I76" s="18" t="s">
        <v>349</v>
      </c>
      <c r="J76" s="20" t="s">
        <v>349</v>
      </c>
      <c r="K76" s="18" t="n">
        <v>0.99856217</v>
      </c>
      <c r="L76" s="20" t="n">
        <v>0.27376858</v>
      </c>
      <c r="M76" s="18" t="n">
        <v>0</v>
      </c>
      <c r="N76" s="20" t="n">
        <v>0</v>
      </c>
      <c r="O76" s="18" t="n">
        <v>0</v>
      </c>
      <c r="P76" s="20" t="n">
        <v>0</v>
      </c>
      <c r="Q76" s="18" t="n">
        <v>2.55008926</v>
      </c>
      <c r="R76" s="20" t="n">
        <v>0.40949428</v>
      </c>
    </row>
    <row r="77" spans="1:18">
      <c r="A77" s="15" t="s">
        <v>419</v>
      </c>
      <c r="B77" s="17" t="n">
        <v>6062</v>
      </c>
      <c r="C77" s="18">
        <f>(5312.0/B77*100)</f>
        <v/>
      </c>
      <c r="D77" s="19" t="n">
        <v>750</v>
      </c>
      <c r="E77" s="18" t="n">
        <v>86.77792477</v>
      </c>
      <c r="F77" s="20" t="n">
        <v>1.17943626</v>
      </c>
      <c r="G77" s="18" t="n">
        <v>4.61450751</v>
      </c>
      <c r="H77" s="20" t="n">
        <v>0.71944765</v>
      </c>
      <c r="I77" s="18" t="s">
        <v>349</v>
      </c>
      <c r="J77" s="20" t="s">
        <v>349</v>
      </c>
      <c r="K77" s="18" t="n">
        <v>0.77818753</v>
      </c>
      <c r="L77" s="20" t="n">
        <v>0.38065058</v>
      </c>
      <c r="M77" s="18" t="n">
        <v>0</v>
      </c>
      <c r="N77" s="20" t="n">
        <v>0</v>
      </c>
      <c r="O77" s="18" t="n">
        <v>0</v>
      </c>
      <c r="P77" s="20" t="n">
        <v>0</v>
      </c>
      <c r="Q77" s="18" t="n">
        <v>7.82938019</v>
      </c>
      <c r="R77" s="20" t="n">
        <v>0.93745687</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(7771.0/B81*100)</f>
        <v/>
      </c>
      <c r="D81" s="19" t="n">
        <v>1090</v>
      </c>
      <c r="E81" s="18" t="n">
        <v>83.142473</v>
      </c>
      <c r="F81" s="20" t="n">
        <v>1.43885695</v>
      </c>
      <c r="G81" s="18" t="n">
        <v>15.450213</v>
      </c>
      <c r="H81" s="20" t="n">
        <v>1.38740042</v>
      </c>
      <c r="I81" s="18" t="s">
        <v>349</v>
      </c>
      <c r="J81" s="20" t="s">
        <v>349</v>
      </c>
      <c r="K81" s="18" t="n">
        <v>0.2701987</v>
      </c>
      <c r="L81" s="20" t="n">
        <v>0.16048556</v>
      </c>
      <c r="M81" s="18" t="n">
        <v>0</v>
      </c>
      <c r="N81" s="20" t="n">
        <v>0</v>
      </c>
      <c r="O81" s="18" t="n">
        <v>0</v>
      </c>
      <c r="P81" s="20" t="n">
        <v>0</v>
      </c>
      <c r="Q81" s="18" t="n">
        <v>1.1371153</v>
      </c>
      <c r="R81" s="20" t="n">
        <v>0.4666786</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(12782.0/B7*100)</f>
        <v/>
      </c>
      <c r="D7" s="19" t="n">
        <v>1748</v>
      </c>
      <c r="E7" s="18" t="n">
        <v>63.70438684</v>
      </c>
      <c r="F7" s="20" t="n">
        <v>1.49152103</v>
      </c>
      <c r="G7" s="18" t="n">
        <v>5.705376</v>
      </c>
      <c r="H7" s="20" t="n">
        <v>0.65195401</v>
      </c>
      <c r="I7" s="18" t="s">
        <v>349</v>
      </c>
      <c r="J7" s="20" t="s">
        <v>349</v>
      </c>
      <c r="K7" s="18" t="n">
        <v>0.62359605</v>
      </c>
      <c r="L7" s="20" t="n">
        <v>0.22233109</v>
      </c>
      <c r="M7" s="18" t="n">
        <v>0.00749403</v>
      </c>
      <c r="N7" s="20" t="n">
        <v>0.00752227</v>
      </c>
      <c r="O7" s="18" t="n">
        <v>0</v>
      </c>
      <c r="P7" s="20" t="n">
        <v>0</v>
      </c>
      <c r="Q7" s="18" t="n">
        <v>29.95914708</v>
      </c>
      <c r="R7" s="20" t="n">
        <v>1.29165261</v>
      </c>
    </row>
    <row r="8" spans="1:18">
      <c r="A8" s="15" t="s">
        <v>350</v>
      </c>
      <c r="B8" s="17" t="n">
        <v>7007</v>
      </c>
      <c r="C8" s="18">
        <f>(6118.0/B8*100)</f>
        <v/>
      </c>
      <c r="D8" s="19" t="n">
        <v>889</v>
      </c>
      <c r="E8" s="18" t="n">
        <v>49.20728966</v>
      </c>
      <c r="F8" s="20" t="n">
        <v>1.86616683</v>
      </c>
      <c r="G8" s="18" t="n">
        <v>8.37040872</v>
      </c>
      <c r="H8" s="20" t="n">
        <v>1.08359204</v>
      </c>
      <c r="I8" s="18" t="s">
        <v>349</v>
      </c>
      <c r="J8" s="20" t="s">
        <v>349</v>
      </c>
      <c r="K8" s="18" t="n">
        <v>0.13246879</v>
      </c>
      <c r="L8" s="20" t="n">
        <v>0.13001405</v>
      </c>
      <c r="M8" s="18" t="n">
        <v>0</v>
      </c>
      <c r="N8" s="20" t="n">
        <v>0</v>
      </c>
      <c r="O8" s="18" t="n">
        <v>0</v>
      </c>
      <c r="P8" s="20" t="n">
        <v>0</v>
      </c>
      <c r="Q8" s="18" t="n">
        <v>42.28983283</v>
      </c>
      <c r="R8" s="20" t="n">
        <v>1.87595835</v>
      </c>
    </row>
    <row r="9" spans="1:18">
      <c r="A9" s="15" t="s">
        <v>351</v>
      </c>
      <c r="B9" s="17" t="n">
        <v>9651</v>
      </c>
      <c r="C9" s="18">
        <f>(8506.0/B9*100)</f>
        <v/>
      </c>
      <c r="D9" s="19" t="n">
        <v>1145</v>
      </c>
      <c r="E9" s="18" t="n">
        <v>54.41465921</v>
      </c>
      <c r="F9" s="20" t="n">
        <v>1.41544561</v>
      </c>
      <c r="G9" s="18" t="n">
        <v>9.497766260000001</v>
      </c>
      <c r="H9" s="20" t="n">
        <v>0.84625926</v>
      </c>
      <c r="I9" s="18" t="s">
        <v>349</v>
      </c>
      <c r="J9" s="20" t="s">
        <v>349</v>
      </c>
      <c r="K9" s="18" t="n">
        <v>0.11578579</v>
      </c>
      <c r="L9" s="20" t="n">
        <v>0.0914851</v>
      </c>
      <c r="M9" s="18" t="n">
        <v>0.0666822</v>
      </c>
      <c r="N9" s="20" t="n">
        <v>0.06726372999999999</v>
      </c>
      <c r="O9" s="18" t="n">
        <v>0</v>
      </c>
      <c r="P9" s="20" t="n">
        <v>0</v>
      </c>
      <c r="Q9" s="18" t="n">
        <v>35.90510655</v>
      </c>
      <c r="R9" s="20" t="n">
        <v>1.33110286</v>
      </c>
    </row>
    <row r="10" spans="1:18">
      <c r="A10" s="15" t="s">
        <v>352</v>
      </c>
      <c r="B10" s="17" t="n">
        <v>20058</v>
      </c>
      <c r="C10" s="18">
        <f>(17588.0/B10*100)</f>
        <v/>
      </c>
      <c r="D10" s="19" t="n">
        <v>2470</v>
      </c>
      <c r="E10" s="18" t="n">
        <v>69.3642677</v>
      </c>
      <c r="F10" s="20" t="n">
        <v>1.31891084</v>
      </c>
      <c r="G10" s="18" t="n">
        <v>7.62108619</v>
      </c>
      <c r="H10" s="20" t="n">
        <v>0.83939892</v>
      </c>
      <c r="I10" s="18" t="s">
        <v>349</v>
      </c>
      <c r="J10" s="20" t="s">
        <v>349</v>
      </c>
      <c r="K10" s="18" t="n">
        <v>0.46781033</v>
      </c>
      <c r="L10" s="20" t="n">
        <v>0.20173923</v>
      </c>
      <c r="M10" s="18" t="n">
        <v>0.05035322</v>
      </c>
      <c r="N10" s="20" t="n">
        <v>0.02387308</v>
      </c>
      <c r="O10" s="18" t="n">
        <v>0</v>
      </c>
      <c r="P10" s="20" t="n">
        <v>0</v>
      </c>
      <c r="Q10" s="18" t="n">
        <v>22.49648256</v>
      </c>
      <c r="R10" s="20" t="n">
        <v>1.16267272</v>
      </c>
    </row>
    <row r="11" spans="1:18">
      <c r="A11" s="15" t="s">
        <v>353</v>
      </c>
      <c r="B11" s="17" t="n">
        <v>7053</v>
      </c>
      <c r="C11" s="18">
        <f>(6184.0/B11*100)</f>
        <v/>
      </c>
      <c r="D11" s="19" t="n">
        <v>869</v>
      </c>
      <c r="E11" s="18" t="n">
        <v>47.30190889</v>
      </c>
      <c r="F11" s="20" t="n">
        <v>1.73193757</v>
      </c>
      <c r="G11" s="18" t="n">
        <v>1.63587556</v>
      </c>
      <c r="H11" s="20" t="n">
        <v>0.39361723</v>
      </c>
      <c r="I11" s="18" t="s">
        <v>349</v>
      </c>
      <c r="J11" s="20" t="s">
        <v>349</v>
      </c>
      <c r="K11" s="18" t="n">
        <v>0.49217678</v>
      </c>
      <c r="L11" s="20" t="n">
        <v>0.2603736</v>
      </c>
      <c r="M11" s="18" t="n">
        <v>0</v>
      </c>
      <c r="N11" s="20" t="n">
        <v>0</v>
      </c>
      <c r="O11" s="18" t="n">
        <v>0</v>
      </c>
      <c r="P11" s="20" t="n">
        <v>0</v>
      </c>
      <c r="Q11" s="18" t="n">
        <v>50.57003877</v>
      </c>
      <c r="R11" s="20" t="n">
        <v>1.72249994</v>
      </c>
    </row>
    <row r="12" spans="1:18">
      <c r="A12" s="15" t="s">
        <v>354</v>
      </c>
      <c r="B12" s="17" t="n">
        <v>6894</v>
      </c>
      <c r="C12" s="18">
        <f>(6052.0/B12*100)</f>
        <v/>
      </c>
      <c r="D12" s="19" t="n">
        <v>842</v>
      </c>
      <c r="E12" s="18" t="n">
        <v>39.63613815</v>
      </c>
      <c r="F12" s="20" t="n">
        <v>1.74315974</v>
      </c>
      <c r="G12" s="18" t="n">
        <v>5.34823737</v>
      </c>
      <c r="H12" s="20" t="n">
        <v>0.80535179</v>
      </c>
      <c r="I12" s="18" t="s">
        <v>349</v>
      </c>
      <c r="J12" s="20" t="s">
        <v>349</v>
      </c>
      <c r="K12" s="18" t="n">
        <v>0.32079695</v>
      </c>
      <c r="L12" s="20" t="n">
        <v>0.2947607</v>
      </c>
      <c r="M12" s="18" t="n">
        <v>0.09608371</v>
      </c>
      <c r="N12" s="20" t="n">
        <v>0.09765910999999999</v>
      </c>
      <c r="O12" s="18" t="n">
        <v>0</v>
      </c>
      <c r="P12" s="20" t="n">
        <v>0</v>
      </c>
      <c r="Q12" s="18" t="n">
        <v>54.59874382</v>
      </c>
      <c r="R12" s="20" t="n">
        <v>1.88767258</v>
      </c>
    </row>
    <row r="13" spans="1:18">
      <c r="A13" s="15" t="s">
        <v>355</v>
      </c>
      <c r="B13" s="17" t="n">
        <v>7161</v>
      </c>
      <c r="C13" s="18">
        <f>(6321.0/B13*100)</f>
        <v/>
      </c>
      <c r="D13" s="19" t="n">
        <v>840</v>
      </c>
      <c r="E13" s="18" t="n">
        <v>58.10354553</v>
      </c>
      <c r="F13" s="20" t="n">
        <v>1.83375545</v>
      </c>
      <c r="G13" s="18" t="n">
        <v>6.21920457</v>
      </c>
      <c r="H13" s="20" t="n">
        <v>1.12149161</v>
      </c>
      <c r="I13" s="18" t="s">
        <v>349</v>
      </c>
      <c r="J13" s="20" t="s">
        <v>349</v>
      </c>
      <c r="K13" s="18" t="n">
        <v>1.01750164</v>
      </c>
      <c r="L13" s="20" t="n">
        <v>0.4877824</v>
      </c>
      <c r="M13" s="18" t="n">
        <v>0.10981893</v>
      </c>
      <c r="N13" s="20" t="n">
        <v>0.11134924</v>
      </c>
      <c r="O13" s="18" t="n">
        <v>0</v>
      </c>
      <c r="P13" s="20" t="n">
        <v>0</v>
      </c>
      <c r="Q13" s="18" t="n">
        <v>34.54992933</v>
      </c>
      <c r="R13" s="20" t="n">
        <v>1.93843932</v>
      </c>
    </row>
    <row r="14" spans="1:18">
      <c r="A14" s="15" t="s">
        <v>356</v>
      </c>
      <c r="B14" s="17" t="n">
        <v>5587</v>
      </c>
      <c r="C14" s="18">
        <f>(4905.0/B14*100)</f>
        <v/>
      </c>
      <c r="D14" s="19" t="n">
        <v>682</v>
      </c>
      <c r="E14" s="18" t="n">
        <v>54.844641</v>
      </c>
      <c r="F14" s="20" t="n">
        <v>1.8059981</v>
      </c>
      <c r="G14" s="18" t="n">
        <v>7.11039632</v>
      </c>
      <c r="H14" s="20" t="n">
        <v>0.84904712</v>
      </c>
      <c r="I14" s="18" t="s">
        <v>349</v>
      </c>
      <c r="J14" s="20" t="s">
        <v>349</v>
      </c>
      <c r="K14" s="18" t="n">
        <v>0</v>
      </c>
      <c r="L14" s="20" t="n">
        <v>0</v>
      </c>
      <c r="M14" s="18" t="n">
        <v>0</v>
      </c>
      <c r="N14" s="20" t="n">
        <v>0</v>
      </c>
      <c r="O14" s="18" t="n">
        <v>0</v>
      </c>
      <c r="P14" s="20" t="n">
        <v>0</v>
      </c>
      <c r="Q14" s="18" t="n">
        <v>38.04496268</v>
      </c>
      <c r="R14" s="20" t="n">
        <v>1.86599185</v>
      </c>
    </row>
    <row r="15" spans="1:18">
      <c r="A15" s="15" t="s">
        <v>357</v>
      </c>
      <c r="B15" s="17" t="n">
        <v>5882</v>
      </c>
      <c r="C15" s="18">
        <f>(5178.0/B15*100)</f>
        <v/>
      </c>
      <c r="D15" s="19" t="n">
        <v>704</v>
      </c>
      <c r="E15" s="18" t="n">
        <v>47.96851864</v>
      </c>
      <c r="F15" s="20" t="n">
        <v>1.76634071</v>
      </c>
      <c r="G15" s="18" t="n">
        <v>6.29363799</v>
      </c>
      <c r="H15" s="20" t="n">
        <v>1.08469035</v>
      </c>
      <c r="I15" s="18" t="s">
        <v>349</v>
      </c>
      <c r="J15" s="20" t="s">
        <v>349</v>
      </c>
      <c r="K15" s="18" t="n">
        <v>0.13616546</v>
      </c>
      <c r="L15" s="20" t="n">
        <v>0.13673131</v>
      </c>
      <c r="M15" s="18" t="n">
        <v>0</v>
      </c>
      <c r="N15" s="20" t="n">
        <v>0</v>
      </c>
      <c r="O15" s="18" t="n">
        <v>0</v>
      </c>
      <c r="P15" s="20" t="n">
        <v>0</v>
      </c>
      <c r="Q15" s="18" t="n">
        <v>45.60167791</v>
      </c>
      <c r="R15" s="20" t="n">
        <v>1.72665904</v>
      </c>
    </row>
    <row r="16" spans="1:18">
      <c r="A16" s="15" t="s">
        <v>358</v>
      </c>
      <c r="B16" s="17" t="n">
        <v>6108</v>
      </c>
      <c r="C16" s="18">
        <f>(5362.0/B16*100)</f>
        <v/>
      </c>
      <c r="D16" s="19" t="n">
        <v>746</v>
      </c>
      <c r="E16" s="18" t="n">
        <v>45.82484829</v>
      </c>
      <c r="F16" s="20" t="n">
        <v>2.09752303</v>
      </c>
      <c r="G16" s="18" t="n">
        <v>6.45136113</v>
      </c>
      <c r="H16" s="20" t="n">
        <v>0.85991114</v>
      </c>
      <c r="I16" s="18" t="s">
        <v>349</v>
      </c>
      <c r="J16" s="20" t="s">
        <v>349</v>
      </c>
      <c r="K16" s="18" t="n">
        <v>0.14259515</v>
      </c>
      <c r="L16" s="20" t="n">
        <v>0.14330492</v>
      </c>
      <c r="M16" s="18" t="n">
        <v>0</v>
      </c>
      <c r="N16" s="20" t="n">
        <v>0</v>
      </c>
      <c r="O16" s="18" t="n">
        <v>0</v>
      </c>
      <c r="P16" s="20" t="n">
        <v>0</v>
      </c>
      <c r="Q16" s="18" t="n">
        <v>47.58119543</v>
      </c>
      <c r="R16" s="20" t="n">
        <v>2.07597686</v>
      </c>
    </row>
    <row r="17" spans="1:18">
      <c r="A17" s="15" t="s">
        <v>359</v>
      </c>
      <c r="B17" s="17" t="n">
        <v>6504</v>
      </c>
      <c r="C17" s="18">
        <f>(5720.0/B17*100)</f>
        <v/>
      </c>
      <c r="D17" s="19" t="n">
        <v>784</v>
      </c>
      <c r="E17" s="18" t="n">
        <v>44.39049698</v>
      </c>
      <c r="F17" s="20" t="n">
        <v>1.63395792</v>
      </c>
      <c r="G17" s="18" t="n">
        <v>6.73829816</v>
      </c>
      <c r="H17" s="20" t="n">
        <v>0.94496884</v>
      </c>
      <c r="I17" s="18" t="s">
        <v>349</v>
      </c>
      <c r="J17" s="20" t="s">
        <v>349</v>
      </c>
      <c r="K17" s="18" t="n">
        <v>0.14871038</v>
      </c>
      <c r="L17" s="20" t="n">
        <v>0.16578417</v>
      </c>
      <c r="M17" s="18" t="n">
        <v>0</v>
      </c>
      <c r="N17" s="20" t="n">
        <v>0</v>
      </c>
      <c r="O17" s="18" t="n">
        <v>0</v>
      </c>
      <c r="P17" s="20" t="n">
        <v>0</v>
      </c>
      <c r="Q17" s="18" t="n">
        <v>48.72249447</v>
      </c>
      <c r="R17" s="20" t="n">
        <v>1.8254038</v>
      </c>
    </row>
    <row r="18" spans="1:18">
      <c r="A18" s="15" t="s">
        <v>360</v>
      </c>
      <c r="B18" s="17" t="n">
        <v>5532</v>
      </c>
      <c r="C18" s="18">
        <f>(4858.0/B18*100)</f>
        <v/>
      </c>
      <c r="D18" s="19" t="n">
        <v>674</v>
      </c>
      <c r="E18" s="18" t="n">
        <v>52.37134021</v>
      </c>
      <c r="F18" s="20" t="n">
        <v>2.16624523</v>
      </c>
      <c r="G18" s="18" t="n">
        <v>4.31607046</v>
      </c>
      <c r="H18" s="20" t="n">
        <v>0.94809702</v>
      </c>
      <c r="I18" s="18" t="s">
        <v>349</v>
      </c>
      <c r="J18" s="20" t="s">
        <v>349</v>
      </c>
      <c r="K18" s="18" t="n">
        <v>0.60844251</v>
      </c>
      <c r="L18" s="20" t="n">
        <v>0.46451043</v>
      </c>
      <c r="M18" s="18" t="n">
        <v>0</v>
      </c>
      <c r="N18" s="20" t="n">
        <v>0</v>
      </c>
      <c r="O18" s="18" t="n">
        <v>0</v>
      </c>
      <c r="P18" s="20" t="n">
        <v>0</v>
      </c>
      <c r="Q18" s="18" t="n">
        <v>42.70414682</v>
      </c>
      <c r="R18" s="20" t="n">
        <v>2.0574393</v>
      </c>
    </row>
    <row r="19" spans="1:18">
      <c r="A19" s="15" t="s">
        <v>361</v>
      </c>
      <c r="B19" s="17" t="n">
        <v>5658</v>
      </c>
      <c r="C19" s="18">
        <f>(4970.0/B19*100)</f>
        <v/>
      </c>
      <c r="D19" s="19" t="n">
        <v>688</v>
      </c>
      <c r="E19" s="18" t="n">
        <v>40.49880464</v>
      </c>
      <c r="F19" s="20" t="n">
        <v>1.85866635</v>
      </c>
      <c r="G19" s="18" t="n">
        <v>7.39319805</v>
      </c>
      <c r="H19" s="20" t="n">
        <v>1.13624915</v>
      </c>
      <c r="I19" s="18" t="s">
        <v>349</v>
      </c>
      <c r="J19" s="20" t="s">
        <v>349</v>
      </c>
      <c r="K19" s="18" t="n">
        <v>0.26888626</v>
      </c>
      <c r="L19" s="20" t="n">
        <v>0.19323789</v>
      </c>
      <c r="M19" s="18" t="n">
        <v>0</v>
      </c>
      <c r="N19" s="20" t="n">
        <v>0</v>
      </c>
      <c r="O19" s="18" t="n">
        <v>0</v>
      </c>
      <c r="P19" s="20" t="n">
        <v>0</v>
      </c>
      <c r="Q19" s="18" t="n">
        <v>51.83911105</v>
      </c>
      <c r="R19" s="20" t="n">
        <v>1.73273381</v>
      </c>
    </row>
    <row r="20" spans="1:18">
      <c r="A20" s="15" t="s">
        <v>362</v>
      </c>
      <c r="B20" s="17" t="n">
        <v>3371</v>
      </c>
      <c r="C20" s="18">
        <f>(2952.0/B20*100)</f>
        <v/>
      </c>
      <c r="D20" s="19" t="n">
        <v>419</v>
      </c>
      <c r="E20" s="18" t="n">
        <v>57.67486278</v>
      </c>
      <c r="F20" s="20" t="n">
        <v>2.32077666</v>
      </c>
      <c r="G20" s="18" t="n">
        <v>3.20365053</v>
      </c>
      <c r="H20" s="20" t="n">
        <v>0.88366344</v>
      </c>
      <c r="I20" s="18" t="s">
        <v>349</v>
      </c>
      <c r="J20" s="20" t="s">
        <v>349</v>
      </c>
      <c r="K20" s="18" t="n">
        <v>0.44772466</v>
      </c>
      <c r="L20" s="20" t="n">
        <v>0.3151388</v>
      </c>
      <c r="M20" s="18" t="n">
        <v>0.36811257</v>
      </c>
      <c r="N20" s="20" t="n">
        <v>0.26897944</v>
      </c>
      <c r="O20" s="18" t="n">
        <v>0</v>
      </c>
      <c r="P20" s="20" t="n">
        <v>0</v>
      </c>
      <c r="Q20" s="18" t="n">
        <v>38.30564946</v>
      </c>
      <c r="R20" s="20" t="n">
        <v>2.26076444</v>
      </c>
    </row>
    <row r="21" spans="1:18">
      <c r="A21" s="15" t="s">
        <v>363</v>
      </c>
      <c r="B21" s="17" t="n">
        <v>5741</v>
      </c>
      <c r="C21" s="18">
        <f>(4756.0/B21*100)</f>
        <v/>
      </c>
      <c r="D21" s="19" t="n">
        <v>985</v>
      </c>
      <c r="E21" s="18" t="n">
        <v>64.30997212</v>
      </c>
      <c r="F21" s="20" t="n">
        <v>1.71115427</v>
      </c>
      <c r="G21" s="18" t="n">
        <v>3.60809382</v>
      </c>
      <c r="H21" s="20" t="n">
        <v>0.6205169</v>
      </c>
      <c r="I21" s="18" t="s">
        <v>349</v>
      </c>
      <c r="J21" s="20" t="s">
        <v>349</v>
      </c>
      <c r="K21" s="18" t="n">
        <v>0.5364335</v>
      </c>
      <c r="L21" s="20" t="n">
        <v>0.24374781</v>
      </c>
      <c r="M21" s="18" t="n">
        <v>0.12236076</v>
      </c>
      <c r="N21" s="20" t="n">
        <v>0.12269714</v>
      </c>
      <c r="O21" s="18" t="n">
        <v>0</v>
      </c>
      <c r="P21" s="20" t="n">
        <v>0</v>
      </c>
      <c r="Q21" s="18" t="n">
        <v>31.4231398</v>
      </c>
      <c r="R21" s="20" t="n">
        <v>1.65815476</v>
      </c>
    </row>
    <row r="22" spans="1:18">
      <c r="A22" s="15" t="s">
        <v>364</v>
      </c>
      <c r="B22" s="17" t="n">
        <v>6598</v>
      </c>
      <c r="C22" s="18">
        <f>(5741.0/B22*100)</f>
        <v/>
      </c>
      <c r="D22" s="19" t="n">
        <v>857</v>
      </c>
      <c r="E22" s="18" t="n">
        <v>44.38842452</v>
      </c>
      <c r="F22" s="20" t="n">
        <v>1.83877929</v>
      </c>
      <c r="G22" s="18" t="n">
        <v>8.70302375</v>
      </c>
      <c r="H22" s="20" t="n">
        <v>1.19284562</v>
      </c>
      <c r="I22" s="18" t="s">
        <v>349</v>
      </c>
      <c r="J22" s="20" t="s">
        <v>349</v>
      </c>
      <c r="K22" s="18" t="n">
        <v>1.41639615</v>
      </c>
      <c r="L22" s="20" t="n">
        <v>0.4864207</v>
      </c>
      <c r="M22" s="18" t="n">
        <v>0</v>
      </c>
      <c r="N22" s="20" t="n">
        <v>0</v>
      </c>
      <c r="O22" s="18" t="n">
        <v>0</v>
      </c>
      <c r="P22" s="20" t="n">
        <v>0</v>
      </c>
      <c r="Q22" s="18" t="n">
        <v>45.49215557</v>
      </c>
      <c r="R22" s="20" t="n">
        <v>1.85002997</v>
      </c>
    </row>
    <row r="23" spans="1:18">
      <c r="A23" s="15" t="s">
        <v>365</v>
      </c>
      <c r="B23" s="17" t="n">
        <v>11583</v>
      </c>
      <c r="C23" s="18">
        <f>(10171.0/B23*100)</f>
        <v/>
      </c>
      <c r="D23" s="19" t="n">
        <v>1412</v>
      </c>
      <c r="E23" s="18" t="n">
        <v>43.29541774</v>
      </c>
      <c r="F23" s="20" t="n">
        <v>1.66193421</v>
      </c>
      <c r="G23" s="18" t="n">
        <v>6.21045736</v>
      </c>
      <c r="H23" s="20" t="n">
        <v>0.77248719</v>
      </c>
      <c r="I23" s="18" t="s">
        <v>349</v>
      </c>
      <c r="J23" s="20" t="s">
        <v>349</v>
      </c>
      <c r="K23" s="18" t="n">
        <v>0.83853397</v>
      </c>
      <c r="L23" s="20" t="n">
        <v>0.24418111</v>
      </c>
      <c r="M23" s="18" t="n">
        <v>0.17243428</v>
      </c>
      <c r="N23" s="20" t="n">
        <v>0.1848988</v>
      </c>
      <c r="O23" s="18" t="n">
        <v>0</v>
      </c>
      <c r="P23" s="20" t="n">
        <v>0</v>
      </c>
      <c r="Q23" s="18" t="n">
        <v>49.48315665</v>
      </c>
      <c r="R23" s="20" t="n">
        <v>1.69757608</v>
      </c>
    </row>
    <row r="24" spans="1:18">
      <c r="A24" s="15" t="s">
        <v>366</v>
      </c>
      <c r="B24" s="17" t="n">
        <v>6647</v>
      </c>
      <c r="C24" s="18">
        <f>(5848.0/B24*100)</f>
        <v/>
      </c>
      <c r="D24" s="19" t="n">
        <v>799</v>
      </c>
      <c r="E24" s="18" t="n">
        <v>46.28564943</v>
      </c>
      <c r="F24" s="20" t="n">
        <v>1.64909021</v>
      </c>
      <c r="G24" s="18" t="n">
        <v>13.22789487</v>
      </c>
      <c r="H24" s="20" t="n">
        <v>1.21034255</v>
      </c>
      <c r="I24" s="18" t="s">
        <v>349</v>
      </c>
      <c r="J24" s="20" t="s">
        <v>349</v>
      </c>
      <c r="K24" s="18" t="n">
        <v>0.11635872</v>
      </c>
      <c r="L24" s="20" t="n">
        <v>0.11813764</v>
      </c>
      <c r="M24" s="18" t="n">
        <v>0</v>
      </c>
      <c r="N24" s="20" t="n">
        <v>0</v>
      </c>
      <c r="O24" s="18" t="n">
        <v>0</v>
      </c>
      <c r="P24" s="20" t="n">
        <v>0</v>
      </c>
      <c r="Q24" s="18" t="n">
        <v>40.37009698</v>
      </c>
      <c r="R24" s="20" t="n">
        <v>1.54657413</v>
      </c>
    </row>
    <row r="25" spans="1:18">
      <c r="A25" s="15" t="s">
        <v>367</v>
      </c>
      <c r="B25" s="17" t="n">
        <v>5581</v>
      </c>
      <c r="C25" s="18">
        <f>(4896.0/B25*100)</f>
        <v/>
      </c>
      <c r="D25" s="19" t="n">
        <v>685</v>
      </c>
      <c r="E25" s="18" t="n">
        <v>48.54441381</v>
      </c>
      <c r="F25" s="20" t="n">
        <v>2.19230765</v>
      </c>
      <c r="G25" s="18" t="n">
        <v>20.15967913</v>
      </c>
      <c r="H25" s="20" t="n">
        <v>1.98259986</v>
      </c>
      <c r="I25" s="18" t="s">
        <v>349</v>
      </c>
      <c r="J25" s="20" t="s">
        <v>349</v>
      </c>
      <c r="K25" s="18" t="n">
        <v>0.43610668</v>
      </c>
      <c r="L25" s="20" t="n">
        <v>0.2870606</v>
      </c>
      <c r="M25" s="18" t="n">
        <v>0</v>
      </c>
      <c r="N25" s="20" t="n">
        <v>0</v>
      </c>
      <c r="O25" s="18" t="n">
        <v>0</v>
      </c>
      <c r="P25" s="20" t="n">
        <v>0</v>
      </c>
      <c r="Q25" s="18" t="n">
        <v>30.85980037</v>
      </c>
      <c r="R25" s="20" t="n">
        <v>1.77960032</v>
      </c>
    </row>
    <row r="26" spans="1:18">
      <c r="A26" s="15" t="s">
        <v>368</v>
      </c>
      <c r="B26" s="17" t="n">
        <v>4869</v>
      </c>
      <c r="C26" s="18">
        <f>(4277.0/B26*100)</f>
        <v/>
      </c>
      <c r="D26" s="19" t="n">
        <v>592</v>
      </c>
      <c r="E26" s="18" t="n">
        <v>58.14868648</v>
      </c>
      <c r="F26" s="20" t="n">
        <v>2.29198254</v>
      </c>
      <c r="G26" s="18" t="n">
        <v>5.67314995</v>
      </c>
      <c r="H26" s="20" t="n">
        <v>1.0596137</v>
      </c>
      <c r="I26" s="18" t="s">
        <v>349</v>
      </c>
      <c r="J26" s="20" t="s">
        <v>349</v>
      </c>
      <c r="K26" s="18" t="n">
        <v>0.31544962</v>
      </c>
      <c r="L26" s="20" t="n">
        <v>0.31019242</v>
      </c>
      <c r="M26" s="18" t="n">
        <v>0.36224285</v>
      </c>
      <c r="N26" s="20" t="n">
        <v>0.28414269</v>
      </c>
      <c r="O26" s="18" t="n">
        <v>0</v>
      </c>
      <c r="P26" s="20" t="n">
        <v>0</v>
      </c>
      <c r="Q26" s="18" t="n">
        <v>35.5004711</v>
      </c>
      <c r="R26" s="20" t="n">
        <v>2.25847671</v>
      </c>
    </row>
    <row r="27" spans="1:18">
      <c r="A27" s="15" t="s">
        <v>369</v>
      </c>
      <c r="B27" s="17" t="n">
        <v>5299</v>
      </c>
      <c r="C27" s="18">
        <f>(4654.0/B27*100)</f>
        <v/>
      </c>
      <c r="D27" s="19" t="n">
        <v>645</v>
      </c>
      <c r="E27" s="18" t="n">
        <v>53.76282065</v>
      </c>
      <c r="F27" s="20" t="n">
        <v>1.88671232</v>
      </c>
      <c r="G27" s="18" t="n">
        <v>5.32887966</v>
      </c>
      <c r="H27" s="20" t="n">
        <v>0.82316565</v>
      </c>
      <c r="I27" s="18" t="s">
        <v>349</v>
      </c>
      <c r="J27" s="20" t="s">
        <v>349</v>
      </c>
      <c r="K27" s="18" t="n">
        <v>0.32024955</v>
      </c>
      <c r="L27" s="20" t="n">
        <v>0.22509895</v>
      </c>
      <c r="M27" s="18" t="n">
        <v>0.15391687</v>
      </c>
      <c r="N27" s="20" t="n">
        <v>0.15283294</v>
      </c>
      <c r="O27" s="18" t="n">
        <v>0</v>
      </c>
      <c r="P27" s="20" t="n">
        <v>0</v>
      </c>
      <c r="Q27" s="18" t="n">
        <v>40.43413327</v>
      </c>
      <c r="R27" s="20" t="n">
        <v>1.89669947</v>
      </c>
    </row>
    <row r="28" spans="1:18">
      <c r="A28" s="15" t="s">
        <v>370</v>
      </c>
      <c r="B28" s="17" t="n">
        <v>7568</v>
      </c>
      <c r="C28" s="18">
        <f>(6645.0/B28*100)</f>
        <v/>
      </c>
      <c r="D28" s="19" t="n">
        <v>923</v>
      </c>
      <c r="E28" s="18" t="n">
        <v>71.96749526000001</v>
      </c>
      <c r="F28" s="20" t="n">
        <v>1.49745516</v>
      </c>
      <c r="G28" s="18" t="n">
        <v>0.5199506</v>
      </c>
      <c r="H28" s="20" t="n">
        <v>0.24581736</v>
      </c>
      <c r="I28" s="18" t="s">
        <v>349</v>
      </c>
      <c r="J28" s="20" t="s">
        <v>349</v>
      </c>
      <c r="K28" s="18" t="n">
        <v>0.44034837</v>
      </c>
      <c r="L28" s="20" t="n">
        <v>0.24465147</v>
      </c>
      <c r="M28" s="18" t="n">
        <v>0</v>
      </c>
      <c r="N28" s="20" t="n">
        <v>0</v>
      </c>
      <c r="O28" s="18" t="n">
        <v>0</v>
      </c>
      <c r="P28" s="20" t="n">
        <v>0</v>
      </c>
      <c r="Q28" s="18" t="n">
        <v>27.07220576</v>
      </c>
      <c r="R28" s="20" t="n">
        <v>1.52684767</v>
      </c>
    </row>
    <row r="29" spans="1:18">
      <c r="A29" s="15" t="s">
        <v>371</v>
      </c>
      <c r="B29" s="17" t="n">
        <v>5385</v>
      </c>
      <c r="C29" s="18">
        <f>(4733.0/B29*100)</f>
        <v/>
      </c>
      <c r="D29" s="19" t="n">
        <v>652</v>
      </c>
      <c r="E29" s="18" t="n">
        <v>71.68809749</v>
      </c>
      <c r="F29" s="20" t="n">
        <v>2.15924483</v>
      </c>
      <c r="G29" s="18" t="n">
        <v>4.78167682</v>
      </c>
      <c r="H29" s="20" t="n">
        <v>0.92602235</v>
      </c>
      <c r="I29" s="18" t="s">
        <v>349</v>
      </c>
      <c r="J29" s="20" t="s">
        <v>349</v>
      </c>
      <c r="K29" s="18" t="n">
        <v>0.66014469</v>
      </c>
      <c r="L29" s="20" t="n">
        <v>0.30873091</v>
      </c>
      <c r="M29" s="18" t="n">
        <v>0</v>
      </c>
      <c r="N29" s="20" t="n">
        <v>0</v>
      </c>
      <c r="O29" s="18" t="n">
        <v>0</v>
      </c>
      <c r="P29" s="20" t="n">
        <v>0</v>
      </c>
      <c r="Q29" s="18" t="n">
        <v>22.87008099</v>
      </c>
      <c r="R29" s="20" t="n">
        <v>1.86517519</v>
      </c>
    </row>
    <row r="30" spans="1:18">
      <c r="A30" s="15" t="s">
        <v>372</v>
      </c>
      <c r="B30" s="17" t="n">
        <v>4520</v>
      </c>
      <c r="C30" s="18">
        <f>(3970.0/B30*100)</f>
        <v/>
      </c>
      <c r="D30" s="19" t="n">
        <v>550</v>
      </c>
      <c r="E30" s="18" t="n">
        <v>55.98318899</v>
      </c>
      <c r="F30" s="20" t="n">
        <v>1.89414564</v>
      </c>
      <c r="G30" s="18" t="n">
        <v>8.37526591</v>
      </c>
      <c r="H30" s="20" t="n">
        <v>1.14513259</v>
      </c>
      <c r="I30" s="18" t="s">
        <v>349</v>
      </c>
      <c r="J30" s="20" t="s">
        <v>349</v>
      </c>
      <c r="K30" s="18" t="n">
        <v>0.40193512</v>
      </c>
      <c r="L30" s="20" t="n">
        <v>0.35685001</v>
      </c>
      <c r="M30" s="18" t="n">
        <v>0</v>
      </c>
      <c r="N30" s="20" t="n">
        <v>0</v>
      </c>
      <c r="O30" s="18" t="n">
        <v>0</v>
      </c>
      <c r="P30" s="20" t="n">
        <v>0</v>
      </c>
      <c r="Q30" s="18" t="n">
        <v>35.23960998</v>
      </c>
      <c r="R30" s="20" t="n">
        <v>1.90384135</v>
      </c>
    </row>
    <row r="31" spans="1:18">
      <c r="A31" s="15" t="s">
        <v>373</v>
      </c>
      <c r="B31" s="17" t="n">
        <v>5456</v>
      </c>
      <c r="C31" s="18">
        <f>(4807.0/B31*100)</f>
        <v/>
      </c>
      <c r="D31" s="19" t="n">
        <v>649</v>
      </c>
      <c r="E31" s="18" t="n">
        <v>59.33834469</v>
      </c>
      <c r="F31" s="20" t="n">
        <v>2.41434459</v>
      </c>
      <c r="G31" s="18" t="n">
        <v>4.16004914</v>
      </c>
      <c r="H31" s="20" t="n">
        <v>0.81277431</v>
      </c>
      <c r="I31" s="18" t="s">
        <v>349</v>
      </c>
      <c r="J31" s="20" t="s">
        <v>349</v>
      </c>
      <c r="K31" s="18" t="n">
        <v>0.83324964</v>
      </c>
      <c r="L31" s="20" t="n">
        <v>0.3882864</v>
      </c>
      <c r="M31" s="18" t="n">
        <v>0.16401586</v>
      </c>
      <c r="N31" s="20" t="n">
        <v>0.16358231</v>
      </c>
      <c r="O31" s="18" t="n">
        <v>0</v>
      </c>
      <c r="P31" s="20" t="n">
        <v>0</v>
      </c>
      <c r="Q31" s="18" t="n">
        <v>35.50434067</v>
      </c>
      <c r="R31" s="20" t="n">
        <v>2.14046077</v>
      </c>
    </row>
    <row r="32" spans="1:18">
      <c r="A32" s="15" t="s">
        <v>374</v>
      </c>
      <c r="B32" s="17" t="n">
        <v>4478</v>
      </c>
      <c r="C32" s="18">
        <f>(3703.0/B32*100)</f>
        <v/>
      </c>
      <c r="D32" s="19" t="n">
        <v>775</v>
      </c>
      <c r="E32" s="18" t="n">
        <v>53.12377692</v>
      </c>
      <c r="F32" s="20" t="n">
        <v>1.91245591</v>
      </c>
      <c r="G32" s="18" t="n">
        <v>6.782578</v>
      </c>
      <c r="H32" s="20" t="n">
        <v>1.08210925</v>
      </c>
      <c r="I32" s="18" t="s">
        <v>349</v>
      </c>
      <c r="J32" s="20" t="s">
        <v>349</v>
      </c>
      <c r="K32" s="18" t="n">
        <v>0.23330797</v>
      </c>
      <c r="L32" s="20" t="n">
        <v>0.16744211</v>
      </c>
      <c r="M32" s="18" t="n">
        <v>0.54602498</v>
      </c>
      <c r="N32" s="20" t="n">
        <v>0.57937362</v>
      </c>
      <c r="O32" s="18" t="n">
        <v>0</v>
      </c>
      <c r="P32" s="20" t="n">
        <v>0</v>
      </c>
      <c r="Q32" s="18" t="n">
        <v>39.31431213</v>
      </c>
      <c r="R32" s="20" t="n">
        <v>2.08028757</v>
      </c>
    </row>
    <row r="33" spans="1:18">
      <c r="A33" s="15" t="s">
        <v>375</v>
      </c>
      <c r="B33" s="17" t="n">
        <v>7325</v>
      </c>
      <c r="C33" s="18">
        <f>(6459.0/B33*100)</f>
        <v/>
      </c>
      <c r="D33" s="19" t="n">
        <v>866</v>
      </c>
      <c r="E33" s="18" t="n">
        <v>50.74197376</v>
      </c>
      <c r="F33" s="20" t="n">
        <v>2.15497956</v>
      </c>
      <c r="G33" s="18" t="n">
        <v>4.89902059</v>
      </c>
      <c r="H33" s="20" t="n">
        <v>0.92076331</v>
      </c>
      <c r="I33" s="18" t="s">
        <v>349</v>
      </c>
      <c r="J33" s="20" t="s">
        <v>349</v>
      </c>
      <c r="K33" s="18" t="n">
        <v>0.35097699</v>
      </c>
      <c r="L33" s="20" t="n">
        <v>0.40846981</v>
      </c>
      <c r="M33" s="18" t="n">
        <v>0</v>
      </c>
      <c r="N33" s="20" t="n">
        <v>0</v>
      </c>
      <c r="O33" s="18" t="n">
        <v>0</v>
      </c>
      <c r="P33" s="20" t="n">
        <v>0</v>
      </c>
      <c r="Q33" s="18" t="n">
        <v>44.00802866</v>
      </c>
      <c r="R33" s="20" t="n">
        <v>2.15093185</v>
      </c>
    </row>
    <row r="34" spans="1:18">
      <c r="A34" s="15" t="s">
        <v>376</v>
      </c>
      <c r="B34" s="17" t="n">
        <v>6350</v>
      </c>
      <c r="C34" s="18">
        <f>(5563.0/B34*100)</f>
        <v/>
      </c>
      <c r="D34" s="19" t="n">
        <v>787</v>
      </c>
      <c r="E34" s="18" t="n">
        <v>52.75194266</v>
      </c>
      <c r="F34" s="20" t="n">
        <v>1.48745936</v>
      </c>
      <c r="G34" s="18" t="n">
        <v>5.04446238</v>
      </c>
      <c r="H34" s="20" t="n">
        <v>1.08710562</v>
      </c>
      <c r="I34" s="18" t="s">
        <v>349</v>
      </c>
      <c r="J34" s="20" t="s">
        <v>349</v>
      </c>
      <c r="K34" s="18" t="n">
        <v>0.24236691</v>
      </c>
      <c r="L34" s="20" t="n">
        <v>0.1744889</v>
      </c>
      <c r="M34" s="18" t="n">
        <v>0</v>
      </c>
      <c r="N34" s="20" t="n">
        <v>0</v>
      </c>
      <c r="O34" s="18" t="n">
        <v>0</v>
      </c>
      <c r="P34" s="20" t="n">
        <v>0</v>
      </c>
      <c r="Q34" s="18" t="n">
        <v>41.96122806</v>
      </c>
      <c r="R34" s="20" t="n">
        <v>1.66356341</v>
      </c>
    </row>
    <row r="35" spans="1:18">
      <c r="A35" s="15" t="s">
        <v>377</v>
      </c>
      <c r="B35" s="17" t="n">
        <v>6406</v>
      </c>
      <c r="C35" s="18">
        <f>(5641.0/B35*100)</f>
        <v/>
      </c>
      <c r="D35" s="19" t="n">
        <v>765</v>
      </c>
      <c r="E35" s="18" t="n">
        <v>46.70025758</v>
      </c>
      <c r="F35" s="20" t="n">
        <v>2.19689612</v>
      </c>
      <c r="G35" s="18" t="n">
        <v>11.51515017</v>
      </c>
      <c r="H35" s="20" t="n">
        <v>1.56746899</v>
      </c>
      <c r="I35" s="18" t="s">
        <v>349</v>
      </c>
      <c r="J35" s="20" t="s">
        <v>349</v>
      </c>
      <c r="K35" s="18" t="n">
        <v>0.19185681</v>
      </c>
      <c r="L35" s="20" t="n">
        <v>0.1146331</v>
      </c>
      <c r="M35" s="18" t="n">
        <v>0.22318393</v>
      </c>
      <c r="N35" s="20" t="n">
        <v>0.22427689</v>
      </c>
      <c r="O35" s="18" t="n">
        <v>0</v>
      </c>
      <c r="P35" s="20" t="n">
        <v>0</v>
      </c>
      <c r="Q35" s="18" t="n">
        <v>41.36955152</v>
      </c>
      <c r="R35" s="20" t="n">
        <v>2.17675936</v>
      </c>
    </row>
    <row r="36" spans="1:18">
      <c r="A36" s="15" t="s">
        <v>378</v>
      </c>
      <c r="B36" s="17" t="n">
        <v>6736</v>
      </c>
      <c r="C36" s="18">
        <f>(5905.0/B36*100)</f>
        <v/>
      </c>
      <c r="D36" s="19" t="n">
        <v>831</v>
      </c>
      <c r="E36" s="18" t="n">
        <v>50.90043808</v>
      </c>
      <c r="F36" s="20" t="n">
        <v>1.65844995</v>
      </c>
      <c r="G36" s="18" t="n">
        <v>3.690732</v>
      </c>
      <c r="H36" s="20" t="n">
        <v>0.55698777</v>
      </c>
      <c r="I36" s="18" t="s">
        <v>349</v>
      </c>
      <c r="J36" s="20" t="s">
        <v>349</v>
      </c>
      <c r="K36" s="18" t="n">
        <v>0.44945366</v>
      </c>
      <c r="L36" s="20" t="n">
        <v>0.31040165</v>
      </c>
      <c r="M36" s="18" t="n">
        <v>0</v>
      </c>
      <c r="N36" s="20" t="n">
        <v>0</v>
      </c>
      <c r="O36" s="18" t="n">
        <v>0</v>
      </c>
      <c r="P36" s="20" t="n">
        <v>0</v>
      </c>
      <c r="Q36" s="18" t="n">
        <v>44.95937626</v>
      </c>
      <c r="R36" s="20" t="n">
        <v>1.80908996</v>
      </c>
    </row>
    <row r="37" spans="1:18">
      <c r="A37" s="15" t="s">
        <v>379</v>
      </c>
      <c r="B37" s="17" t="n">
        <v>5458</v>
      </c>
      <c r="C37" s="18">
        <f>(4797.0/B37*100)</f>
        <v/>
      </c>
      <c r="D37" s="19" t="n">
        <v>661</v>
      </c>
      <c r="E37" s="18" t="n">
        <v>56.93586237</v>
      </c>
      <c r="F37" s="20" t="n">
        <v>2.01598865</v>
      </c>
      <c r="G37" s="18" t="n">
        <v>3.34015438</v>
      </c>
      <c r="H37" s="20" t="n">
        <v>0.6908876</v>
      </c>
      <c r="I37" s="18" t="s">
        <v>349</v>
      </c>
      <c r="J37" s="20" t="s">
        <v>349</v>
      </c>
      <c r="K37" s="18" t="n">
        <v>0.7643892799999999</v>
      </c>
      <c r="L37" s="20" t="n">
        <v>0.36612368</v>
      </c>
      <c r="M37" s="18" t="n">
        <v>0.15508637</v>
      </c>
      <c r="N37" s="20" t="n">
        <v>0.11024088</v>
      </c>
      <c r="O37" s="18" t="n">
        <v>0</v>
      </c>
      <c r="P37" s="20" t="n">
        <v>0</v>
      </c>
      <c r="Q37" s="18" t="n">
        <v>38.8045076</v>
      </c>
      <c r="R37" s="20" t="n">
        <v>1.92933869</v>
      </c>
    </row>
    <row r="38" spans="1:18">
      <c r="A38" s="15" t="s">
        <v>380</v>
      </c>
      <c r="B38" s="17" t="n">
        <v>5860</v>
      </c>
      <c r="C38" s="18">
        <f>(4852.0/B38*100)</f>
        <v/>
      </c>
      <c r="D38" s="19" t="n">
        <v>1008</v>
      </c>
      <c r="E38" s="18" t="n">
        <v>51.82837607</v>
      </c>
      <c r="F38" s="20" t="n">
        <v>1.90780191</v>
      </c>
      <c r="G38" s="18" t="n">
        <v>8.577347850000001</v>
      </c>
      <c r="H38" s="20" t="n">
        <v>0.9351851799999999</v>
      </c>
      <c r="I38" s="18" t="s">
        <v>349</v>
      </c>
      <c r="J38" s="20" t="s">
        <v>349</v>
      </c>
      <c r="K38" s="18" t="n">
        <v>0.61643722</v>
      </c>
      <c r="L38" s="20" t="n">
        <v>0.29630611</v>
      </c>
      <c r="M38" s="18" t="n">
        <v>0</v>
      </c>
      <c r="N38" s="20" t="n">
        <v>0</v>
      </c>
      <c r="O38" s="18" t="n">
        <v>0</v>
      </c>
      <c r="P38" s="20" t="n">
        <v>0</v>
      </c>
      <c r="Q38" s="18" t="n">
        <v>38.97783887</v>
      </c>
      <c r="R38" s="20" t="n">
        <v>1.84232026</v>
      </c>
    </row>
    <row r="39" spans="1:18">
      <c r="A39" s="15" t="s">
        <v>381</v>
      </c>
      <c r="B39" s="17" t="n">
        <v>5895</v>
      </c>
      <c r="C39" s="18">
        <f>(5185.0/B39*100)</f>
        <v/>
      </c>
      <c r="D39" s="19" t="n">
        <v>710</v>
      </c>
      <c r="E39" s="18" t="n">
        <v>57.03182621</v>
      </c>
      <c r="F39" s="20" t="n">
        <v>2.25196016</v>
      </c>
      <c r="G39" s="18" t="n">
        <v>2.32639127</v>
      </c>
      <c r="H39" s="20" t="n">
        <v>0.60497036</v>
      </c>
      <c r="I39" s="18" t="s">
        <v>349</v>
      </c>
      <c r="J39" s="20" t="s">
        <v>349</v>
      </c>
      <c r="K39" s="18" t="n">
        <v>0</v>
      </c>
      <c r="L39" s="20" t="n">
        <v>0</v>
      </c>
      <c r="M39" s="18" t="n">
        <v>0</v>
      </c>
      <c r="N39" s="20" t="n">
        <v>0</v>
      </c>
      <c r="O39" s="18" t="n">
        <v>0</v>
      </c>
      <c r="P39" s="20" t="n">
        <v>0</v>
      </c>
      <c r="Q39" s="18" t="n">
        <v>40.64178252</v>
      </c>
      <c r="R39" s="20" t="n">
        <v>2.27055404</v>
      </c>
    </row>
    <row r="40" spans="1:18">
      <c r="A40" s="15" t="s">
        <v>382</v>
      </c>
      <c r="B40" s="17" t="n">
        <v>14157</v>
      </c>
      <c r="C40" s="18">
        <f>(12406.0/B40*100)</f>
        <v/>
      </c>
      <c r="D40" s="19" t="n">
        <v>1751</v>
      </c>
      <c r="E40" s="18" t="n">
        <v>62.91990087</v>
      </c>
      <c r="F40" s="20" t="n">
        <v>1.65324038</v>
      </c>
      <c r="G40" s="18" t="n">
        <v>3.8068234</v>
      </c>
      <c r="H40" s="20" t="n">
        <v>0.7196468</v>
      </c>
      <c r="I40" s="18" t="s">
        <v>349</v>
      </c>
      <c r="J40" s="20" t="s">
        <v>349</v>
      </c>
      <c r="K40" s="18" t="n">
        <v>0.4475122</v>
      </c>
      <c r="L40" s="20" t="n">
        <v>0.27036904</v>
      </c>
      <c r="M40" s="18" t="n">
        <v>0.26935715</v>
      </c>
      <c r="N40" s="20" t="n">
        <v>0.20825283</v>
      </c>
      <c r="O40" s="18" t="n">
        <v>0</v>
      </c>
      <c r="P40" s="20" t="n">
        <v>0</v>
      </c>
      <c r="Q40" s="18" t="n">
        <v>32.55640639</v>
      </c>
      <c r="R40" s="20" t="n">
        <v>1.49512052</v>
      </c>
    </row>
    <row r="41" spans="1:18">
      <c r="A41" s="15" t="s">
        <v>383</v>
      </c>
      <c r="B41" s="17" t="n">
        <v>5712</v>
      </c>
      <c r="C41" s="18">
        <f>(5014.0/B41*100)</f>
        <v/>
      </c>
      <c r="D41" s="19" t="n">
        <v>698</v>
      </c>
      <c r="E41" s="18" t="n">
        <v>79.90854825</v>
      </c>
      <c r="F41" s="20" t="n">
        <v>1.43010371</v>
      </c>
      <c r="G41" s="18" t="n">
        <v>4.45918138</v>
      </c>
      <c r="H41" s="20" t="n">
        <v>0.76237869</v>
      </c>
      <c r="I41" s="18" t="s">
        <v>349</v>
      </c>
      <c r="J41" s="20" t="s">
        <v>349</v>
      </c>
      <c r="K41" s="18" t="n">
        <v>0</v>
      </c>
      <c r="L41" s="20" t="n">
        <v>0</v>
      </c>
      <c r="M41" s="18" t="n">
        <v>0</v>
      </c>
      <c r="N41" s="20" t="n">
        <v>0</v>
      </c>
      <c r="O41" s="18" t="n">
        <v>0</v>
      </c>
      <c r="P41" s="20" t="n">
        <v>0</v>
      </c>
      <c r="Q41" s="18" t="n">
        <v>15.63227037</v>
      </c>
      <c r="R41" s="20" t="n">
        <v>1.45555284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(20566.0/B46*100)</f>
        <v/>
      </c>
      <c r="D46" s="19" t="n">
        <v>2575</v>
      </c>
      <c r="E46" s="18" t="n">
        <v>53.09021804</v>
      </c>
      <c r="F46" s="20" t="n">
        <v>1.35965529</v>
      </c>
      <c r="G46" s="18" t="n">
        <v>0.46528584</v>
      </c>
      <c r="H46" s="20" t="n">
        <v>0.16027824</v>
      </c>
      <c r="I46" s="18" t="s">
        <v>349</v>
      </c>
      <c r="J46" s="20" t="s">
        <v>349</v>
      </c>
      <c r="K46" s="18" t="n">
        <v>1.30136297</v>
      </c>
      <c r="L46" s="20" t="n">
        <v>0.25705517</v>
      </c>
      <c r="M46" s="18" t="n">
        <v>0.2042842</v>
      </c>
      <c r="N46" s="20" t="n">
        <v>0.13554454</v>
      </c>
      <c r="O46" s="18" t="n">
        <v>0</v>
      </c>
      <c r="P46" s="20" t="n">
        <v>0</v>
      </c>
      <c r="Q46" s="18" t="n">
        <v>44.93884896</v>
      </c>
      <c r="R46" s="20" t="n">
        <v>1.34092209</v>
      </c>
    </row>
    <row r="47" spans="1:18">
      <c r="A47" s="15" t="s">
        <v>389</v>
      </c>
      <c r="B47" s="17" t="n">
        <v>5928</v>
      </c>
      <c r="C47" s="18">
        <f>(5191.0/B47*100)</f>
        <v/>
      </c>
      <c r="D47" s="19" t="n">
        <v>737</v>
      </c>
      <c r="E47" s="18" t="n">
        <v>43.79459159</v>
      </c>
      <c r="F47" s="20" t="n">
        <v>2.060617</v>
      </c>
      <c r="G47" s="18" t="n">
        <v>5.06126374</v>
      </c>
      <c r="H47" s="20" t="n">
        <v>1.05644972</v>
      </c>
      <c r="I47" s="18" t="s">
        <v>349</v>
      </c>
      <c r="J47" s="20" t="s">
        <v>349</v>
      </c>
      <c r="K47" s="18" t="n">
        <v>0.27097047</v>
      </c>
      <c r="L47" s="20" t="n">
        <v>0.20536464</v>
      </c>
      <c r="M47" s="18" t="n">
        <v>0</v>
      </c>
      <c r="N47" s="20" t="n">
        <v>0</v>
      </c>
      <c r="O47" s="18" t="n">
        <v>0</v>
      </c>
      <c r="P47" s="20" t="n">
        <v>0</v>
      </c>
      <c r="Q47" s="18" t="n">
        <v>50.8731742</v>
      </c>
      <c r="R47" s="20" t="n">
        <v>2.04519774</v>
      </c>
    </row>
    <row r="48" spans="1:18">
      <c r="A48" s="15" t="s">
        <v>390</v>
      </c>
      <c r="B48" s="17" t="n">
        <v>9841</v>
      </c>
      <c r="C48" s="18">
        <f>(8661.0/B48*100)</f>
        <v/>
      </c>
      <c r="D48" s="19" t="n">
        <v>1180</v>
      </c>
      <c r="E48" s="18" t="n">
        <v>56.12293243</v>
      </c>
      <c r="F48" s="20" t="n">
        <v>2.14230585</v>
      </c>
      <c r="G48" s="18" t="n">
        <v>25.72266375</v>
      </c>
      <c r="H48" s="20" t="n">
        <v>2.7259298</v>
      </c>
      <c r="I48" s="18" t="s">
        <v>349</v>
      </c>
      <c r="J48" s="20" t="s">
        <v>349</v>
      </c>
      <c r="K48" s="18" t="n">
        <v>0.60593705</v>
      </c>
      <c r="L48" s="20" t="n">
        <v>0.36481112</v>
      </c>
      <c r="M48" s="18" t="n">
        <v>0.1177324</v>
      </c>
      <c r="N48" s="20" t="n">
        <v>0.08245221</v>
      </c>
      <c r="O48" s="18" t="n">
        <v>0</v>
      </c>
      <c r="P48" s="20" t="n">
        <v>0</v>
      </c>
      <c r="Q48" s="18" t="n">
        <v>17.43073437</v>
      </c>
      <c r="R48" s="20" t="n">
        <v>1.50371101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(10389.0/B50*100)</f>
        <v/>
      </c>
      <c r="D50" s="19" t="n">
        <v>1406</v>
      </c>
      <c r="E50" s="18" t="n">
        <v>68.75895998</v>
      </c>
      <c r="F50" s="20" t="n">
        <v>1.64540587</v>
      </c>
      <c r="G50" s="18" t="n">
        <v>0.2524016</v>
      </c>
      <c r="H50" s="20" t="n">
        <v>0.08680728</v>
      </c>
      <c r="I50" s="18" t="s">
        <v>349</v>
      </c>
      <c r="J50" s="20" t="s">
        <v>349</v>
      </c>
      <c r="K50" s="18" t="n">
        <v>1.5820856</v>
      </c>
      <c r="L50" s="20" t="n">
        <v>0.7097781399999999</v>
      </c>
      <c r="M50" s="18" t="n">
        <v>0.76276228</v>
      </c>
      <c r="N50" s="20" t="n">
        <v>0.29707069</v>
      </c>
      <c r="O50" s="18" t="n">
        <v>0</v>
      </c>
      <c r="P50" s="20" t="n">
        <v>0</v>
      </c>
      <c r="Q50" s="18" t="n">
        <v>28.64379054</v>
      </c>
      <c r="R50" s="20" t="n">
        <v>1.57863021</v>
      </c>
    </row>
    <row r="51" spans="1:18">
      <c r="A51" s="15" t="s">
        <v>393</v>
      </c>
      <c r="B51" s="17" t="n">
        <v>6866</v>
      </c>
      <c r="C51" s="18">
        <f>(6134.0/B51*100)</f>
        <v/>
      </c>
      <c r="D51" s="19" t="n">
        <v>732</v>
      </c>
      <c r="E51" s="18" t="n">
        <v>57.93656995</v>
      </c>
      <c r="F51" s="20" t="n">
        <v>1.9700504</v>
      </c>
      <c r="G51" s="18" t="n">
        <v>0.5701675</v>
      </c>
      <c r="H51" s="20" t="n">
        <v>0.29071827</v>
      </c>
      <c r="I51" s="18" t="s">
        <v>349</v>
      </c>
      <c r="J51" s="20" t="s">
        <v>349</v>
      </c>
      <c r="K51" s="18" t="n">
        <v>0.39145342</v>
      </c>
      <c r="L51" s="20" t="n">
        <v>0.2047757</v>
      </c>
      <c r="M51" s="18" t="n">
        <v>0</v>
      </c>
      <c r="N51" s="20" t="n">
        <v>0</v>
      </c>
      <c r="O51" s="18" t="n">
        <v>0</v>
      </c>
      <c r="P51" s="20" t="n">
        <v>0</v>
      </c>
      <c r="Q51" s="18" t="n">
        <v>41.10180913</v>
      </c>
      <c r="R51" s="20" t="n">
        <v>1.97432952</v>
      </c>
    </row>
    <row r="52" spans="1:18">
      <c r="A52" s="15" t="s">
        <v>394</v>
      </c>
      <c r="B52" s="17" t="n">
        <v>5809</v>
      </c>
      <c r="C52" s="18">
        <f>(5104.0/B52*100)</f>
        <v/>
      </c>
      <c r="D52" s="19" t="n">
        <v>705</v>
      </c>
      <c r="E52" s="18" t="n">
        <v>47.51273165</v>
      </c>
      <c r="F52" s="20" t="n">
        <v>1.76437938</v>
      </c>
      <c r="G52" s="18" t="n">
        <v>4.60982406</v>
      </c>
      <c r="H52" s="20" t="n">
        <v>0.92243302</v>
      </c>
      <c r="I52" s="18" t="s">
        <v>349</v>
      </c>
      <c r="J52" s="20" t="s">
        <v>349</v>
      </c>
      <c r="K52" s="18" t="n">
        <v>0.44672467</v>
      </c>
      <c r="L52" s="20" t="n">
        <v>0.2740414</v>
      </c>
      <c r="M52" s="18" t="n">
        <v>0</v>
      </c>
      <c r="N52" s="20" t="n">
        <v>0</v>
      </c>
      <c r="O52" s="18" t="n">
        <v>0</v>
      </c>
      <c r="P52" s="20" t="n">
        <v>0</v>
      </c>
      <c r="Q52" s="18" t="n">
        <v>47.43071962</v>
      </c>
      <c r="R52" s="20" t="n">
        <v>1.78727007</v>
      </c>
    </row>
    <row r="53" spans="1:18">
      <c r="A53" s="15" t="s">
        <v>395</v>
      </c>
      <c r="B53" s="17" t="n">
        <v>5571</v>
      </c>
      <c r="C53" s="18">
        <f>(4910.0/B53*100)</f>
        <v/>
      </c>
      <c r="D53" s="19" t="n">
        <v>661</v>
      </c>
      <c r="E53" s="18" t="n">
        <v>55.1458249</v>
      </c>
      <c r="F53" s="20" t="n">
        <v>1.86108444</v>
      </c>
      <c r="G53" s="18" t="n">
        <v>2.46417068</v>
      </c>
      <c r="H53" s="20" t="n">
        <v>0.7167916600000001</v>
      </c>
      <c r="I53" s="18" t="s">
        <v>349</v>
      </c>
      <c r="J53" s="20" t="s">
        <v>349</v>
      </c>
      <c r="K53" s="18" t="n">
        <v>1.13284326</v>
      </c>
      <c r="L53" s="20" t="n">
        <v>0.40869123</v>
      </c>
      <c r="M53" s="18" t="n">
        <v>0</v>
      </c>
      <c r="N53" s="20" t="n">
        <v>0</v>
      </c>
      <c r="O53" s="18" t="n">
        <v>0</v>
      </c>
      <c r="P53" s="20" t="n">
        <v>0</v>
      </c>
      <c r="Q53" s="18" t="n">
        <v>41.25716116</v>
      </c>
      <c r="R53" s="20" t="n">
        <v>1.78099493</v>
      </c>
    </row>
    <row r="54" spans="1:18">
      <c r="A54" s="15" t="s">
        <v>396</v>
      </c>
      <c r="B54" s="17" t="n">
        <v>4740</v>
      </c>
      <c r="C54" s="18">
        <f>(3947.0/B54*100)</f>
        <v/>
      </c>
      <c r="D54" s="19" t="n">
        <v>793</v>
      </c>
      <c r="E54" s="18" t="n">
        <v>41.72064782</v>
      </c>
      <c r="F54" s="20" t="n">
        <v>2.14490642</v>
      </c>
      <c r="G54" s="18" t="n">
        <v>0.23252096</v>
      </c>
      <c r="H54" s="20" t="n">
        <v>0.1632659</v>
      </c>
      <c r="I54" s="18" t="s">
        <v>349</v>
      </c>
      <c r="J54" s="20" t="s">
        <v>349</v>
      </c>
      <c r="K54" s="18" t="n">
        <v>6.08277774</v>
      </c>
      <c r="L54" s="20" t="n">
        <v>0.99827244</v>
      </c>
      <c r="M54" s="18" t="n">
        <v>0.77728391</v>
      </c>
      <c r="N54" s="20" t="n">
        <v>0.64059307</v>
      </c>
      <c r="O54" s="18" t="n">
        <v>0</v>
      </c>
      <c r="P54" s="20" t="n">
        <v>0</v>
      </c>
      <c r="Q54" s="18" t="n">
        <v>51.18676957</v>
      </c>
      <c r="R54" s="20" t="n">
        <v>2.11808384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56.15879585</v>
      </c>
      <c r="F56" s="20" t="n">
        <v>2.23075316</v>
      </c>
      <c r="G56" s="18" t="n">
        <v>19.5484501</v>
      </c>
      <c r="H56" s="20" t="n">
        <v>1.63607949</v>
      </c>
      <c r="I56" s="18" t="s">
        <v>349</v>
      </c>
      <c r="J56" s="20" t="s">
        <v>349</v>
      </c>
      <c r="K56" s="18" t="n">
        <v>0</v>
      </c>
      <c r="L56" s="20" t="n">
        <v>0</v>
      </c>
      <c r="M56" s="18" t="n">
        <v>0.32470435</v>
      </c>
      <c r="N56" s="20" t="n">
        <v>0.32448868</v>
      </c>
      <c r="O56" s="18" t="n">
        <v>0</v>
      </c>
      <c r="P56" s="20" t="n">
        <v>0</v>
      </c>
      <c r="Q56" s="18" t="n">
        <v>23.9680497</v>
      </c>
      <c r="R56" s="20" t="n">
        <v>1.97393279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(5728.0/B61*100)</f>
        <v/>
      </c>
      <c r="D61" s="19" t="n">
        <v>797</v>
      </c>
      <c r="E61" s="18" t="n">
        <v>52.08573872</v>
      </c>
      <c r="F61" s="20" t="n">
        <v>2.20181661</v>
      </c>
      <c r="G61" s="18" t="n">
        <v>3.77125082</v>
      </c>
      <c r="H61" s="20" t="n">
        <v>0.69082676</v>
      </c>
      <c r="I61" s="18" t="s">
        <v>349</v>
      </c>
      <c r="J61" s="20" t="s">
        <v>349</v>
      </c>
      <c r="K61" s="18" t="n">
        <v>0.34031255</v>
      </c>
      <c r="L61" s="20" t="n">
        <v>0.21562757</v>
      </c>
      <c r="M61" s="18" t="n">
        <v>0</v>
      </c>
      <c r="N61" s="20" t="n">
        <v>0</v>
      </c>
      <c r="O61" s="18" t="n">
        <v>0</v>
      </c>
      <c r="P61" s="20" t="n">
        <v>0</v>
      </c>
      <c r="Q61" s="18" t="n">
        <v>43.80269792</v>
      </c>
      <c r="R61" s="20" t="n">
        <v>2.32543644</v>
      </c>
    </row>
    <row r="62" spans="1:18">
      <c r="A62" s="15" t="s">
        <v>404</v>
      </c>
      <c r="B62" s="17" t="n">
        <v>4476</v>
      </c>
      <c r="C62" s="18">
        <f>(3928.0/B62*100)</f>
        <v/>
      </c>
      <c r="D62" s="19" t="n">
        <v>548</v>
      </c>
      <c r="E62" s="18" t="n">
        <v>66.93527453999999</v>
      </c>
      <c r="F62" s="20" t="n">
        <v>2.09510138</v>
      </c>
      <c r="G62" s="18" t="n">
        <v>19.13538443</v>
      </c>
      <c r="H62" s="20" t="n">
        <v>1.69948981</v>
      </c>
      <c r="I62" s="18" t="s">
        <v>349</v>
      </c>
      <c r="J62" s="20" t="s">
        <v>349</v>
      </c>
      <c r="K62" s="18" t="n">
        <v>0</v>
      </c>
      <c r="L62" s="20" t="n">
        <v>0</v>
      </c>
      <c r="M62" s="18" t="n">
        <v>0.18323469</v>
      </c>
      <c r="N62" s="20" t="n">
        <v>0.18267169</v>
      </c>
      <c r="O62" s="18" t="n">
        <v>0</v>
      </c>
      <c r="P62" s="20" t="n">
        <v>0</v>
      </c>
      <c r="Q62" s="18" t="n">
        <v>13.74610635</v>
      </c>
      <c r="R62" s="20" t="n">
        <v>1.4961449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(4969.0/B66*100)</f>
        <v/>
      </c>
      <c r="D66" s="19" t="n">
        <v>696</v>
      </c>
      <c r="E66" s="18" t="n">
        <v>36.49555999</v>
      </c>
      <c r="F66" s="20" t="n">
        <v>1.85254793</v>
      </c>
      <c r="G66" s="18" t="n">
        <v>2.19147166</v>
      </c>
      <c r="H66" s="20" t="n">
        <v>0.61232069</v>
      </c>
      <c r="I66" s="18" t="s">
        <v>349</v>
      </c>
      <c r="J66" s="20" t="s">
        <v>349</v>
      </c>
      <c r="K66" s="18" t="n">
        <v>0.66904276</v>
      </c>
      <c r="L66" s="20" t="n">
        <v>0.29685866</v>
      </c>
      <c r="M66" s="18" t="n">
        <v>0.4184343</v>
      </c>
      <c r="N66" s="20" t="n">
        <v>0.24166945</v>
      </c>
      <c r="O66" s="18" t="n">
        <v>0</v>
      </c>
      <c r="P66" s="20" t="n">
        <v>0</v>
      </c>
      <c r="Q66" s="18" t="n">
        <v>60.22549128</v>
      </c>
      <c r="R66" s="20" t="n">
        <v>1.66806914</v>
      </c>
    </row>
    <row r="67" spans="1:18">
      <c r="A67" s="15" t="s">
        <v>409</v>
      </c>
      <c r="B67" s="17" t="n">
        <v>6971</v>
      </c>
      <c r="C67" s="18">
        <f>(6163.0/B67*100)</f>
        <v/>
      </c>
      <c r="D67" s="19" t="n">
        <v>808</v>
      </c>
      <c r="E67" s="18" t="n">
        <v>54.78855696</v>
      </c>
      <c r="F67" s="20" t="n">
        <v>1.57577563</v>
      </c>
      <c r="G67" s="18" t="n">
        <v>1.38873449</v>
      </c>
      <c r="H67" s="20" t="n">
        <v>0.40471324</v>
      </c>
      <c r="I67" s="18" t="s">
        <v>349</v>
      </c>
      <c r="J67" s="20" t="s">
        <v>349</v>
      </c>
      <c r="K67" s="18" t="n">
        <v>0</v>
      </c>
      <c r="L67" s="20" t="n">
        <v>0</v>
      </c>
      <c r="M67" s="18" t="n">
        <v>0.09340795</v>
      </c>
      <c r="N67" s="20" t="n">
        <v>0.09356420999999999</v>
      </c>
      <c r="O67" s="18" t="n">
        <v>0</v>
      </c>
      <c r="P67" s="20" t="n">
        <v>0</v>
      </c>
      <c r="Q67" s="18" t="n">
        <v>43.7293006</v>
      </c>
      <c r="R67" s="20" t="n">
        <v>1.62079387</v>
      </c>
    </row>
    <row r="68" spans="1:18">
      <c r="A68" s="15" t="s">
        <v>410</v>
      </c>
      <c r="B68" s="17" t="n">
        <v>12083</v>
      </c>
      <c r="C68" s="18">
        <f>(10081.0/B68*100)</f>
        <v/>
      </c>
      <c r="D68" s="19" t="n">
        <v>2002</v>
      </c>
      <c r="E68" s="18" t="n">
        <v>64.70123515</v>
      </c>
      <c r="F68" s="20" t="n">
        <v>1.04365244</v>
      </c>
      <c r="G68" s="18" t="n">
        <v>1.62858632</v>
      </c>
      <c r="H68" s="20" t="n">
        <v>0.27307252</v>
      </c>
      <c r="I68" s="18" t="s">
        <v>349</v>
      </c>
      <c r="J68" s="20" t="s">
        <v>349</v>
      </c>
      <c r="K68" s="18" t="n">
        <v>1.88318459</v>
      </c>
      <c r="L68" s="20" t="n">
        <v>0.32164246</v>
      </c>
      <c r="M68" s="18" t="n">
        <v>0</v>
      </c>
      <c r="N68" s="20" t="n">
        <v>0</v>
      </c>
      <c r="O68" s="18" t="n">
        <v>0</v>
      </c>
      <c r="P68" s="20" t="n">
        <v>0</v>
      </c>
      <c r="Q68" s="18" t="n">
        <v>31.78699393</v>
      </c>
      <c r="R68" s="20" t="n">
        <v>1.07510328</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(5316.0/B70*100)</f>
        <v/>
      </c>
      <c r="D70" s="19" t="n">
        <v>720</v>
      </c>
      <c r="E70" s="18" t="n">
        <v>51.65263727</v>
      </c>
      <c r="F70" s="20" t="n">
        <v>1.97433945</v>
      </c>
      <c r="G70" s="18" t="n">
        <v>9.9230745</v>
      </c>
      <c r="H70" s="20" t="n">
        <v>1.46692004</v>
      </c>
      <c r="I70" s="18" t="s">
        <v>349</v>
      </c>
      <c r="J70" s="20" t="s">
        <v>349</v>
      </c>
      <c r="K70" s="18" t="n">
        <v>0.16700421</v>
      </c>
      <c r="L70" s="20" t="n">
        <v>0.11796674</v>
      </c>
      <c r="M70" s="18" t="n">
        <v>0.97165978</v>
      </c>
      <c r="N70" s="20" t="n">
        <v>0.32135482</v>
      </c>
      <c r="O70" s="18" t="n">
        <v>0</v>
      </c>
      <c r="P70" s="20" t="n">
        <v>0</v>
      </c>
      <c r="Q70" s="18" t="n">
        <v>37.28562424</v>
      </c>
      <c r="R70" s="20" t="n">
        <v>2.00256253</v>
      </c>
    </row>
    <row r="71" spans="1:18">
      <c r="A71" s="15" t="s">
        <v>413</v>
      </c>
      <c r="B71" s="17" t="n">
        <v>6115</v>
      </c>
      <c r="C71" s="18">
        <f>(5348.0/B71*100)</f>
        <v/>
      </c>
      <c r="D71" s="19" t="n">
        <v>767</v>
      </c>
      <c r="E71" s="18" t="n">
        <v>62.64908901</v>
      </c>
      <c r="F71" s="20" t="n">
        <v>1.73059117</v>
      </c>
      <c r="G71" s="18" t="n">
        <v>21.2444957</v>
      </c>
      <c r="H71" s="20" t="n">
        <v>1.45428869</v>
      </c>
      <c r="I71" s="18" t="s">
        <v>349</v>
      </c>
      <c r="J71" s="20" t="s">
        <v>349</v>
      </c>
      <c r="K71" s="18" t="n">
        <v>0.3483061</v>
      </c>
      <c r="L71" s="20" t="n">
        <v>0.19936316</v>
      </c>
      <c r="M71" s="18" t="n">
        <v>0</v>
      </c>
      <c r="N71" s="20" t="n">
        <v>0</v>
      </c>
      <c r="O71" s="18" t="n">
        <v>0</v>
      </c>
      <c r="P71" s="20" t="n">
        <v>0</v>
      </c>
      <c r="Q71" s="18" t="n">
        <v>15.7581092</v>
      </c>
      <c r="R71" s="20" t="n">
        <v>1.10784894</v>
      </c>
    </row>
    <row r="72" spans="1:18">
      <c r="A72" s="15" t="s">
        <v>414</v>
      </c>
      <c r="B72" s="17" t="n">
        <v>7708</v>
      </c>
      <c r="C72" s="18">
        <f>(6749.0/B72*100)</f>
        <v/>
      </c>
      <c r="D72" s="19" t="n">
        <v>959</v>
      </c>
      <c r="E72" s="18" t="n">
        <v>41.6800255</v>
      </c>
      <c r="F72" s="20" t="n">
        <v>1.73225337</v>
      </c>
      <c r="G72" s="18" t="n">
        <v>34.7403793</v>
      </c>
      <c r="H72" s="20" t="n">
        <v>1.70599925</v>
      </c>
      <c r="I72" s="18" t="s">
        <v>349</v>
      </c>
      <c r="J72" s="20" t="s">
        <v>349</v>
      </c>
      <c r="K72" s="18" t="n">
        <v>0.18330875</v>
      </c>
      <c r="L72" s="20" t="n">
        <v>0.13294652</v>
      </c>
      <c r="M72" s="18" t="n">
        <v>0</v>
      </c>
      <c r="N72" s="20" t="n">
        <v>0</v>
      </c>
      <c r="O72" s="18" t="n">
        <v>0</v>
      </c>
      <c r="P72" s="20" t="n">
        <v>0</v>
      </c>
      <c r="Q72" s="18" t="n">
        <v>23.39628645</v>
      </c>
      <c r="R72" s="20" t="n">
        <v>1.34256911</v>
      </c>
    </row>
    <row r="73" spans="1:18">
      <c r="A73" s="15" t="s">
        <v>415</v>
      </c>
      <c r="B73" s="17" t="n">
        <v>8249</v>
      </c>
      <c r="C73" s="18">
        <f>(7258.0/B73*100)</f>
        <v/>
      </c>
      <c r="D73" s="19" t="n">
        <v>991</v>
      </c>
      <c r="E73" s="18" t="n">
        <v>79.03898335</v>
      </c>
      <c r="F73" s="20" t="n">
        <v>1.4832641</v>
      </c>
      <c r="G73" s="18" t="n">
        <v>2.84418507</v>
      </c>
      <c r="H73" s="20" t="n">
        <v>0.8232668400000001</v>
      </c>
      <c r="I73" s="18" t="s">
        <v>349</v>
      </c>
      <c r="J73" s="20" t="s">
        <v>349</v>
      </c>
      <c r="K73" s="18" t="n">
        <v>0</v>
      </c>
      <c r="L73" s="20" t="n">
        <v>0</v>
      </c>
      <c r="M73" s="18" t="n">
        <v>0.4334366</v>
      </c>
      <c r="N73" s="20" t="n">
        <v>0.29811937</v>
      </c>
      <c r="O73" s="18" t="n">
        <v>0</v>
      </c>
      <c r="P73" s="20" t="n">
        <v>0</v>
      </c>
      <c r="Q73" s="18" t="n">
        <v>17.68339498</v>
      </c>
      <c r="R73" s="20" t="n">
        <v>1.33118298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(4742.0/B75*100)</f>
        <v/>
      </c>
      <c r="D75" s="19" t="n">
        <v>633</v>
      </c>
      <c r="E75" s="18" t="n">
        <v>46.34745647</v>
      </c>
      <c r="F75" s="20" t="n">
        <v>2.33055528</v>
      </c>
      <c r="G75" s="18" t="n">
        <v>0.62851142</v>
      </c>
      <c r="H75" s="20" t="n">
        <v>0.315998</v>
      </c>
      <c r="I75" s="18" t="s">
        <v>349</v>
      </c>
      <c r="J75" s="20" t="s">
        <v>349</v>
      </c>
      <c r="K75" s="18" t="n">
        <v>2.37191835</v>
      </c>
      <c r="L75" s="20" t="n">
        <v>0.6265720299999999</v>
      </c>
      <c r="M75" s="18" t="n">
        <v>0.49526483</v>
      </c>
      <c r="N75" s="20" t="n">
        <v>0.30272802</v>
      </c>
      <c r="O75" s="18" t="n">
        <v>0</v>
      </c>
      <c r="P75" s="20" t="n">
        <v>0</v>
      </c>
      <c r="Q75" s="18" t="n">
        <v>50.15684894</v>
      </c>
      <c r="R75" s="20" t="n">
        <v>2.33576395</v>
      </c>
    </row>
    <row r="76" spans="1:18">
      <c r="A76" s="15" t="s">
        <v>418</v>
      </c>
      <c r="B76" s="17" t="n">
        <v>14167</v>
      </c>
      <c r="C76" s="18">
        <f>(12433.0/B76*100)</f>
        <v/>
      </c>
      <c r="D76" s="19" t="n">
        <v>1734</v>
      </c>
      <c r="E76" s="18" t="n">
        <v>71.41787338</v>
      </c>
      <c r="F76" s="20" t="n">
        <v>1.4315176</v>
      </c>
      <c r="G76" s="18" t="n">
        <v>2.73455576</v>
      </c>
      <c r="H76" s="20" t="n">
        <v>0.50407777</v>
      </c>
      <c r="I76" s="18" t="s">
        <v>349</v>
      </c>
      <c r="J76" s="20" t="s">
        <v>349</v>
      </c>
      <c r="K76" s="18" t="n">
        <v>1.12681392</v>
      </c>
      <c r="L76" s="20" t="n">
        <v>0.29824611</v>
      </c>
      <c r="M76" s="18" t="n">
        <v>0.07210775</v>
      </c>
      <c r="N76" s="20" t="n">
        <v>0.05202059</v>
      </c>
      <c r="O76" s="18" t="n">
        <v>0</v>
      </c>
      <c r="P76" s="20" t="n">
        <v>0</v>
      </c>
      <c r="Q76" s="18" t="n">
        <v>24.64864919</v>
      </c>
      <c r="R76" s="20" t="n">
        <v>1.42250011</v>
      </c>
    </row>
    <row r="77" spans="1:18">
      <c r="A77" s="15" t="s">
        <v>419</v>
      </c>
      <c r="B77" s="17" t="n">
        <v>6062</v>
      </c>
      <c r="C77" s="18">
        <f>(5317.0/B77*100)</f>
        <v/>
      </c>
      <c r="D77" s="19" t="n">
        <v>745</v>
      </c>
      <c r="E77" s="18" t="n">
        <v>42.34210235</v>
      </c>
      <c r="F77" s="20" t="n">
        <v>1.72266154</v>
      </c>
      <c r="G77" s="18" t="n">
        <v>1.59565227</v>
      </c>
      <c r="H77" s="20" t="n">
        <v>0.35474117</v>
      </c>
      <c r="I77" s="18" t="s">
        <v>349</v>
      </c>
      <c r="J77" s="20" t="s">
        <v>349</v>
      </c>
      <c r="K77" s="18" t="n">
        <v>1.48444444</v>
      </c>
      <c r="L77" s="20" t="n">
        <v>0.48421105</v>
      </c>
      <c r="M77" s="18" t="n">
        <v>1.1924535</v>
      </c>
      <c r="N77" s="20" t="n">
        <v>0.35094624</v>
      </c>
      <c r="O77" s="18" t="n">
        <v>0</v>
      </c>
      <c r="P77" s="20" t="n">
        <v>0</v>
      </c>
      <c r="Q77" s="18" t="n">
        <v>53.38534744</v>
      </c>
      <c r="R77" s="20" t="n">
        <v>1.56436608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(7770.0/B81*100)</f>
        <v/>
      </c>
      <c r="D81" s="19" t="n">
        <v>1091</v>
      </c>
      <c r="E81" s="18" t="n">
        <v>85.21110169000001</v>
      </c>
      <c r="F81" s="20" t="n">
        <v>1.4664035</v>
      </c>
      <c r="G81" s="18" t="n">
        <v>1.00483204</v>
      </c>
      <c r="H81" s="20" t="n">
        <v>0.35493973</v>
      </c>
      <c r="I81" s="18" t="s">
        <v>349</v>
      </c>
      <c r="J81" s="20" t="s">
        <v>349</v>
      </c>
      <c r="K81" s="18" t="n">
        <v>0.26988418</v>
      </c>
      <c r="L81" s="20" t="n">
        <v>0.16030131</v>
      </c>
      <c r="M81" s="18" t="n">
        <v>0</v>
      </c>
      <c r="N81" s="20" t="n">
        <v>0</v>
      </c>
      <c r="O81" s="18" t="n">
        <v>0</v>
      </c>
      <c r="P81" s="20" t="n">
        <v>0</v>
      </c>
      <c r="Q81" s="18" t="n">
        <v>13.51418209</v>
      </c>
      <c r="R81" s="20" t="n">
        <v>1.48663252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489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(12787.0/B7*100)</f>
        <v/>
      </c>
      <c r="D7" s="19" t="n">
        <v>1743</v>
      </c>
      <c r="E7" s="18" t="n">
        <v>51.06276215</v>
      </c>
      <c r="F7" s="20" t="n">
        <v>1.57039498</v>
      </c>
      <c r="G7" s="18" t="n">
        <v>46.7681312</v>
      </c>
      <c r="H7" s="20" t="n">
        <v>1.45716074</v>
      </c>
      <c r="I7" s="18" t="s">
        <v>349</v>
      </c>
      <c r="J7" s="20" t="s">
        <v>349</v>
      </c>
      <c r="K7" s="18" t="n">
        <v>0.63456911</v>
      </c>
      <c r="L7" s="20" t="n">
        <v>0.22309509</v>
      </c>
      <c r="M7" s="18" t="n">
        <v>0</v>
      </c>
      <c r="N7" s="20" t="n">
        <v>0</v>
      </c>
      <c r="O7" s="18" t="n">
        <v>0</v>
      </c>
      <c r="P7" s="20" t="n">
        <v>0</v>
      </c>
      <c r="Q7" s="18" t="n">
        <v>1.53453754</v>
      </c>
      <c r="R7" s="20" t="n">
        <v>0.37132167</v>
      </c>
    </row>
    <row r="8" spans="1:18">
      <c r="A8" s="15" t="s">
        <v>350</v>
      </c>
      <c r="B8" s="17" t="n">
        <v>7007</v>
      </c>
      <c r="C8" s="18">
        <f>(6105.0/B8*100)</f>
        <v/>
      </c>
      <c r="D8" s="19" t="n">
        <v>902</v>
      </c>
      <c r="E8" s="18" t="n">
        <v>70.72462916000001</v>
      </c>
      <c r="F8" s="20" t="n">
        <v>1.83246553</v>
      </c>
      <c r="G8" s="18" t="n">
        <v>26.7511605</v>
      </c>
      <c r="H8" s="20" t="n">
        <v>1.83132537</v>
      </c>
      <c r="I8" s="18" t="s">
        <v>349</v>
      </c>
      <c r="J8" s="20" t="s">
        <v>349</v>
      </c>
      <c r="K8" s="18" t="n">
        <v>0.69382286</v>
      </c>
      <c r="L8" s="20" t="n">
        <v>0.57436436</v>
      </c>
      <c r="M8" s="18" t="n">
        <v>0</v>
      </c>
      <c r="N8" s="20" t="n">
        <v>0</v>
      </c>
      <c r="O8" s="18" t="n">
        <v>0</v>
      </c>
      <c r="P8" s="20" t="n">
        <v>0</v>
      </c>
      <c r="Q8" s="18" t="n">
        <v>1.83038748</v>
      </c>
      <c r="R8" s="20" t="n">
        <v>0.5366123699999999</v>
      </c>
    </row>
    <row r="9" spans="1:18">
      <c r="A9" s="15" t="s">
        <v>351</v>
      </c>
      <c r="B9" s="17" t="n">
        <v>9651</v>
      </c>
      <c r="C9" s="18">
        <f>(8273.0/B9*100)</f>
        <v/>
      </c>
      <c r="D9" s="19" t="n">
        <v>1378</v>
      </c>
      <c r="E9" s="18" t="n">
        <v>60.42354919</v>
      </c>
      <c r="F9" s="20" t="n">
        <v>1.62462345</v>
      </c>
      <c r="G9" s="18" t="n">
        <v>36.07735658</v>
      </c>
      <c r="H9" s="20" t="n">
        <v>1.60797255</v>
      </c>
      <c r="I9" s="18" t="s">
        <v>349</v>
      </c>
      <c r="J9" s="20" t="s">
        <v>349</v>
      </c>
      <c r="K9" s="18" t="n">
        <v>1.94233349</v>
      </c>
      <c r="L9" s="20" t="n">
        <v>0.62102382</v>
      </c>
      <c r="M9" s="18" t="n">
        <v>0</v>
      </c>
      <c r="N9" s="20" t="n">
        <v>0</v>
      </c>
      <c r="O9" s="18" t="n">
        <v>0</v>
      </c>
      <c r="P9" s="20" t="n">
        <v>0</v>
      </c>
      <c r="Q9" s="18" t="n">
        <v>1.55676074</v>
      </c>
      <c r="R9" s="20" t="n">
        <v>0.39124912</v>
      </c>
    </row>
    <row r="10" spans="1:18">
      <c r="A10" s="15" t="s">
        <v>352</v>
      </c>
      <c r="B10" s="17" t="n">
        <v>20058</v>
      </c>
      <c r="C10" s="18">
        <f>(17592.0/B10*100)</f>
        <v/>
      </c>
      <c r="D10" s="19" t="n">
        <v>2466</v>
      </c>
      <c r="E10" s="18" t="n">
        <v>56.87855435</v>
      </c>
      <c r="F10" s="20" t="n">
        <v>1.47714486</v>
      </c>
      <c r="G10" s="18" t="n">
        <v>41.74365177</v>
      </c>
      <c r="H10" s="20" t="n">
        <v>1.45042535</v>
      </c>
      <c r="I10" s="18" t="s">
        <v>349</v>
      </c>
      <c r="J10" s="20" t="s">
        <v>349</v>
      </c>
      <c r="K10" s="18" t="n">
        <v>0.53508029</v>
      </c>
      <c r="L10" s="20" t="n">
        <v>0.21153872</v>
      </c>
      <c r="M10" s="18" t="n">
        <v>0</v>
      </c>
      <c r="N10" s="20" t="n">
        <v>0</v>
      </c>
      <c r="O10" s="18" t="n">
        <v>0</v>
      </c>
      <c r="P10" s="20" t="n">
        <v>0</v>
      </c>
      <c r="Q10" s="18" t="n">
        <v>0.84271359</v>
      </c>
      <c r="R10" s="20" t="n">
        <v>0.24760865</v>
      </c>
    </row>
    <row r="11" spans="1:18">
      <c r="A11" s="15" t="s">
        <v>353</v>
      </c>
      <c r="B11" s="17" t="n">
        <v>7053</v>
      </c>
      <c r="C11" s="18">
        <f>(6186.0/B11*100)</f>
        <v/>
      </c>
      <c r="D11" s="19" t="n">
        <v>867</v>
      </c>
      <c r="E11" s="18" t="n">
        <v>65.36259475999999</v>
      </c>
      <c r="F11" s="20" t="n">
        <v>2.02834091</v>
      </c>
      <c r="G11" s="18" t="n">
        <v>32.23223583</v>
      </c>
      <c r="H11" s="20" t="n">
        <v>1.94303123</v>
      </c>
      <c r="I11" s="18" t="s">
        <v>349</v>
      </c>
      <c r="J11" s="20" t="s">
        <v>349</v>
      </c>
      <c r="K11" s="18" t="n">
        <v>0.4934562</v>
      </c>
      <c r="L11" s="20" t="n">
        <v>0.26109799</v>
      </c>
      <c r="M11" s="18" t="n">
        <v>0</v>
      </c>
      <c r="N11" s="20" t="n">
        <v>0</v>
      </c>
      <c r="O11" s="18" t="n">
        <v>0</v>
      </c>
      <c r="P11" s="20" t="n">
        <v>0</v>
      </c>
      <c r="Q11" s="18" t="n">
        <v>1.91171321</v>
      </c>
      <c r="R11" s="20" t="n">
        <v>0.5500787499999999</v>
      </c>
    </row>
    <row r="12" spans="1:18">
      <c r="A12" s="15" t="s">
        <v>354</v>
      </c>
      <c r="B12" s="17" t="n">
        <v>6894</v>
      </c>
      <c r="C12" s="18">
        <f>(5973.0/B12*100)</f>
        <v/>
      </c>
      <c r="D12" s="19" t="n">
        <v>921</v>
      </c>
      <c r="E12" s="18" t="n">
        <v>57.90904713</v>
      </c>
      <c r="F12" s="20" t="n">
        <v>2.07678534</v>
      </c>
      <c r="G12" s="18" t="n">
        <v>39.87757466</v>
      </c>
      <c r="H12" s="20" t="n">
        <v>2.10553976</v>
      </c>
      <c r="I12" s="18" t="s">
        <v>349</v>
      </c>
      <c r="J12" s="20" t="s">
        <v>349</v>
      </c>
      <c r="K12" s="18" t="n">
        <v>0.8697519</v>
      </c>
      <c r="L12" s="20" t="n">
        <v>0.49660807</v>
      </c>
      <c r="M12" s="18" t="n">
        <v>0</v>
      </c>
      <c r="N12" s="20" t="n">
        <v>0</v>
      </c>
      <c r="O12" s="18" t="n">
        <v>0</v>
      </c>
      <c r="P12" s="20" t="n">
        <v>0</v>
      </c>
      <c r="Q12" s="18" t="n">
        <v>1.34362631</v>
      </c>
      <c r="R12" s="20" t="n">
        <v>0.48205979</v>
      </c>
    </row>
    <row r="13" spans="1:18">
      <c r="A13" s="15" t="s">
        <v>355</v>
      </c>
      <c r="B13" s="17" t="n">
        <v>7161</v>
      </c>
      <c r="C13" s="18">
        <f>(5994.0/B13*100)</f>
        <v/>
      </c>
      <c r="D13" s="19" t="n">
        <v>1167</v>
      </c>
      <c r="E13" s="18" t="n">
        <v>54.12349676</v>
      </c>
      <c r="F13" s="20" t="n">
        <v>2.02698729</v>
      </c>
      <c r="G13" s="18" t="n">
        <v>43.9817128</v>
      </c>
      <c r="H13" s="20" t="n">
        <v>2.08361837</v>
      </c>
      <c r="I13" s="18" t="s">
        <v>349</v>
      </c>
      <c r="J13" s="20" t="s">
        <v>349</v>
      </c>
      <c r="K13" s="18" t="n">
        <v>1.41056803</v>
      </c>
      <c r="L13" s="20" t="n">
        <v>0.45270742</v>
      </c>
      <c r="M13" s="18" t="n">
        <v>0</v>
      </c>
      <c r="N13" s="20" t="n">
        <v>0</v>
      </c>
      <c r="O13" s="18" t="n">
        <v>0</v>
      </c>
      <c r="P13" s="20" t="n">
        <v>0</v>
      </c>
      <c r="Q13" s="18" t="n">
        <v>0.48422241</v>
      </c>
      <c r="R13" s="20" t="n">
        <v>0.23758885</v>
      </c>
    </row>
    <row r="14" spans="1:18">
      <c r="A14" s="15" t="s">
        <v>356</v>
      </c>
      <c r="B14" s="17" t="n">
        <v>5587</v>
      </c>
      <c r="C14" s="18">
        <f>(4906.0/B14*100)</f>
        <v/>
      </c>
      <c r="D14" s="19" t="n">
        <v>681</v>
      </c>
      <c r="E14" s="18" t="n">
        <v>57.20951235</v>
      </c>
      <c r="F14" s="20" t="n">
        <v>2.03083143</v>
      </c>
      <c r="G14" s="18" t="n">
        <v>42.22615533</v>
      </c>
      <c r="H14" s="20" t="n">
        <v>1.9801448</v>
      </c>
      <c r="I14" s="18" t="s">
        <v>349</v>
      </c>
      <c r="J14" s="20" t="s">
        <v>349</v>
      </c>
      <c r="K14" s="18" t="n">
        <v>0</v>
      </c>
      <c r="L14" s="20" t="n">
        <v>0</v>
      </c>
      <c r="M14" s="18" t="n">
        <v>0</v>
      </c>
      <c r="N14" s="20" t="n">
        <v>0</v>
      </c>
      <c r="O14" s="18" t="n">
        <v>0</v>
      </c>
      <c r="P14" s="20" t="n">
        <v>0</v>
      </c>
      <c r="Q14" s="18" t="n">
        <v>0.56433233</v>
      </c>
      <c r="R14" s="20" t="n">
        <v>0.39182806</v>
      </c>
    </row>
    <row r="15" spans="1:18">
      <c r="A15" s="15" t="s">
        <v>357</v>
      </c>
      <c r="B15" s="17" t="n">
        <v>5882</v>
      </c>
      <c r="C15" s="18">
        <f>(5149.0/B15*100)</f>
        <v/>
      </c>
      <c r="D15" s="19" t="n">
        <v>733</v>
      </c>
      <c r="E15" s="18" t="n">
        <v>61.95577274</v>
      </c>
      <c r="F15" s="20" t="n">
        <v>1.75095845</v>
      </c>
      <c r="G15" s="18" t="n">
        <v>35.65576382</v>
      </c>
      <c r="H15" s="20" t="n">
        <v>1.73607811</v>
      </c>
      <c r="I15" s="18" t="s">
        <v>349</v>
      </c>
      <c r="J15" s="20" t="s">
        <v>349</v>
      </c>
      <c r="K15" s="18" t="n">
        <v>1.06188863</v>
      </c>
      <c r="L15" s="20" t="n">
        <v>0.79958539</v>
      </c>
      <c r="M15" s="18" t="n">
        <v>0</v>
      </c>
      <c r="N15" s="20" t="n">
        <v>0</v>
      </c>
      <c r="O15" s="18" t="n">
        <v>0</v>
      </c>
      <c r="P15" s="20" t="n">
        <v>0</v>
      </c>
      <c r="Q15" s="18" t="n">
        <v>1.32657481</v>
      </c>
      <c r="R15" s="20" t="n">
        <v>0.41292589</v>
      </c>
    </row>
    <row r="16" spans="1:18">
      <c r="A16" s="15" t="s">
        <v>358</v>
      </c>
      <c r="B16" s="17" t="n">
        <v>6108</v>
      </c>
      <c r="C16" s="18">
        <f>(5362.0/B16*100)</f>
        <v/>
      </c>
      <c r="D16" s="19" t="n">
        <v>746</v>
      </c>
      <c r="E16" s="18" t="n">
        <v>56.09516668</v>
      </c>
      <c r="F16" s="20" t="n">
        <v>1.68919452</v>
      </c>
      <c r="G16" s="18" t="n">
        <v>42.32875204</v>
      </c>
      <c r="H16" s="20" t="n">
        <v>1.66813737</v>
      </c>
      <c r="I16" s="18" t="s">
        <v>349</v>
      </c>
      <c r="J16" s="20" t="s">
        <v>349</v>
      </c>
      <c r="K16" s="18" t="n">
        <v>0.29092037</v>
      </c>
      <c r="L16" s="20" t="n">
        <v>0.221848</v>
      </c>
      <c r="M16" s="18" t="n">
        <v>0</v>
      </c>
      <c r="N16" s="20" t="n">
        <v>0</v>
      </c>
      <c r="O16" s="18" t="n">
        <v>0</v>
      </c>
      <c r="P16" s="20" t="n">
        <v>0</v>
      </c>
      <c r="Q16" s="18" t="n">
        <v>1.2851609</v>
      </c>
      <c r="R16" s="20" t="n">
        <v>0.39848002</v>
      </c>
    </row>
    <row r="17" spans="1:18">
      <c r="A17" s="15" t="s">
        <v>359</v>
      </c>
      <c r="B17" s="17" t="n">
        <v>6504</v>
      </c>
      <c r="C17" s="18">
        <f>(5587.0/B17*100)</f>
        <v/>
      </c>
      <c r="D17" s="19" t="n">
        <v>917</v>
      </c>
      <c r="E17" s="18" t="n">
        <v>62.99973726</v>
      </c>
      <c r="F17" s="20" t="n">
        <v>1.66020607</v>
      </c>
      <c r="G17" s="18" t="n">
        <v>30.75933597</v>
      </c>
      <c r="H17" s="20" t="n">
        <v>1.51463603</v>
      </c>
      <c r="I17" s="18" t="s">
        <v>349</v>
      </c>
      <c r="J17" s="20" t="s">
        <v>349</v>
      </c>
      <c r="K17" s="18" t="n">
        <v>4.16461838</v>
      </c>
      <c r="L17" s="20" t="n">
        <v>1.13236871</v>
      </c>
      <c r="M17" s="18" t="n">
        <v>0</v>
      </c>
      <c r="N17" s="20" t="n">
        <v>0</v>
      </c>
      <c r="O17" s="18" t="n">
        <v>0</v>
      </c>
      <c r="P17" s="20" t="n">
        <v>0</v>
      </c>
      <c r="Q17" s="18" t="n">
        <v>2.07630839</v>
      </c>
      <c r="R17" s="20" t="n">
        <v>0.49126177</v>
      </c>
    </row>
    <row r="18" spans="1:18">
      <c r="A18" s="15" t="s">
        <v>360</v>
      </c>
      <c r="B18" s="17" t="n">
        <v>5532</v>
      </c>
      <c r="C18" s="18">
        <f>(4864.0/B18*100)</f>
        <v/>
      </c>
      <c r="D18" s="19" t="n">
        <v>668</v>
      </c>
      <c r="E18" s="18" t="n">
        <v>66.84370119</v>
      </c>
      <c r="F18" s="20" t="n">
        <v>1.69920659</v>
      </c>
      <c r="G18" s="18" t="n">
        <v>31.46550819</v>
      </c>
      <c r="H18" s="20" t="n">
        <v>1.7774773</v>
      </c>
      <c r="I18" s="18" t="s">
        <v>349</v>
      </c>
      <c r="J18" s="20" t="s">
        <v>349</v>
      </c>
      <c r="K18" s="18" t="n">
        <v>0.61445012</v>
      </c>
      <c r="L18" s="20" t="n">
        <v>0.46910264</v>
      </c>
      <c r="M18" s="18" t="n">
        <v>0</v>
      </c>
      <c r="N18" s="20" t="n">
        <v>0</v>
      </c>
      <c r="O18" s="18" t="n">
        <v>0</v>
      </c>
      <c r="P18" s="20" t="n">
        <v>0</v>
      </c>
      <c r="Q18" s="18" t="n">
        <v>1.07634049</v>
      </c>
      <c r="R18" s="20" t="n">
        <v>0.3944038</v>
      </c>
    </row>
    <row r="19" spans="1:18">
      <c r="A19" s="15" t="s">
        <v>361</v>
      </c>
      <c r="B19" s="17" t="n">
        <v>5658</v>
      </c>
      <c r="C19" s="18">
        <f>(4971.0/B19*100)</f>
        <v/>
      </c>
      <c r="D19" s="19" t="n">
        <v>687</v>
      </c>
      <c r="E19" s="18" t="n">
        <v>64.7727076</v>
      </c>
      <c r="F19" s="20" t="n">
        <v>2.07977023</v>
      </c>
      <c r="G19" s="18" t="n">
        <v>34.81959882</v>
      </c>
      <c r="H19" s="20" t="n">
        <v>2.03948448</v>
      </c>
      <c r="I19" s="18" t="s">
        <v>349</v>
      </c>
      <c r="J19" s="20" t="s">
        <v>349</v>
      </c>
      <c r="K19" s="18" t="n">
        <v>0.26923864</v>
      </c>
      <c r="L19" s="20" t="n">
        <v>0.19349</v>
      </c>
      <c r="M19" s="18" t="n">
        <v>0</v>
      </c>
      <c r="N19" s="20" t="n">
        <v>0</v>
      </c>
      <c r="O19" s="18" t="n">
        <v>0</v>
      </c>
      <c r="P19" s="20" t="n">
        <v>0</v>
      </c>
      <c r="Q19" s="18" t="n">
        <v>0.13845494</v>
      </c>
      <c r="R19" s="20" t="n">
        <v>0.13825221</v>
      </c>
    </row>
    <row r="20" spans="1:18">
      <c r="A20" s="15" t="s">
        <v>362</v>
      </c>
      <c r="B20" s="17" t="n">
        <v>3371</v>
      </c>
      <c r="C20" s="18">
        <f>(2952.0/B20*100)</f>
        <v/>
      </c>
      <c r="D20" s="19" t="n">
        <v>419</v>
      </c>
      <c r="E20" s="18" t="n">
        <v>53.38031039</v>
      </c>
      <c r="F20" s="20" t="n">
        <v>2.24447583</v>
      </c>
      <c r="G20" s="18" t="n">
        <v>44.25562098</v>
      </c>
      <c r="H20" s="20" t="n">
        <v>2.19327264</v>
      </c>
      <c r="I20" s="18" t="s">
        <v>349</v>
      </c>
      <c r="J20" s="20" t="s">
        <v>349</v>
      </c>
      <c r="K20" s="18" t="n">
        <v>0.44772466</v>
      </c>
      <c r="L20" s="20" t="n">
        <v>0.3151388</v>
      </c>
      <c r="M20" s="18" t="n">
        <v>0</v>
      </c>
      <c r="N20" s="20" t="n">
        <v>0</v>
      </c>
      <c r="O20" s="18" t="n">
        <v>0</v>
      </c>
      <c r="P20" s="20" t="n">
        <v>0</v>
      </c>
      <c r="Q20" s="18" t="n">
        <v>1.91634397</v>
      </c>
      <c r="R20" s="20" t="n">
        <v>0.68485237</v>
      </c>
    </row>
    <row r="21" spans="1:18">
      <c r="A21" s="15" t="s">
        <v>363</v>
      </c>
      <c r="B21" s="17" t="n">
        <v>5741</v>
      </c>
      <c r="C21" s="18">
        <f>(4757.0/B21*100)</f>
        <v/>
      </c>
      <c r="D21" s="19" t="n">
        <v>984</v>
      </c>
      <c r="E21" s="18" t="n">
        <v>50.173664</v>
      </c>
      <c r="F21" s="20" t="n">
        <v>1.68152621</v>
      </c>
      <c r="G21" s="18" t="n">
        <v>48.43092032</v>
      </c>
      <c r="H21" s="20" t="n">
        <v>1.67955578</v>
      </c>
      <c r="I21" s="18" t="s">
        <v>349</v>
      </c>
      <c r="J21" s="20" t="s">
        <v>349</v>
      </c>
      <c r="K21" s="18" t="n">
        <v>0.53706284</v>
      </c>
      <c r="L21" s="20" t="n">
        <v>0.24401912</v>
      </c>
      <c r="M21" s="18" t="n">
        <v>0</v>
      </c>
      <c r="N21" s="20" t="n">
        <v>0</v>
      </c>
      <c r="O21" s="18" t="n">
        <v>0</v>
      </c>
      <c r="P21" s="20" t="n">
        <v>0</v>
      </c>
      <c r="Q21" s="18" t="n">
        <v>0.85835284</v>
      </c>
      <c r="R21" s="20" t="n">
        <v>0.31562189</v>
      </c>
    </row>
    <row r="22" spans="1:18">
      <c r="A22" s="15" t="s">
        <v>364</v>
      </c>
      <c r="B22" s="17" t="n">
        <v>6598</v>
      </c>
      <c r="C22" s="18">
        <f>(5742.0/B22*100)</f>
        <v/>
      </c>
      <c r="D22" s="19" t="n">
        <v>856</v>
      </c>
      <c r="E22" s="18" t="n">
        <v>55.44681418</v>
      </c>
      <c r="F22" s="20" t="n">
        <v>1.82117347</v>
      </c>
      <c r="G22" s="18" t="n">
        <v>39.84296641</v>
      </c>
      <c r="H22" s="20" t="n">
        <v>1.84183569</v>
      </c>
      <c r="I22" s="18" t="s">
        <v>349</v>
      </c>
      <c r="J22" s="20" t="s">
        <v>349</v>
      </c>
      <c r="K22" s="18" t="n">
        <v>1.41769001</v>
      </c>
      <c r="L22" s="20" t="n">
        <v>0.48690171</v>
      </c>
      <c r="M22" s="18" t="n">
        <v>0</v>
      </c>
      <c r="N22" s="20" t="n">
        <v>0</v>
      </c>
      <c r="O22" s="18" t="n">
        <v>0</v>
      </c>
      <c r="P22" s="20" t="n">
        <v>0</v>
      </c>
      <c r="Q22" s="18" t="n">
        <v>3.2925294</v>
      </c>
      <c r="R22" s="20" t="n">
        <v>0.77398346</v>
      </c>
    </row>
    <row r="23" spans="1:18">
      <c r="A23" s="15" t="s">
        <v>365</v>
      </c>
      <c r="B23" s="17" t="n">
        <v>11583</v>
      </c>
      <c r="C23" s="18">
        <f>(10177.0/B23*100)</f>
        <v/>
      </c>
      <c r="D23" s="19" t="n">
        <v>1406</v>
      </c>
      <c r="E23" s="18" t="n">
        <v>58.42377338</v>
      </c>
      <c r="F23" s="20" t="n">
        <v>1.86070839</v>
      </c>
      <c r="G23" s="18" t="n">
        <v>39.44734539</v>
      </c>
      <c r="H23" s="20" t="n">
        <v>1.89488891</v>
      </c>
      <c r="I23" s="18" t="s">
        <v>349</v>
      </c>
      <c r="J23" s="20" t="s">
        <v>349</v>
      </c>
      <c r="K23" s="18" t="n">
        <v>0.84162096</v>
      </c>
      <c r="L23" s="20" t="n">
        <v>0.24465139</v>
      </c>
      <c r="M23" s="18" t="n">
        <v>0</v>
      </c>
      <c r="N23" s="20" t="n">
        <v>0</v>
      </c>
      <c r="O23" s="18" t="n">
        <v>0</v>
      </c>
      <c r="P23" s="20" t="n">
        <v>0</v>
      </c>
      <c r="Q23" s="18" t="n">
        <v>1.28726026</v>
      </c>
      <c r="R23" s="20" t="n">
        <v>0.47134928</v>
      </c>
    </row>
    <row r="24" spans="1:18">
      <c r="A24" s="15" t="s">
        <v>366</v>
      </c>
      <c r="B24" s="17" t="n">
        <v>6647</v>
      </c>
      <c r="C24" s="18">
        <f>(5849.0/B24*100)</f>
        <v/>
      </c>
      <c r="D24" s="19" t="n">
        <v>798</v>
      </c>
      <c r="E24" s="18" t="n">
        <v>33.64125293</v>
      </c>
      <c r="F24" s="20" t="n">
        <v>1.73166125</v>
      </c>
      <c r="G24" s="18" t="n">
        <v>65.67018602</v>
      </c>
      <c r="H24" s="20" t="n">
        <v>1.77468765</v>
      </c>
      <c r="I24" s="18" t="s">
        <v>349</v>
      </c>
      <c r="J24" s="20" t="s">
        <v>349</v>
      </c>
      <c r="K24" s="18" t="n">
        <v>0.1164908</v>
      </c>
      <c r="L24" s="20" t="n">
        <v>0.11827242</v>
      </c>
      <c r="M24" s="18" t="n">
        <v>0</v>
      </c>
      <c r="N24" s="20" t="n">
        <v>0</v>
      </c>
      <c r="O24" s="18" t="n">
        <v>0</v>
      </c>
      <c r="P24" s="20" t="n">
        <v>0</v>
      </c>
      <c r="Q24" s="18" t="n">
        <v>0.57207025</v>
      </c>
      <c r="R24" s="20" t="n">
        <v>0.26264504</v>
      </c>
    </row>
    <row r="25" spans="1:18">
      <c r="A25" s="15" t="s">
        <v>367</v>
      </c>
      <c r="B25" s="17" t="n">
        <v>5581</v>
      </c>
      <c r="C25" s="18">
        <f>(4896.0/B25*100)</f>
        <v/>
      </c>
      <c r="D25" s="19" t="n">
        <v>685</v>
      </c>
      <c r="E25" s="18" t="n">
        <v>31.36149286</v>
      </c>
      <c r="F25" s="20" t="n">
        <v>1.98569582</v>
      </c>
      <c r="G25" s="18" t="n">
        <v>67.62025654</v>
      </c>
      <c r="H25" s="20" t="n">
        <v>1.98463914</v>
      </c>
      <c r="I25" s="18" t="s">
        <v>349</v>
      </c>
      <c r="J25" s="20" t="s">
        <v>349</v>
      </c>
      <c r="K25" s="18" t="n">
        <v>0.43610668</v>
      </c>
      <c r="L25" s="20" t="n">
        <v>0.2870606</v>
      </c>
      <c r="M25" s="18" t="n">
        <v>0</v>
      </c>
      <c r="N25" s="20" t="n">
        <v>0</v>
      </c>
      <c r="O25" s="18" t="n">
        <v>0</v>
      </c>
      <c r="P25" s="20" t="n">
        <v>0</v>
      </c>
      <c r="Q25" s="18" t="n">
        <v>0.58214391</v>
      </c>
      <c r="R25" s="20" t="n">
        <v>0.29140618</v>
      </c>
    </row>
    <row r="26" spans="1:18">
      <c r="A26" s="15" t="s">
        <v>368</v>
      </c>
      <c r="B26" s="17" t="n">
        <v>4869</v>
      </c>
      <c r="C26" s="18">
        <f>(4277.0/B26*100)</f>
        <v/>
      </c>
      <c r="D26" s="19" t="n">
        <v>592</v>
      </c>
      <c r="E26" s="18" t="n">
        <v>67.0764257</v>
      </c>
      <c r="F26" s="20" t="n">
        <v>2.11956341</v>
      </c>
      <c r="G26" s="18" t="n">
        <v>31.74344231</v>
      </c>
      <c r="H26" s="20" t="n">
        <v>2.12797875</v>
      </c>
      <c r="I26" s="18" t="s">
        <v>349</v>
      </c>
      <c r="J26" s="20" t="s">
        <v>349</v>
      </c>
      <c r="K26" s="18" t="n">
        <v>0.31544962</v>
      </c>
      <c r="L26" s="20" t="n">
        <v>0.31019242</v>
      </c>
      <c r="M26" s="18" t="n">
        <v>0</v>
      </c>
      <c r="N26" s="20" t="n">
        <v>0</v>
      </c>
      <c r="O26" s="18" t="n">
        <v>0</v>
      </c>
      <c r="P26" s="20" t="n">
        <v>0</v>
      </c>
      <c r="Q26" s="18" t="n">
        <v>0.86468237</v>
      </c>
      <c r="R26" s="20" t="n">
        <v>0.39566566</v>
      </c>
    </row>
    <row r="27" spans="1:18">
      <c r="A27" s="15" t="s">
        <v>369</v>
      </c>
      <c r="B27" s="17" t="n">
        <v>5299</v>
      </c>
      <c r="C27" s="18">
        <f>(4655.0/B27*100)</f>
        <v/>
      </c>
      <c r="D27" s="19" t="n">
        <v>644</v>
      </c>
      <c r="E27" s="18" t="n">
        <v>70.16822431999999</v>
      </c>
      <c r="F27" s="20" t="n">
        <v>1.73473367</v>
      </c>
      <c r="G27" s="18" t="n">
        <v>28.2538352</v>
      </c>
      <c r="H27" s="20" t="n">
        <v>1.69328525</v>
      </c>
      <c r="I27" s="18" t="s">
        <v>349</v>
      </c>
      <c r="J27" s="20" t="s">
        <v>349</v>
      </c>
      <c r="K27" s="18" t="n">
        <v>0.32085234</v>
      </c>
      <c r="L27" s="20" t="n">
        <v>0.22555093</v>
      </c>
      <c r="M27" s="18" t="n">
        <v>0</v>
      </c>
      <c r="N27" s="20" t="n">
        <v>0</v>
      </c>
      <c r="O27" s="18" t="n">
        <v>0</v>
      </c>
      <c r="P27" s="20" t="n">
        <v>0</v>
      </c>
      <c r="Q27" s="18" t="n">
        <v>1.25708813</v>
      </c>
      <c r="R27" s="20" t="n">
        <v>0.43656349</v>
      </c>
    </row>
    <row r="28" spans="1:18">
      <c r="A28" s="15" t="s">
        <v>370</v>
      </c>
      <c r="B28" s="17" t="n">
        <v>7568</v>
      </c>
      <c r="C28" s="18">
        <f>(6651.0/B28*100)</f>
        <v/>
      </c>
      <c r="D28" s="19" t="n">
        <v>917</v>
      </c>
      <c r="E28" s="18" t="n">
        <v>75.18579431000001</v>
      </c>
      <c r="F28" s="20" t="n">
        <v>1.64642486</v>
      </c>
      <c r="G28" s="18" t="n">
        <v>23.24016729</v>
      </c>
      <c r="H28" s="20" t="n">
        <v>1.57394024</v>
      </c>
      <c r="I28" s="18" t="s">
        <v>349</v>
      </c>
      <c r="J28" s="20" t="s">
        <v>349</v>
      </c>
      <c r="K28" s="18" t="n">
        <v>0.44345105</v>
      </c>
      <c r="L28" s="20" t="n">
        <v>0.24649015</v>
      </c>
      <c r="M28" s="18" t="n">
        <v>0</v>
      </c>
      <c r="N28" s="20" t="n">
        <v>0</v>
      </c>
      <c r="O28" s="18" t="n">
        <v>0</v>
      </c>
      <c r="P28" s="20" t="n">
        <v>0</v>
      </c>
      <c r="Q28" s="18" t="n">
        <v>1.13058735</v>
      </c>
      <c r="R28" s="20" t="n">
        <v>0.39292589</v>
      </c>
    </row>
    <row r="29" spans="1:18">
      <c r="A29" s="15" t="s">
        <v>371</v>
      </c>
      <c r="B29" s="17" t="n">
        <v>5385</v>
      </c>
      <c r="C29" s="18">
        <f>(4613.0/B29*100)</f>
        <v/>
      </c>
      <c r="D29" s="19" t="n">
        <v>772</v>
      </c>
      <c r="E29" s="18" t="n">
        <v>51.59083165</v>
      </c>
      <c r="F29" s="20" t="n">
        <v>1.38754556</v>
      </c>
      <c r="G29" s="18" t="n">
        <v>45.89796976</v>
      </c>
      <c r="H29" s="20" t="n">
        <v>1.77370272</v>
      </c>
      <c r="I29" s="18" t="s">
        <v>349</v>
      </c>
      <c r="J29" s="20" t="s">
        <v>349</v>
      </c>
      <c r="K29" s="18" t="n">
        <v>2.15847911</v>
      </c>
      <c r="L29" s="20" t="n">
        <v>1.05232299</v>
      </c>
      <c r="M29" s="18" t="n">
        <v>0</v>
      </c>
      <c r="N29" s="20" t="n">
        <v>0</v>
      </c>
      <c r="O29" s="18" t="n">
        <v>0</v>
      </c>
      <c r="P29" s="20" t="n">
        <v>0</v>
      </c>
      <c r="Q29" s="18" t="n">
        <v>0.35271948</v>
      </c>
      <c r="R29" s="20" t="n">
        <v>0.20813454</v>
      </c>
    </row>
    <row r="30" spans="1:18">
      <c r="A30" s="15" t="s">
        <v>372</v>
      </c>
      <c r="B30" s="17" t="n">
        <v>4520</v>
      </c>
      <c r="C30" s="18">
        <f>(3972.0/B30*100)</f>
        <v/>
      </c>
      <c r="D30" s="19" t="n">
        <v>548</v>
      </c>
      <c r="E30" s="18" t="n">
        <v>49.81787171</v>
      </c>
      <c r="F30" s="20" t="n">
        <v>2.75400067</v>
      </c>
      <c r="G30" s="18" t="n">
        <v>47.87702839</v>
      </c>
      <c r="H30" s="20" t="n">
        <v>2.48676694</v>
      </c>
      <c r="I30" s="18" t="s">
        <v>349</v>
      </c>
      <c r="J30" s="20" t="s">
        <v>349</v>
      </c>
      <c r="K30" s="18" t="n">
        <v>0.40314761</v>
      </c>
      <c r="L30" s="20" t="n">
        <v>0.35792636</v>
      </c>
      <c r="M30" s="18" t="n">
        <v>0</v>
      </c>
      <c r="N30" s="20" t="n">
        <v>0</v>
      </c>
      <c r="O30" s="18" t="n">
        <v>0</v>
      </c>
      <c r="P30" s="20" t="n">
        <v>0</v>
      </c>
      <c r="Q30" s="18" t="n">
        <v>1.90195229</v>
      </c>
      <c r="R30" s="20" t="n">
        <v>0.57083733</v>
      </c>
    </row>
    <row r="31" spans="1:18">
      <c r="A31" s="15" t="s">
        <v>373</v>
      </c>
      <c r="B31" s="17" t="n">
        <v>5456</v>
      </c>
      <c r="C31" s="18">
        <f>(4808.0/B31*100)</f>
        <v/>
      </c>
      <c r="D31" s="19" t="n">
        <v>648</v>
      </c>
      <c r="E31" s="18" t="n">
        <v>50.87667104</v>
      </c>
      <c r="F31" s="20" t="n">
        <v>2.47279249</v>
      </c>
      <c r="G31" s="18" t="n">
        <v>47.12907263</v>
      </c>
      <c r="H31" s="20" t="n">
        <v>2.44189493</v>
      </c>
      <c r="I31" s="18" t="s">
        <v>349</v>
      </c>
      <c r="J31" s="20" t="s">
        <v>349</v>
      </c>
      <c r="K31" s="18" t="n">
        <v>1.00633461</v>
      </c>
      <c r="L31" s="20" t="n">
        <v>0.42441257</v>
      </c>
      <c r="M31" s="18" t="n">
        <v>0</v>
      </c>
      <c r="N31" s="20" t="n">
        <v>0</v>
      </c>
      <c r="O31" s="18" t="n">
        <v>0</v>
      </c>
      <c r="P31" s="20" t="n">
        <v>0</v>
      </c>
      <c r="Q31" s="18" t="n">
        <v>0.98792172</v>
      </c>
      <c r="R31" s="20" t="n">
        <v>0.37488334</v>
      </c>
    </row>
    <row r="32" spans="1:18">
      <c r="A32" s="15" t="s">
        <v>374</v>
      </c>
      <c r="B32" s="17" t="n">
        <v>4478</v>
      </c>
      <c r="C32" s="18">
        <f>(3703.0/B32*100)</f>
        <v/>
      </c>
      <c r="D32" s="19" t="n">
        <v>775</v>
      </c>
      <c r="E32" s="18" t="n">
        <v>53.7002065</v>
      </c>
      <c r="F32" s="20" t="n">
        <v>2.00973923</v>
      </c>
      <c r="G32" s="18" t="n">
        <v>45.94466167</v>
      </c>
      <c r="H32" s="20" t="n">
        <v>2.0682028</v>
      </c>
      <c r="I32" s="18" t="s">
        <v>349</v>
      </c>
      <c r="J32" s="20" t="s">
        <v>349</v>
      </c>
      <c r="K32" s="18" t="n">
        <v>0.23330797</v>
      </c>
      <c r="L32" s="20" t="n">
        <v>0.16744211</v>
      </c>
      <c r="M32" s="18" t="n">
        <v>0</v>
      </c>
      <c r="N32" s="20" t="n">
        <v>0</v>
      </c>
      <c r="O32" s="18" t="n">
        <v>0</v>
      </c>
      <c r="P32" s="20" t="n">
        <v>0</v>
      </c>
      <c r="Q32" s="18" t="n">
        <v>0.12182386</v>
      </c>
      <c r="R32" s="20" t="n">
        <v>0.12320061</v>
      </c>
    </row>
    <row r="33" spans="1:18">
      <c r="A33" s="15" t="s">
        <v>375</v>
      </c>
      <c r="B33" s="17" t="n">
        <v>7325</v>
      </c>
      <c r="C33" s="18">
        <f>(6463.0/B33*100)</f>
        <v/>
      </c>
      <c r="D33" s="19" t="n">
        <v>862</v>
      </c>
      <c r="E33" s="18" t="n">
        <v>49.48086981</v>
      </c>
      <c r="F33" s="20" t="n">
        <v>1.94497333</v>
      </c>
      <c r="G33" s="18" t="n">
        <v>49.84856824</v>
      </c>
      <c r="H33" s="20" t="n">
        <v>2.01853529</v>
      </c>
      <c r="I33" s="18" t="s">
        <v>349</v>
      </c>
      <c r="J33" s="20" t="s">
        <v>349</v>
      </c>
      <c r="K33" s="18" t="n">
        <v>0.35220585</v>
      </c>
      <c r="L33" s="20" t="n">
        <v>0.40992142</v>
      </c>
      <c r="M33" s="18" t="n">
        <v>0</v>
      </c>
      <c r="N33" s="20" t="n">
        <v>0</v>
      </c>
      <c r="O33" s="18" t="n">
        <v>0</v>
      </c>
      <c r="P33" s="20" t="n">
        <v>0</v>
      </c>
      <c r="Q33" s="18" t="n">
        <v>0.3183561</v>
      </c>
      <c r="R33" s="20" t="n">
        <v>0.17456502</v>
      </c>
    </row>
    <row r="34" spans="1:18">
      <c r="A34" s="15" t="s">
        <v>376</v>
      </c>
      <c r="B34" s="17" t="n">
        <v>6350</v>
      </c>
      <c r="C34" s="18">
        <f>(5429.0/B34*100)</f>
        <v/>
      </c>
      <c r="D34" s="19" t="n">
        <v>921</v>
      </c>
      <c r="E34" s="18" t="n">
        <v>59.50392852</v>
      </c>
      <c r="F34" s="20" t="n">
        <v>1.78142051</v>
      </c>
      <c r="G34" s="18" t="n">
        <v>37.85665959</v>
      </c>
      <c r="H34" s="20" t="n">
        <v>1.9595217</v>
      </c>
      <c r="I34" s="18" t="s">
        <v>349</v>
      </c>
      <c r="J34" s="20" t="s">
        <v>349</v>
      </c>
      <c r="K34" s="18" t="n">
        <v>0.9465112</v>
      </c>
      <c r="L34" s="20" t="n">
        <v>0.43381669</v>
      </c>
      <c r="M34" s="18" t="n">
        <v>0</v>
      </c>
      <c r="N34" s="20" t="n">
        <v>0</v>
      </c>
      <c r="O34" s="18" t="n">
        <v>0</v>
      </c>
      <c r="P34" s="20" t="n">
        <v>0</v>
      </c>
      <c r="Q34" s="18" t="n">
        <v>1.69290069</v>
      </c>
      <c r="R34" s="20" t="n">
        <v>0.47467156</v>
      </c>
    </row>
    <row r="35" spans="1:18">
      <c r="A35" s="15" t="s">
        <v>377</v>
      </c>
      <c r="B35" s="17" t="n">
        <v>6406</v>
      </c>
      <c r="C35" s="18">
        <f>(5505.0/B35*100)</f>
        <v/>
      </c>
      <c r="D35" s="19" t="n">
        <v>901</v>
      </c>
      <c r="E35" s="18" t="n">
        <v>49.35853172</v>
      </c>
      <c r="F35" s="20" t="n">
        <v>2.16738538</v>
      </c>
      <c r="G35" s="18" t="n">
        <v>48.98482077</v>
      </c>
      <c r="H35" s="20" t="n">
        <v>2.16852496</v>
      </c>
      <c r="I35" s="18" t="s">
        <v>349</v>
      </c>
      <c r="J35" s="20" t="s">
        <v>349</v>
      </c>
      <c r="K35" s="18" t="n">
        <v>0.60706111</v>
      </c>
      <c r="L35" s="20" t="n">
        <v>0.18208582</v>
      </c>
      <c r="M35" s="18" t="n">
        <v>0</v>
      </c>
      <c r="N35" s="20" t="n">
        <v>0</v>
      </c>
      <c r="O35" s="18" t="n">
        <v>0</v>
      </c>
      <c r="P35" s="20" t="n">
        <v>0</v>
      </c>
      <c r="Q35" s="18" t="n">
        <v>1.0495864</v>
      </c>
      <c r="R35" s="20" t="n">
        <v>0.33868811</v>
      </c>
    </row>
    <row r="36" spans="1:18">
      <c r="A36" s="15" t="s">
        <v>378</v>
      </c>
      <c r="B36" s="17" t="n">
        <v>6736</v>
      </c>
      <c r="C36" s="18">
        <f>(5906.0/B36*100)</f>
        <v/>
      </c>
      <c r="D36" s="19" t="n">
        <v>830</v>
      </c>
      <c r="E36" s="18" t="n">
        <v>68.42968431</v>
      </c>
      <c r="F36" s="20" t="n">
        <v>1.84542122</v>
      </c>
      <c r="G36" s="18" t="n">
        <v>30.46783792</v>
      </c>
      <c r="H36" s="20" t="n">
        <v>1.79051272</v>
      </c>
      <c r="I36" s="18" t="s">
        <v>349</v>
      </c>
      <c r="J36" s="20" t="s">
        <v>349</v>
      </c>
      <c r="K36" s="18" t="n">
        <v>0.44985185</v>
      </c>
      <c r="L36" s="20" t="n">
        <v>0.31068152</v>
      </c>
      <c r="M36" s="18" t="n">
        <v>0</v>
      </c>
      <c r="N36" s="20" t="n">
        <v>0</v>
      </c>
      <c r="O36" s="18" t="n">
        <v>0</v>
      </c>
      <c r="P36" s="20" t="n">
        <v>0</v>
      </c>
      <c r="Q36" s="18" t="n">
        <v>0.65262592</v>
      </c>
      <c r="R36" s="20" t="n">
        <v>0.29480777</v>
      </c>
    </row>
    <row r="37" spans="1:18">
      <c r="A37" s="15" t="s">
        <v>379</v>
      </c>
      <c r="B37" s="17" t="n">
        <v>5458</v>
      </c>
      <c r="C37" s="18">
        <f>(4804.0/B37*100)</f>
        <v/>
      </c>
      <c r="D37" s="19" t="n">
        <v>654</v>
      </c>
      <c r="E37" s="18" t="n">
        <v>53.49376612</v>
      </c>
      <c r="F37" s="20" t="n">
        <v>1.94839093</v>
      </c>
      <c r="G37" s="18" t="n">
        <v>44.68133409</v>
      </c>
      <c r="H37" s="20" t="n">
        <v>1.96747719</v>
      </c>
      <c r="I37" s="18" t="s">
        <v>349</v>
      </c>
      <c r="J37" s="20" t="s">
        <v>349</v>
      </c>
      <c r="K37" s="18" t="n">
        <v>0.7726053000000001</v>
      </c>
      <c r="L37" s="20" t="n">
        <v>0.37134913</v>
      </c>
      <c r="M37" s="18" t="n">
        <v>0</v>
      </c>
      <c r="N37" s="20" t="n">
        <v>0</v>
      </c>
      <c r="O37" s="18" t="n">
        <v>0</v>
      </c>
      <c r="P37" s="20" t="n">
        <v>0</v>
      </c>
      <c r="Q37" s="18" t="n">
        <v>1.0522945</v>
      </c>
      <c r="R37" s="20" t="n">
        <v>0.40393569</v>
      </c>
    </row>
    <row r="38" spans="1:18">
      <c r="A38" s="15" t="s">
        <v>380</v>
      </c>
      <c r="B38" s="17" t="n">
        <v>5860</v>
      </c>
      <c r="C38" s="18">
        <f>(4856.0/B38*100)</f>
        <v/>
      </c>
      <c r="D38" s="19" t="n">
        <v>1004</v>
      </c>
      <c r="E38" s="18" t="n">
        <v>62.08243055</v>
      </c>
      <c r="F38" s="20" t="n">
        <v>1.87641875</v>
      </c>
      <c r="G38" s="18" t="n">
        <v>36.15976992</v>
      </c>
      <c r="H38" s="20" t="n">
        <v>1.94912094</v>
      </c>
      <c r="I38" s="18" t="s">
        <v>349</v>
      </c>
      <c r="J38" s="20" t="s">
        <v>349</v>
      </c>
      <c r="K38" s="18" t="n">
        <v>0.61929451</v>
      </c>
      <c r="L38" s="20" t="n">
        <v>0.29786024</v>
      </c>
      <c r="M38" s="18" t="n">
        <v>0</v>
      </c>
      <c r="N38" s="20" t="n">
        <v>0</v>
      </c>
      <c r="O38" s="18" t="n">
        <v>0</v>
      </c>
      <c r="P38" s="20" t="n">
        <v>0</v>
      </c>
      <c r="Q38" s="18" t="n">
        <v>1.13850503</v>
      </c>
      <c r="R38" s="20" t="n">
        <v>0.3517167</v>
      </c>
    </row>
    <row r="39" spans="1:18">
      <c r="A39" s="15" t="s">
        <v>381</v>
      </c>
      <c r="B39" s="17" t="n">
        <v>5895</v>
      </c>
      <c r="C39" s="18">
        <f>(5183.0/B39*100)</f>
        <v/>
      </c>
      <c r="D39" s="19" t="n">
        <v>712</v>
      </c>
      <c r="E39" s="18" t="n">
        <v>60.54837864</v>
      </c>
      <c r="F39" s="20" t="n">
        <v>2.11324757</v>
      </c>
      <c r="G39" s="18" t="n">
        <v>37.93132788</v>
      </c>
      <c r="H39" s="20" t="n">
        <v>2.1600647</v>
      </c>
      <c r="I39" s="18" t="s">
        <v>349</v>
      </c>
      <c r="J39" s="20" t="s">
        <v>349</v>
      </c>
      <c r="K39" s="18" t="n">
        <v>0</v>
      </c>
      <c r="L39" s="20" t="n">
        <v>0</v>
      </c>
      <c r="M39" s="18" t="n">
        <v>0</v>
      </c>
      <c r="N39" s="20" t="n">
        <v>0</v>
      </c>
      <c r="O39" s="18" t="n">
        <v>0</v>
      </c>
      <c r="P39" s="20" t="n">
        <v>0</v>
      </c>
      <c r="Q39" s="18" t="n">
        <v>1.52029349</v>
      </c>
      <c r="R39" s="20" t="n">
        <v>0.51458948</v>
      </c>
    </row>
    <row r="40" spans="1:18">
      <c r="A40" s="15" t="s">
        <v>382</v>
      </c>
      <c r="B40" s="17" t="n">
        <v>14157</v>
      </c>
      <c r="C40" s="18">
        <f>(12407.0/B40*100)</f>
        <v/>
      </c>
      <c r="D40" s="19" t="n">
        <v>1750</v>
      </c>
      <c r="E40" s="18" t="n">
        <v>48.22917424</v>
      </c>
      <c r="F40" s="20" t="n">
        <v>1.69636333</v>
      </c>
      <c r="G40" s="18" t="n">
        <v>50.09767565</v>
      </c>
      <c r="H40" s="20" t="n">
        <v>1.69350374</v>
      </c>
      <c r="I40" s="18" t="s">
        <v>349</v>
      </c>
      <c r="J40" s="20" t="s">
        <v>349</v>
      </c>
      <c r="K40" s="18" t="n">
        <v>0.45756948</v>
      </c>
      <c r="L40" s="20" t="n">
        <v>0.27087856</v>
      </c>
      <c r="M40" s="18" t="n">
        <v>0</v>
      </c>
      <c r="N40" s="20" t="n">
        <v>0</v>
      </c>
      <c r="O40" s="18" t="n">
        <v>0</v>
      </c>
      <c r="P40" s="20" t="n">
        <v>0</v>
      </c>
      <c r="Q40" s="18" t="n">
        <v>1.21558063</v>
      </c>
      <c r="R40" s="20" t="n">
        <v>0.33113956</v>
      </c>
    </row>
    <row r="41" spans="1:18">
      <c r="A41" s="15" t="s">
        <v>383</v>
      </c>
      <c r="B41" s="17" t="n">
        <v>5712</v>
      </c>
      <c r="C41" s="18">
        <f>(4982.0/B41*100)</f>
        <v/>
      </c>
      <c r="D41" s="19" t="n">
        <v>730</v>
      </c>
      <c r="E41" s="18" t="n">
        <v>55.42845523</v>
      </c>
      <c r="F41" s="20" t="n">
        <v>2.00304662</v>
      </c>
      <c r="G41" s="18" t="n">
        <v>44.08341698</v>
      </c>
      <c r="H41" s="20" t="n">
        <v>1.98766444</v>
      </c>
      <c r="I41" s="18" t="s">
        <v>349</v>
      </c>
      <c r="J41" s="20" t="s">
        <v>349</v>
      </c>
      <c r="K41" s="18" t="n">
        <v>0</v>
      </c>
      <c r="L41" s="20" t="n">
        <v>0</v>
      </c>
      <c r="M41" s="18" t="n">
        <v>0</v>
      </c>
      <c r="N41" s="20" t="n">
        <v>0</v>
      </c>
      <c r="O41" s="18" t="n">
        <v>0</v>
      </c>
      <c r="P41" s="20" t="n">
        <v>0</v>
      </c>
      <c r="Q41" s="18" t="n">
        <v>0.48812779</v>
      </c>
      <c r="R41" s="20" t="n">
        <v>0.24984956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(20617.0/B46*100)</f>
        <v/>
      </c>
      <c r="D46" s="19" t="n">
        <v>2524</v>
      </c>
      <c r="E46" s="18" t="n">
        <v>74.37019213000001</v>
      </c>
      <c r="F46" s="20" t="n">
        <v>1.10864849</v>
      </c>
      <c r="G46" s="18" t="n">
        <v>22.23001482</v>
      </c>
      <c r="H46" s="20" t="n">
        <v>0.98832075</v>
      </c>
      <c r="I46" s="18" t="s">
        <v>349</v>
      </c>
      <c r="J46" s="20" t="s">
        <v>349</v>
      </c>
      <c r="K46" s="18" t="n">
        <v>1.44942557</v>
      </c>
      <c r="L46" s="20" t="n">
        <v>0.24868867</v>
      </c>
      <c r="M46" s="18" t="n">
        <v>0</v>
      </c>
      <c r="N46" s="20" t="n">
        <v>0</v>
      </c>
      <c r="O46" s="18" t="n">
        <v>0</v>
      </c>
      <c r="P46" s="20" t="n">
        <v>0</v>
      </c>
      <c r="Q46" s="18" t="n">
        <v>1.95036748</v>
      </c>
      <c r="R46" s="20" t="n">
        <v>0.40551653</v>
      </c>
    </row>
    <row r="47" spans="1:18">
      <c r="A47" s="15" t="s">
        <v>389</v>
      </c>
      <c r="B47" s="17" t="n">
        <v>5928</v>
      </c>
      <c r="C47" s="18">
        <f>(5192.0/B47*100)</f>
        <v/>
      </c>
      <c r="D47" s="19" t="n">
        <v>736</v>
      </c>
      <c r="E47" s="18" t="n">
        <v>66.5111374</v>
      </c>
      <c r="F47" s="20" t="n">
        <v>1.99214326</v>
      </c>
      <c r="G47" s="18" t="n">
        <v>31.97218283</v>
      </c>
      <c r="H47" s="20" t="n">
        <v>1.98949458</v>
      </c>
      <c r="I47" s="18" t="s">
        <v>349</v>
      </c>
      <c r="J47" s="20" t="s">
        <v>349</v>
      </c>
      <c r="K47" s="18" t="n">
        <v>0.27130842</v>
      </c>
      <c r="L47" s="20" t="n">
        <v>0.20561793</v>
      </c>
      <c r="M47" s="18" t="n">
        <v>0</v>
      </c>
      <c r="N47" s="20" t="n">
        <v>0</v>
      </c>
      <c r="O47" s="18" t="n">
        <v>0</v>
      </c>
      <c r="P47" s="20" t="n">
        <v>0</v>
      </c>
      <c r="Q47" s="18" t="n">
        <v>1.24537135</v>
      </c>
      <c r="R47" s="20" t="n">
        <v>0.46673373</v>
      </c>
    </row>
    <row r="48" spans="1:18">
      <c r="A48" s="15" t="s">
        <v>390</v>
      </c>
      <c r="B48" s="17" t="n">
        <v>9841</v>
      </c>
      <c r="C48" s="18">
        <f>(8661.0/B48*100)</f>
        <v/>
      </c>
      <c r="D48" s="19" t="n">
        <v>1180</v>
      </c>
      <c r="E48" s="18" t="n">
        <v>38.27105873</v>
      </c>
      <c r="F48" s="20" t="n">
        <v>2.12492183</v>
      </c>
      <c r="G48" s="18" t="n">
        <v>60.56612167</v>
      </c>
      <c r="H48" s="20" t="n">
        <v>2.15356709</v>
      </c>
      <c r="I48" s="18" t="s">
        <v>349</v>
      </c>
      <c r="J48" s="20" t="s">
        <v>349</v>
      </c>
      <c r="K48" s="18" t="n">
        <v>0.60593705</v>
      </c>
      <c r="L48" s="20" t="n">
        <v>0.36481112</v>
      </c>
      <c r="M48" s="18" t="n">
        <v>0</v>
      </c>
      <c r="N48" s="20" t="n">
        <v>0</v>
      </c>
      <c r="O48" s="18" t="n">
        <v>0</v>
      </c>
      <c r="P48" s="20" t="n">
        <v>0</v>
      </c>
      <c r="Q48" s="18" t="n">
        <v>0.55688255</v>
      </c>
      <c r="R48" s="20" t="n">
        <v>0.27557057</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(10393.0/B50*100)</f>
        <v/>
      </c>
      <c r="D50" s="19" t="n">
        <v>1402</v>
      </c>
      <c r="E50" s="18" t="n">
        <v>79.15984163</v>
      </c>
      <c r="F50" s="20" t="n">
        <v>1.49817375</v>
      </c>
      <c r="G50" s="18" t="n">
        <v>18.24897777</v>
      </c>
      <c r="H50" s="20" t="n">
        <v>1.40495814</v>
      </c>
      <c r="I50" s="18" t="s">
        <v>349</v>
      </c>
      <c r="J50" s="20" t="s">
        <v>349</v>
      </c>
      <c r="K50" s="18" t="n">
        <v>1.60911943</v>
      </c>
      <c r="L50" s="20" t="n">
        <v>0.71141528</v>
      </c>
      <c r="M50" s="18" t="n">
        <v>0</v>
      </c>
      <c r="N50" s="20" t="n">
        <v>0</v>
      </c>
      <c r="O50" s="18" t="n">
        <v>0</v>
      </c>
      <c r="P50" s="20" t="n">
        <v>0</v>
      </c>
      <c r="Q50" s="18" t="n">
        <v>0.98206117</v>
      </c>
      <c r="R50" s="20" t="n">
        <v>0.37932786</v>
      </c>
    </row>
    <row r="51" spans="1:18">
      <c r="A51" s="15" t="s">
        <v>393</v>
      </c>
      <c r="B51" s="17" t="n">
        <v>6866</v>
      </c>
      <c r="C51" s="18">
        <f>(5478.0/B51*100)</f>
        <v/>
      </c>
      <c r="D51" s="19" t="n">
        <v>1388</v>
      </c>
      <c r="E51" s="18" t="n">
        <v>76.65564627000001</v>
      </c>
      <c r="F51" s="20" t="n">
        <v>1.23545328</v>
      </c>
      <c r="G51" s="18" t="n">
        <v>20.04640636</v>
      </c>
      <c r="H51" s="20" t="n">
        <v>1.08116873</v>
      </c>
      <c r="I51" s="18" t="s">
        <v>349</v>
      </c>
      <c r="J51" s="20" t="s">
        <v>349</v>
      </c>
      <c r="K51" s="18" t="n">
        <v>0.84484757</v>
      </c>
      <c r="L51" s="20" t="n">
        <v>0.27623554</v>
      </c>
      <c r="M51" s="18" t="n">
        <v>0</v>
      </c>
      <c r="N51" s="20" t="n">
        <v>0</v>
      </c>
      <c r="O51" s="18" t="n">
        <v>0</v>
      </c>
      <c r="P51" s="20" t="n">
        <v>0</v>
      </c>
      <c r="Q51" s="18" t="n">
        <v>2.4530998</v>
      </c>
      <c r="R51" s="20" t="n">
        <v>0.46211698</v>
      </c>
    </row>
    <row r="52" spans="1:18">
      <c r="A52" s="15" t="s">
        <v>394</v>
      </c>
      <c r="B52" s="17" t="n">
        <v>5809</v>
      </c>
      <c r="C52" s="18">
        <f>(5105.0/B52*100)</f>
        <v/>
      </c>
      <c r="D52" s="19" t="n">
        <v>704</v>
      </c>
      <c r="E52" s="18" t="n">
        <v>69.42211054000001</v>
      </c>
      <c r="F52" s="20" t="n">
        <v>1.71107316</v>
      </c>
      <c r="G52" s="18" t="n">
        <v>28.93381667</v>
      </c>
      <c r="H52" s="20" t="n">
        <v>1.76080838</v>
      </c>
      <c r="I52" s="18" t="s">
        <v>349</v>
      </c>
      <c r="J52" s="20" t="s">
        <v>349</v>
      </c>
      <c r="K52" s="18" t="n">
        <v>0.44729042</v>
      </c>
      <c r="L52" s="20" t="n">
        <v>0.27438724</v>
      </c>
      <c r="M52" s="18" t="n">
        <v>0</v>
      </c>
      <c r="N52" s="20" t="n">
        <v>0</v>
      </c>
      <c r="O52" s="18" t="n">
        <v>0</v>
      </c>
      <c r="P52" s="20" t="n">
        <v>0</v>
      </c>
      <c r="Q52" s="18" t="n">
        <v>1.19678238</v>
      </c>
      <c r="R52" s="20" t="n">
        <v>0.43143315</v>
      </c>
    </row>
    <row r="53" spans="1:18">
      <c r="A53" s="15" t="s">
        <v>395</v>
      </c>
      <c r="B53" s="17" t="n">
        <v>5571</v>
      </c>
      <c r="C53" s="18">
        <f>(4916.0/B53*100)</f>
        <v/>
      </c>
      <c r="D53" s="19" t="n">
        <v>655</v>
      </c>
      <c r="E53" s="18" t="n">
        <v>63.4322383</v>
      </c>
      <c r="F53" s="20" t="n">
        <v>2.03890081</v>
      </c>
      <c r="G53" s="18" t="n">
        <v>34.47739059</v>
      </c>
      <c r="H53" s="20" t="n">
        <v>1.99261694</v>
      </c>
      <c r="I53" s="18" t="s">
        <v>349</v>
      </c>
      <c r="J53" s="20" t="s">
        <v>349</v>
      </c>
      <c r="K53" s="18" t="n">
        <v>1.14195192</v>
      </c>
      <c r="L53" s="20" t="n">
        <v>0.41180576</v>
      </c>
      <c r="M53" s="18" t="n">
        <v>0</v>
      </c>
      <c r="N53" s="20" t="n">
        <v>0</v>
      </c>
      <c r="O53" s="18" t="n">
        <v>0</v>
      </c>
      <c r="P53" s="20" t="n">
        <v>0</v>
      </c>
      <c r="Q53" s="18" t="n">
        <v>0.9484192</v>
      </c>
      <c r="R53" s="20" t="n">
        <v>0.33159613</v>
      </c>
    </row>
    <row r="54" spans="1:18">
      <c r="A54" s="15" t="s">
        <v>396</v>
      </c>
      <c r="B54" s="17" t="n">
        <v>4740</v>
      </c>
      <c r="C54" s="18">
        <f>(3947.0/B54*100)</f>
        <v/>
      </c>
      <c r="D54" s="19" t="n">
        <v>793</v>
      </c>
      <c r="E54" s="18" t="n">
        <v>72.63370797</v>
      </c>
      <c r="F54" s="20" t="n">
        <v>1.75600015</v>
      </c>
      <c r="G54" s="18" t="n">
        <v>17.24264705</v>
      </c>
      <c r="H54" s="20" t="n">
        <v>1.48301545</v>
      </c>
      <c r="I54" s="18" t="s">
        <v>349</v>
      </c>
      <c r="J54" s="20" t="s">
        <v>349</v>
      </c>
      <c r="K54" s="18" t="n">
        <v>6.65264565</v>
      </c>
      <c r="L54" s="20" t="n">
        <v>1.06153358</v>
      </c>
      <c r="M54" s="18" t="n">
        <v>0</v>
      </c>
      <c r="N54" s="20" t="n">
        <v>0</v>
      </c>
      <c r="O54" s="18" t="n">
        <v>0</v>
      </c>
      <c r="P54" s="20" t="n">
        <v>0</v>
      </c>
      <c r="Q54" s="18" t="n">
        <v>3.47099933</v>
      </c>
      <c r="R54" s="20" t="n">
        <v>0.5768985599999999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(4706.0/B56*100)</f>
        <v/>
      </c>
      <c r="D56" s="19" t="n">
        <v>653</v>
      </c>
      <c r="E56" s="18" t="n">
        <v>38.96111868</v>
      </c>
      <c r="F56" s="20" t="n">
        <v>2.24554055</v>
      </c>
      <c r="G56" s="18" t="n">
        <v>60.75999098</v>
      </c>
      <c r="H56" s="20" t="n">
        <v>2.21926612</v>
      </c>
      <c r="I56" s="18" t="s">
        <v>349</v>
      </c>
      <c r="J56" s="20" t="s">
        <v>349</v>
      </c>
      <c r="K56" s="18" t="n">
        <v>0</v>
      </c>
      <c r="L56" s="20" t="n">
        <v>0</v>
      </c>
      <c r="M56" s="18" t="n">
        <v>0</v>
      </c>
      <c r="N56" s="20" t="n">
        <v>0</v>
      </c>
      <c r="O56" s="18" t="n">
        <v>0</v>
      </c>
      <c r="P56" s="20" t="n">
        <v>0</v>
      </c>
      <c r="Q56" s="18" t="n">
        <v>0.27889034</v>
      </c>
      <c r="R56" s="20" t="n">
        <v>0.20038473</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(5728.0/B61*100)</f>
        <v/>
      </c>
      <c r="D61" s="19" t="n">
        <v>797</v>
      </c>
      <c r="E61" s="18" t="n">
        <v>63.81447865</v>
      </c>
      <c r="F61" s="20" t="n">
        <v>2.12835835</v>
      </c>
      <c r="G61" s="18" t="n">
        <v>34.72641344</v>
      </c>
      <c r="H61" s="20" t="n">
        <v>2.20073281</v>
      </c>
      <c r="I61" s="18" t="s">
        <v>349</v>
      </c>
      <c r="J61" s="20" t="s">
        <v>349</v>
      </c>
      <c r="K61" s="18" t="n">
        <v>0.34036855</v>
      </c>
      <c r="L61" s="20" t="n">
        <v>0.21570036</v>
      </c>
      <c r="M61" s="18" t="n">
        <v>0</v>
      </c>
      <c r="N61" s="20" t="n">
        <v>0</v>
      </c>
      <c r="O61" s="18" t="n">
        <v>0</v>
      </c>
      <c r="P61" s="20" t="n">
        <v>0</v>
      </c>
      <c r="Q61" s="18" t="n">
        <v>1.11873935</v>
      </c>
      <c r="R61" s="20" t="n">
        <v>0.41164308</v>
      </c>
    </row>
    <row r="62" spans="1:18">
      <c r="A62" s="15" t="s">
        <v>404</v>
      </c>
      <c r="B62" s="17" t="n">
        <v>4476</v>
      </c>
      <c r="C62" s="18">
        <f>(3928.0/B62*100)</f>
        <v/>
      </c>
      <c r="D62" s="19" t="n">
        <v>548</v>
      </c>
      <c r="E62" s="18" t="n">
        <v>59.26272985</v>
      </c>
      <c r="F62" s="20" t="n">
        <v>2.23946901</v>
      </c>
      <c r="G62" s="18" t="n">
        <v>40.37012631</v>
      </c>
      <c r="H62" s="20" t="n">
        <v>2.20445923</v>
      </c>
      <c r="I62" s="18" t="s">
        <v>349</v>
      </c>
      <c r="J62" s="20" t="s">
        <v>349</v>
      </c>
      <c r="K62" s="18" t="n">
        <v>0</v>
      </c>
      <c r="L62" s="20" t="n">
        <v>0</v>
      </c>
      <c r="M62" s="18" t="n">
        <v>0</v>
      </c>
      <c r="N62" s="20" t="n">
        <v>0</v>
      </c>
      <c r="O62" s="18" t="n">
        <v>0</v>
      </c>
      <c r="P62" s="20" t="n">
        <v>0</v>
      </c>
      <c r="Q62" s="18" t="n">
        <v>0.36714384</v>
      </c>
      <c r="R62" s="20" t="n">
        <v>0.25852187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(4974.0/B66*100)</f>
        <v/>
      </c>
      <c r="D66" s="19" t="n">
        <v>691</v>
      </c>
      <c r="E66" s="18" t="n">
        <v>72.18586178</v>
      </c>
      <c r="F66" s="20" t="n">
        <v>1.56767081</v>
      </c>
      <c r="G66" s="18" t="n">
        <v>20.92657341</v>
      </c>
      <c r="H66" s="20" t="n">
        <v>1.47212734</v>
      </c>
      <c r="I66" s="18" t="s">
        <v>349</v>
      </c>
      <c r="J66" s="20" t="s">
        <v>349</v>
      </c>
      <c r="K66" s="18" t="n">
        <v>0.86025091</v>
      </c>
      <c r="L66" s="20" t="n">
        <v>0.35107746</v>
      </c>
      <c r="M66" s="18" t="n">
        <v>0</v>
      </c>
      <c r="N66" s="20" t="n">
        <v>0</v>
      </c>
      <c r="O66" s="18" t="n">
        <v>0</v>
      </c>
      <c r="P66" s="20" t="n">
        <v>0</v>
      </c>
      <c r="Q66" s="18" t="n">
        <v>6.0273139</v>
      </c>
      <c r="R66" s="20" t="n">
        <v>0.92067801</v>
      </c>
    </row>
    <row r="67" spans="1:18">
      <c r="A67" s="15" t="s">
        <v>409</v>
      </c>
      <c r="B67" s="17" t="n">
        <v>6971</v>
      </c>
      <c r="C67" s="18">
        <f>(6175.0/B67*100)</f>
        <v/>
      </c>
      <c r="D67" s="19" t="n">
        <v>796</v>
      </c>
      <c r="E67" s="18" t="n">
        <v>80.32664547</v>
      </c>
      <c r="F67" s="20" t="n">
        <v>1.73060064</v>
      </c>
      <c r="G67" s="18" t="n">
        <v>17.96632156</v>
      </c>
      <c r="H67" s="20" t="n">
        <v>1.62967072</v>
      </c>
      <c r="I67" s="18" t="s">
        <v>349</v>
      </c>
      <c r="J67" s="20" t="s">
        <v>349</v>
      </c>
      <c r="K67" s="18" t="n">
        <v>0</v>
      </c>
      <c r="L67" s="20" t="n">
        <v>0</v>
      </c>
      <c r="M67" s="18" t="n">
        <v>0</v>
      </c>
      <c r="N67" s="20" t="n">
        <v>0</v>
      </c>
      <c r="O67" s="18" t="n">
        <v>0</v>
      </c>
      <c r="P67" s="20" t="n">
        <v>0</v>
      </c>
      <c r="Q67" s="18" t="n">
        <v>1.70703297</v>
      </c>
      <c r="R67" s="20" t="n">
        <v>0.53232449</v>
      </c>
    </row>
    <row r="68" spans="1:18">
      <c r="A68" s="15" t="s">
        <v>410</v>
      </c>
      <c r="B68" s="17" t="n">
        <v>12083</v>
      </c>
      <c r="C68" s="18">
        <f>(10080.0/B68*100)</f>
        <v/>
      </c>
      <c r="D68" s="19" t="n">
        <v>2003</v>
      </c>
      <c r="E68" s="18" t="n">
        <v>65.35349984</v>
      </c>
      <c r="F68" s="20" t="n">
        <v>1.10302982</v>
      </c>
      <c r="G68" s="18" t="n">
        <v>31.02426106</v>
      </c>
      <c r="H68" s="20" t="n">
        <v>1.08907202</v>
      </c>
      <c r="I68" s="18" t="s">
        <v>349</v>
      </c>
      <c r="J68" s="20" t="s">
        <v>349</v>
      </c>
      <c r="K68" s="18" t="n">
        <v>1.88221252</v>
      </c>
      <c r="L68" s="20" t="n">
        <v>0.32136284</v>
      </c>
      <c r="M68" s="18" t="n">
        <v>0</v>
      </c>
      <c r="N68" s="20" t="n">
        <v>0</v>
      </c>
      <c r="O68" s="18" t="n">
        <v>0</v>
      </c>
      <c r="P68" s="20" t="n">
        <v>0</v>
      </c>
      <c r="Q68" s="18" t="n">
        <v>1.74002658</v>
      </c>
      <c r="R68" s="20" t="n">
        <v>0.33624083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(5321.0/B70*100)</f>
        <v/>
      </c>
      <c r="D70" s="19" t="n">
        <v>715</v>
      </c>
      <c r="E70" s="18" t="n">
        <v>67.1166552</v>
      </c>
      <c r="F70" s="20" t="n">
        <v>2.24518387</v>
      </c>
      <c r="G70" s="18" t="n">
        <v>31.91490084</v>
      </c>
      <c r="H70" s="20" t="n">
        <v>2.28296503</v>
      </c>
      <c r="I70" s="18" t="s">
        <v>349</v>
      </c>
      <c r="J70" s="20" t="s">
        <v>349</v>
      </c>
      <c r="K70" s="18" t="n">
        <v>0.16838726</v>
      </c>
      <c r="L70" s="20" t="n">
        <v>0.1189372</v>
      </c>
      <c r="M70" s="18" t="n">
        <v>0</v>
      </c>
      <c r="N70" s="20" t="n">
        <v>0</v>
      </c>
      <c r="O70" s="18" t="n">
        <v>0</v>
      </c>
      <c r="P70" s="20" t="n">
        <v>0</v>
      </c>
      <c r="Q70" s="18" t="n">
        <v>0.80005669</v>
      </c>
      <c r="R70" s="20" t="n">
        <v>0.25593576</v>
      </c>
    </row>
    <row r="71" spans="1:18">
      <c r="A71" s="15" t="s">
        <v>413</v>
      </c>
      <c r="B71" s="17" t="n">
        <v>6115</v>
      </c>
      <c r="C71" s="18">
        <f>(5348.0/B71*100)</f>
        <v/>
      </c>
      <c r="D71" s="19" t="n">
        <v>767</v>
      </c>
      <c r="E71" s="18" t="n">
        <v>37.09391945</v>
      </c>
      <c r="F71" s="20" t="n">
        <v>1.96819116</v>
      </c>
      <c r="G71" s="18" t="n">
        <v>61.7371179</v>
      </c>
      <c r="H71" s="20" t="n">
        <v>1.90447417</v>
      </c>
      <c r="I71" s="18" t="s">
        <v>349</v>
      </c>
      <c r="J71" s="20" t="s">
        <v>349</v>
      </c>
      <c r="K71" s="18" t="n">
        <v>0.3483061</v>
      </c>
      <c r="L71" s="20" t="n">
        <v>0.19936316</v>
      </c>
      <c r="M71" s="18" t="n">
        <v>0</v>
      </c>
      <c r="N71" s="20" t="n">
        <v>0</v>
      </c>
      <c r="O71" s="18" t="n">
        <v>0</v>
      </c>
      <c r="P71" s="20" t="n">
        <v>0</v>
      </c>
      <c r="Q71" s="18" t="n">
        <v>0.82065656</v>
      </c>
      <c r="R71" s="20" t="n">
        <v>0.29122814</v>
      </c>
    </row>
    <row r="72" spans="1:18">
      <c r="A72" s="15" t="s">
        <v>414</v>
      </c>
      <c r="B72" s="17" t="n">
        <v>7708</v>
      </c>
      <c r="C72" s="18">
        <f>(6749.0/B72*100)</f>
        <v/>
      </c>
      <c r="D72" s="19" t="n">
        <v>959</v>
      </c>
      <c r="E72" s="18" t="n">
        <v>38.22190849</v>
      </c>
      <c r="F72" s="20" t="n">
        <v>1.57973507</v>
      </c>
      <c r="G72" s="18" t="n">
        <v>61.42084272</v>
      </c>
      <c r="H72" s="20" t="n">
        <v>1.56351856</v>
      </c>
      <c r="I72" s="18" t="s">
        <v>349</v>
      </c>
      <c r="J72" s="20" t="s">
        <v>349</v>
      </c>
      <c r="K72" s="18" t="n">
        <v>0.18330875</v>
      </c>
      <c r="L72" s="20" t="n">
        <v>0.13294652</v>
      </c>
      <c r="M72" s="18" t="n">
        <v>0</v>
      </c>
      <c r="N72" s="20" t="n">
        <v>0</v>
      </c>
      <c r="O72" s="18" t="n">
        <v>0</v>
      </c>
      <c r="P72" s="20" t="n">
        <v>0</v>
      </c>
      <c r="Q72" s="18" t="n">
        <v>0.17394003</v>
      </c>
      <c r="R72" s="20" t="n">
        <v>0.12555076</v>
      </c>
    </row>
    <row r="73" spans="1:18">
      <c r="A73" s="15" t="s">
        <v>415</v>
      </c>
      <c r="B73" s="17" t="n">
        <v>8249</v>
      </c>
      <c r="C73" s="18">
        <f>(7268.0/B73*100)</f>
        <v/>
      </c>
      <c r="D73" s="19" t="n">
        <v>981</v>
      </c>
      <c r="E73" s="18" t="n">
        <v>71.02906339</v>
      </c>
      <c r="F73" s="20" t="n">
        <v>2.22128364</v>
      </c>
      <c r="G73" s="18" t="n">
        <v>27.66557935</v>
      </c>
      <c r="H73" s="20" t="n">
        <v>2.2175987</v>
      </c>
      <c r="I73" s="18" t="s">
        <v>349</v>
      </c>
      <c r="J73" s="20" t="s">
        <v>349</v>
      </c>
      <c r="K73" s="18" t="n">
        <v>0</v>
      </c>
      <c r="L73" s="20" t="n">
        <v>0</v>
      </c>
      <c r="M73" s="18" t="n">
        <v>0</v>
      </c>
      <c r="N73" s="20" t="n">
        <v>0</v>
      </c>
      <c r="O73" s="18" t="n">
        <v>0</v>
      </c>
      <c r="P73" s="20" t="n">
        <v>0</v>
      </c>
      <c r="Q73" s="18" t="n">
        <v>1.30535726</v>
      </c>
      <c r="R73" s="20" t="n">
        <v>0.41540329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(4744.0/B75*100)</f>
        <v/>
      </c>
      <c r="D75" s="19" t="n">
        <v>631</v>
      </c>
      <c r="E75" s="18" t="n">
        <v>72.78955849</v>
      </c>
      <c r="F75" s="20" t="n">
        <v>1.88951933</v>
      </c>
      <c r="G75" s="18" t="n">
        <v>23.13850692</v>
      </c>
      <c r="H75" s="20" t="n">
        <v>1.76314339</v>
      </c>
      <c r="I75" s="18" t="s">
        <v>349</v>
      </c>
      <c r="J75" s="20" t="s">
        <v>349</v>
      </c>
      <c r="K75" s="18" t="n">
        <v>2.51923337</v>
      </c>
      <c r="L75" s="20" t="n">
        <v>0.64508851</v>
      </c>
      <c r="M75" s="18" t="n">
        <v>0</v>
      </c>
      <c r="N75" s="20" t="n">
        <v>0</v>
      </c>
      <c r="O75" s="18" t="n">
        <v>0</v>
      </c>
      <c r="P75" s="20" t="n">
        <v>0</v>
      </c>
      <c r="Q75" s="18" t="n">
        <v>1.55270122</v>
      </c>
      <c r="R75" s="20" t="n">
        <v>0.49538796</v>
      </c>
    </row>
    <row r="76" spans="1:18">
      <c r="A76" s="15" t="s">
        <v>418</v>
      </c>
      <c r="B76" s="17" t="n">
        <v>14167</v>
      </c>
      <c r="C76" s="18">
        <f>(12433.0/B76*100)</f>
        <v/>
      </c>
      <c r="D76" s="19" t="n">
        <v>1734</v>
      </c>
      <c r="E76" s="18" t="n">
        <v>64.50992664</v>
      </c>
      <c r="F76" s="20" t="n">
        <v>1.30495752</v>
      </c>
      <c r="G76" s="18" t="n">
        <v>32.98445424</v>
      </c>
      <c r="H76" s="20" t="n">
        <v>1.32022439</v>
      </c>
      <c r="I76" s="18" t="s">
        <v>349</v>
      </c>
      <c r="J76" s="20" t="s">
        <v>349</v>
      </c>
      <c r="K76" s="18" t="n">
        <v>1.12665673</v>
      </c>
      <c r="L76" s="20" t="n">
        <v>0.29829735</v>
      </c>
      <c r="M76" s="18" t="n">
        <v>0</v>
      </c>
      <c r="N76" s="20" t="n">
        <v>0</v>
      </c>
      <c r="O76" s="18" t="n">
        <v>0</v>
      </c>
      <c r="P76" s="20" t="n">
        <v>0</v>
      </c>
      <c r="Q76" s="18" t="n">
        <v>1.37896239</v>
      </c>
      <c r="R76" s="20" t="n">
        <v>0.41982145</v>
      </c>
    </row>
    <row r="77" spans="1:18">
      <c r="A77" s="15" t="s">
        <v>419</v>
      </c>
      <c r="B77" s="17" t="n">
        <v>6062</v>
      </c>
      <c r="C77" s="18">
        <f>(5320.0/B77*100)</f>
        <v/>
      </c>
      <c r="D77" s="19" t="n">
        <v>742</v>
      </c>
      <c r="E77" s="18" t="n">
        <v>73.82231711</v>
      </c>
      <c r="F77" s="20" t="n">
        <v>1.68488574</v>
      </c>
      <c r="G77" s="18" t="n">
        <v>21.49447605</v>
      </c>
      <c r="H77" s="20" t="n">
        <v>1.5396874</v>
      </c>
      <c r="I77" s="18" t="s">
        <v>349</v>
      </c>
      <c r="J77" s="20" t="s">
        <v>349</v>
      </c>
      <c r="K77" s="18" t="n">
        <v>1.70097488</v>
      </c>
      <c r="L77" s="20" t="n">
        <v>0.51157678</v>
      </c>
      <c r="M77" s="18" t="n">
        <v>0</v>
      </c>
      <c r="N77" s="20" t="n">
        <v>0</v>
      </c>
      <c r="O77" s="18" t="n">
        <v>0</v>
      </c>
      <c r="P77" s="20" t="n">
        <v>0</v>
      </c>
      <c r="Q77" s="18" t="n">
        <v>2.98223196</v>
      </c>
      <c r="R77" s="20" t="n">
        <v>0.74655918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(7774.0/B81*100)</f>
        <v/>
      </c>
      <c r="D81" s="19" t="n">
        <v>1087</v>
      </c>
      <c r="E81" s="18" t="n">
        <v>71.08122871</v>
      </c>
      <c r="F81" s="20" t="n">
        <v>1.77581886</v>
      </c>
      <c r="G81" s="18" t="n">
        <v>28.25844508</v>
      </c>
      <c r="H81" s="20" t="n">
        <v>1.79681011</v>
      </c>
      <c r="I81" s="18" t="s">
        <v>349</v>
      </c>
      <c r="J81" s="20" t="s">
        <v>349</v>
      </c>
      <c r="K81" s="18" t="n">
        <v>0.27138236</v>
      </c>
      <c r="L81" s="20" t="n">
        <v>0.16115642</v>
      </c>
      <c r="M81" s="18" t="n">
        <v>0</v>
      </c>
      <c r="N81" s="20" t="n">
        <v>0</v>
      </c>
      <c r="O81" s="18" t="n">
        <v>0</v>
      </c>
      <c r="P81" s="20" t="n">
        <v>0</v>
      </c>
      <c r="Q81" s="18" t="n">
        <v>0.38894384</v>
      </c>
      <c r="R81" s="20" t="n">
        <v>0.20344163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(12789.0/B7*100)</f>
        <v/>
      </c>
      <c r="D7" s="19" t="n">
        <v>1741</v>
      </c>
      <c r="E7" s="18" t="n">
        <v>19.98436376</v>
      </c>
      <c r="F7" s="20" t="n">
        <v>1.29187913</v>
      </c>
      <c r="G7" s="18" t="n">
        <v>73.91887418</v>
      </c>
      <c r="H7" s="20" t="n">
        <v>1.22395994</v>
      </c>
      <c r="I7" s="18" t="s">
        <v>349</v>
      </c>
      <c r="J7" s="20" t="s">
        <v>349</v>
      </c>
      <c r="K7" s="18" t="n">
        <v>0.63490097</v>
      </c>
      <c r="L7" s="20" t="n">
        <v>0.223218</v>
      </c>
      <c r="M7" s="18" t="n">
        <v>0</v>
      </c>
      <c r="N7" s="20" t="n">
        <v>0</v>
      </c>
      <c r="O7" s="18" t="n">
        <v>0</v>
      </c>
      <c r="P7" s="20" t="n">
        <v>0</v>
      </c>
      <c r="Q7" s="18" t="n">
        <v>5.46186109</v>
      </c>
      <c r="R7" s="20" t="n">
        <v>0.64831669</v>
      </c>
    </row>
    <row r="8" spans="1:18">
      <c r="A8" s="15" t="s">
        <v>350</v>
      </c>
      <c r="B8" s="17" t="n">
        <v>7007</v>
      </c>
      <c r="C8" s="18">
        <f>(6108.0/B8*100)</f>
        <v/>
      </c>
      <c r="D8" s="19" t="n">
        <v>899</v>
      </c>
      <c r="E8" s="18" t="n">
        <v>25.60153225</v>
      </c>
      <c r="F8" s="20" t="n">
        <v>1.61671707</v>
      </c>
      <c r="G8" s="18" t="n">
        <v>67.60886232999999</v>
      </c>
      <c r="H8" s="20" t="n">
        <v>1.79879235</v>
      </c>
      <c r="I8" s="18" t="s">
        <v>349</v>
      </c>
      <c r="J8" s="20" t="s">
        <v>349</v>
      </c>
      <c r="K8" s="18" t="n">
        <v>1.36160923</v>
      </c>
      <c r="L8" s="20" t="n">
        <v>0.58069012</v>
      </c>
      <c r="M8" s="18" t="n">
        <v>0</v>
      </c>
      <c r="N8" s="20" t="n">
        <v>0</v>
      </c>
      <c r="O8" s="18" t="n">
        <v>0</v>
      </c>
      <c r="P8" s="20" t="n">
        <v>0</v>
      </c>
      <c r="Q8" s="18" t="n">
        <v>5.42799619</v>
      </c>
      <c r="R8" s="20" t="n">
        <v>0.83691032</v>
      </c>
    </row>
    <row r="9" spans="1:18">
      <c r="A9" s="15" t="s">
        <v>351</v>
      </c>
      <c r="B9" s="17" t="n">
        <v>9651</v>
      </c>
      <c r="C9" s="18">
        <f>(8275.0/B9*100)</f>
        <v/>
      </c>
      <c r="D9" s="19" t="n">
        <v>1376</v>
      </c>
      <c r="E9" s="18" t="n">
        <v>21.0329627</v>
      </c>
      <c r="F9" s="20" t="n">
        <v>1.26682471</v>
      </c>
      <c r="G9" s="18" t="n">
        <v>68.30542933</v>
      </c>
      <c r="H9" s="20" t="n">
        <v>2.1437012</v>
      </c>
      <c r="I9" s="18" t="s">
        <v>349</v>
      </c>
      <c r="J9" s="20" t="s">
        <v>349</v>
      </c>
      <c r="K9" s="18" t="n">
        <v>6.22804683</v>
      </c>
      <c r="L9" s="20" t="n">
        <v>1.31947776</v>
      </c>
      <c r="M9" s="18" t="n">
        <v>0</v>
      </c>
      <c r="N9" s="20" t="n">
        <v>0</v>
      </c>
      <c r="O9" s="18" t="n">
        <v>0</v>
      </c>
      <c r="P9" s="20" t="n">
        <v>0</v>
      </c>
      <c r="Q9" s="18" t="n">
        <v>4.43356114</v>
      </c>
      <c r="R9" s="20" t="n">
        <v>0.65471159</v>
      </c>
    </row>
    <row r="10" spans="1:18">
      <c r="A10" s="15" t="s">
        <v>352</v>
      </c>
      <c r="B10" s="17" t="n">
        <v>20058</v>
      </c>
      <c r="C10" s="18">
        <f>(17593.0/B10*100)</f>
        <v/>
      </c>
      <c r="D10" s="19" t="n">
        <v>2465</v>
      </c>
      <c r="E10" s="18" t="n">
        <v>20.5127382</v>
      </c>
      <c r="F10" s="20" t="n">
        <v>1.11868832</v>
      </c>
      <c r="G10" s="18" t="n">
        <v>75.84036029000001</v>
      </c>
      <c r="H10" s="20" t="n">
        <v>1.30927543</v>
      </c>
      <c r="I10" s="18" t="s">
        <v>349</v>
      </c>
      <c r="J10" s="20" t="s">
        <v>349</v>
      </c>
      <c r="K10" s="18" t="n">
        <v>0.59116808</v>
      </c>
      <c r="L10" s="20" t="n">
        <v>0.2182785</v>
      </c>
      <c r="M10" s="18" t="n">
        <v>0</v>
      </c>
      <c r="N10" s="20" t="n">
        <v>0</v>
      </c>
      <c r="O10" s="18" t="n">
        <v>0</v>
      </c>
      <c r="P10" s="20" t="n">
        <v>0</v>
      </c>
      <c r="Q10" s="18" t="n">
        <v>3.05573343</v>
      </c>
      <c r="R10" s="20" t="n">
        <v>0.50367298</v>
      </c>
    </row>
    <row r="11" spans="1:18">
      <c r="A11" s="15" t="s">
        <v>353</v>
      </c>
      <c r="B11" s="17" t="n">
        <v>7053</v>
      </c>
      <c r="C11" s="18">
        <f>(6187.0/B11*100)</f>
        <v/>
      </c>
      <c r="D11" s="19" t="n">
        <v>866</v>
      </c>
      <c r="E11" s="18" t="n">
        <v>41.26817555</v>
      </c>
      <c r="F11" s="20" t="n">
        <v>1.92329828</v>
      </c>
      <c r="G11" s="18" t="n">
        <v>43.89858379</v>
      </c>
      <c r="H11" s="20" t="n">
        <v>2.05369982</v>
      </c>
      <c r="I11" s="18" t="s">
        <v>349</v>
      </c>
      <c r="J11" s="20" t="s">
        <v>349</v>
      </c>
      <c r="K11" s="18" t="n">
        <v>1.49962702</v>
      </c>
      <c r="L11" s="20" t="n">
        <v>0.43952617</v>
      </c>
      <c r="M11" s="18" t="n">
        <v>0</v>
      </c>
      <c r="N11" s="20" t="n">
        <v>0</v>
      </c>
      <c r="O11" s="18" t="n">
        <v>0</v>
      </c>
      <c r="P11" s="20" t="n">
        <v>0</v>
      </c>
      <c r="Q11" s="18" t="n">
        <v>13.33361364</v>
      </c>
      <c r="R11" s="20" t="n">
        <v>1.11405877</v>
      </c>
    </row>
    <row r="12" spans="1:18">
      <c r="A12" s="15" t="s">
        <v>354</v>
      </c>
      <c r="B12" s="17" t="n">
        <v>6894</v>
      </c>
      <c r="C12" s="18">
        <f>(5973.0/B12*100)</f>
        <v/>
      </c>
      <c r="D12" s="19" t="n">
        <v>921</v>
      </c>
      <c r="E12" s="18" t="n">
        <v>26.73386805</v>
      </c>
      <c r="F12" s="20" t="n">
        <v>2.40671402</v>
      </c>
      <c r="G12" s="18" t="n">
        <v>60.31874829</v>
      </c>
      <c r="H12" s="20" t="n">
        <v>3.10365829</v>
      </c>
      <c r="I12" s="18" t="s">
        <v>349</v>
      </c>
      <c r="J12" s="20" t="s">
        <v>349</v>
      </c>
      <c r="K12" s="18" t="n">
        <v>5.63327731</v>
      </c>
      <c r="L12" s="20" t="n">
        <v>1.95631148</v>
      </c>
      <c r="M12" s="18" t="n">
        <v>0</v>
      </c>
      <c r="N12" s="20" t="n">
        <v>0</v>
      </c>
      <c r="O12" s="18" t="n">
        <v>0</v>
      </c>
      <c r="P12" s="20" t="n">
        <v>0</v>
      </c>
      <c r="Q12" s="18" t="n">
        <v>7.31410635</v>
      </c>
      <c r="R12" s="20" t="n">
        <v>1.04154489</v>
      </c>
    </row>
    <row r="13" spans="1:18">
      <c r="A13" s="15" t="s">
        <v>355</v>
      </c>
      <c r="B13" s="17" t="n">
        <v>7161</v>
      </c>
      <c r="C13" s="18">
        <f>(5995.0/B13*100)</f>
        <v/>
      </c>
      <c r="D13" s="19" t="n">
        <v>1166</v>
      </c>
      <c r="E13" s="18" t="n">
        <v>21.73902555</v>
      </c>
      <c r="F13" s="20" t="n">
        <v>1.46595972</v>
      </c>
      <c r="G13" s="18" t="n">
        <v>71.04578565</v>
      </c>
      <c r="H13" s="20" t="n">
        <v>1.80828947</v>
      </c>
      <c r="I13" s="18" t="s">
        <v>349</v>
      </c>
      <c r="J13" s="20" t="s">
        <v>349</v>
      </c>
      <c r="K13" s="18" t="n">
        <v>5.033106</v>
      </c>
      <c r="L13" s="20" t="n">
        <v>0.99799072</v>
      </c>
      <c r="M13" s="18" t="n">
        <v>0</v>
      </c>
      <c r="N13" s="20" t="n">
        <v>0</v>
      </c>
      <c r="O13" s="18" t="n">
        <v>0</v>
      </c>
      <c r="P13" s="20" t="n">
        <v>0</v>
      </c>
      <c r="Q13" s="18" t="n">
        <v>2.18208281</v>
      </c>
      <c r="R13" s="20" t="n">
        <v>0.5368157099999999</v>
      </c>
    </row>
    <row r="14" spans="1:18">
      <c r="A14" s="15" t="s">
        <v>356</v>
      </c>
      <c r="B14" s="17" t="n">
        <v>5587</v>
      </c>
      <c r="C14" s="18">
        <f>(4909.0/B14*100)</f>
        <v/>
      </c>
      <c r="D14" s="19" t="n">
        <v>678</v>
      </c>
      <c r="E14" s="18" t="n">
        <v>14.62612102</v>
      </c>
      <c r="F14" s="20" t="n">
        <v>1.44616113</v>
      </c>
      <c r="G14" s="18" t="n">
        <v>82.76470419</v>
      </c>
      <c r="H14" s="20" t="n">
        <v>1.57376713</v>
      </c>
      <c r="I14" s="18" t="s">
        <v>349</v>
      </c>
      <c r="J14" s="20" t="s">
        <v>349</v>
      </c>
      <c r="K14" s="18" t="n">
        <v>0.34108884</v>
      </c>
      <c r="L14" s="20" t="n">
        <v>0.19846605</v>
      </c>
      <c r="M14" s="18" t="n">
        <v>0</v>
      </c>
      <c r="N14" s="20" t="n">
        <v>0</v>
      </c>
      <c r="O14" s="18" t="n">
        <v>0</v>
      </c>
      <c r="P14" s="20" t="n">
        <v>0</v>
      </c>
      <c r="Q14" s="18" t="n">
        <v>2.26808594</v>
      </c>
      <c r="R14" s="20" t="n">
        <v>0.70997296</v>
      </c>
    </row>
    <row r="15" spans="1:18">
      <c r="A15" s="15" t="s">
        <v>357</v>
      </c>
      <c r="B15" s="17" t="n">
        <v>5882</v>
      </c>
      <c r="C15" s="18">
        <f>(5149.0/B15*100)</f>
        <v/>
      </c>
      <c r="D15" s="19" t="n">
        <v>733</v>
      </c>
      <c r="E15" s="18" t="n">
        <v>20.78406168</v>
      </c>
      <c r="F15" s="20" t="n">
        <v>1.59985893</v>
      </c>
      <c r="G15" s="18" t="n">
        <v>71.08299604</v>
      </c>
      <c r="H15" s="20" t="n">
        <v>2.74091727</v>
      </c>
      <c r="I15" s="18" t="s">
        <v>349</v>
      </c>
      <c r="J15" s="20" t="s">
        <v>349</v>
      </c>
      <c r="K15" s="18" t="n">
        <v>3.35507846</v>
      </c>
      <c r="L15" s="20" t="n">
        <v>2.01879012</v>
      </c>
      <c r="M15" s="18" t="n">
        <v>0</v>
      </c>
      <c r="N15" s="20" t="n">
        <v>0</v>
      </c>
      <c r="O15" s="18" t="n">
        <v>0</v>
      </c>
      <c r="P15" s="20" t="n">
        <v>0</v>
      </c>
      <c r="Q15" s="18" t="n">
        <v>4.77786382</v>
      </c>
      <c r="R15" s="20" t="n">
        <v>0.8355966</v>
      </c>
    </row>
    <row r="16" spans="1:18">
      <c r="A16" s="15" t="s">
        <v>358</v>
      </c>
      <c r="B16" s="17" t="n">
        <v>6108</v>
      </c>
      <c r="C16" s="18">
        <f>(5362.0/B16*100)</f>
        <v/>
      </c>
      <c r="D16" s="19" t="n">
        <v>746</v>
      </c>
      <c r="E16" s="18" t="n">
        <v>14.70016644</v>
      </c>
      <c r="F16" s="20" t="n">
        <v>1.2501656</v>
      </c>
      <c r="G16" s="18" t="n">
        <v>76.94569014</v>
      </c>
      <c r="H16" s="20" t="n">
        <v>1.41722304</v>
      </c>
      <c r="I16" s="18" t="s">
        <v>349</v>
      </c>
      <c r="J16" s="20" t="s">
        <v>349</v>
      </c>
      <c r="K16" s="18" t="n">
        <v>0.5722786399999999</v>
      </c>
      <c r="L16" s="20" t="n">
        <v>0.33528106</v>
      </c>
      <c r="M16" s="18" t="n">
        <v>0</v>
      </c>
      <c r="N16" s="20" t="n">
        <v>0</v>
      </c>
      <c r="O16" s="18" t="n">
        <v>0</v>
      </c>
      <c r="P16" s="20" t="n">
        <v>0</v>
      </c>
      <c r="Q16" s="18" t="n">
        <v>7.78186478</v>
      </c>
      <c r="R16" s="20" t="n">
        <v>1.04886491</v>
      </c>
    </row>
    <row r="17" spans="1:18">
      <c r="A17" s="15" t="s">
        <v>359</v>
      </c>
      <c r="B17" s="17" t="n">
        <v>6504</v>
      </c>
      <c r="C17" s="18">
        <f>(5588.0/B17*100)</f>
        <v/>
      </c>
      <c r="D17" s="19" t="n">
        <v>916</v>
      </c>
      <c r="E17" s="18" t="n">
        <v>19.16747107</v>
      </c>
      <c r="F17" s="20" t="n">
        <v>1.48914437</v>
      </c>
      <c r="G17" s="18" t="n">
        <v>67.74168261</v>
      </c>
      <c r="H17" s="20" t="n">
        <v>2.02965305</v>
      </c>
      <c r="I17" s="18" t="s">
        <v>349</v>
      </c>
      <c r="J17" s="20" t="s">
        <v>349</v>
      </c>
      <c r="K17" s="18" t="n">
        <v>8.70579478</v>
      </c>
      <c r="L17" s="20" t="n">
        <v>2.08688472</v>
      </c>
      <c r="M17" s="18" t="n">
        <v>0</v>
      </c>
      <c r="N17" s="20" t="n">
        <v>0</v>
      </c>
      <c r="O17" s="18" t="n">
        <v>0</v>
      </c>
      <c r="P17" s="20" t="n">
        <v>0</v>
      </c>
      <c r="Q17" s="18" t="n">
        <v>4.38505153</v>
      </c>
      <c r="R17" s="20" t="n">
        <v>0.7365098</v>
      </c>
    </row>
    <row r="18" spans="1:18">
      <c r="A18" s="15" t="s">
        <v>360</v>
      </c>
      <c r="B18" s="17" t="n">
        <v>5532</v>
      </c>
      <c r="C18" s="18">
        <f>(4864.0/B18*100)</f>
        <v/>
      </c>
      <c r="D18" s="19" t="n">
        <v>668</v>
      </c>
      <c r="E18" s="18" t="n">
        <v>35.01864505</v>
      </c>
      <c r="F18" s="20" t="n">
        <v>2.64125731</v>
      </c>
      <c r="G18" s="18" t="n">
        <v>57.45640936</v>
      </c>
      <c r="H18" s="20" t="n">
        <v>2.47835593</v>
      </c>
      <c r="I18" s="18" t="s">
        <v>349</v>
      </c>
      <c r="J18" s="20" t="s">
        <v>349</v>
      </c>
      <c r="K18" s="18" t="n">
        <v>0.9126501</v>
      </c>
      <c r="L18" s="20" t="n">
        <v>0.54131918</v>
      </c>
      <c r="M18" s="18" t="n">
        <v>0</v>
      </c>
      <c r="N18" s="20" t="n">
        <v>0</v>
      </c>
      <c r="O18" s="18" t="n">
        <v>0</v>
      </c>
      <c r="P18" s="20" t="n">
        <v>0</v>
      </c>
      <c r="Q18" s="18" t="n">
        <v>6.61229549</v>
      </c>
      <c r="R18" s="20" t="n">
        <v>1.20684771</v>
      </c>
    </row>
    <row r="19" spans="1:18">
      <c r="A19" s="15" t="s">
        <v>361</v>
      </c>
      <c r="B19" s="17" t="n">
        <v>5658</v>
      </c>
      <c r="C19" s="18">
        <f>(4972.0/B19*100)</f>
        <v/>
      </c>
      <c r="D19" s="19" t="n">
        <v>686</v>
      </c>
      <c r="E19" s="18" t="n">
        <v>25.22625871</v>
      </c>
      <c r="F19" s="20" t="n">
        <v>1.80584977</v>
      </c>
      <c r="G19" s="18" t="n">
        <v>69.73992708999999</v>
      </c>
      <c r="H19" s="20" t="n">
        <v>1.8548621</v>
      </c>
      <c r="I19" s="18" t="s">
        <v>349</v>
      </c>
      <c r="J19" s="20" t="s">
        <v>349</v>
      </c>
      <c r="K19" s="18" t="n">
        <v>0.40379472</v>
      </c>
      <c r="L19" s="20" t="n">
        <v>0.22485623</v>
      </c>
      <c r="M19" s="18" t="n">
        <v>0</v>
      </c>
      <c r="N19" s="20" t="n">
        <v>0</v>
      </c>
      <c r="O19" s="18" t="n">
        <v>0</v>
      </c>
      <c r="P19" s="20" t="n">
        <v>0</v>
      </c>
      <c r="Q19" s="18" t="n">
        <v>4.63001948</v>
      </c>
      <c r="R19" s="20" t="n">
        <v>0.7159238</v>
      </c>
    </row>
    <row r="20" spans="1:18">
      <c r="A20" s="15" t="s">
        <v>362</v>
      </c>
      <c r="B20" s="17" t="n">
        <v>3371</v>
      </c>
      <c r="C20" s="18">
        <f>(2953.0/B20*100)</f>
        <v/>
      </c>
      <c r="D20" s="19" t="n">
        <v>418</v>
      </c>
      <c r="E20" s="18" t="n">
        <v>25.92054104</v>
      </c>
      <c r="F20" s="20" t="n">
        <v>2.15831357</v>
      </c>
      <c r="G20" s="18" t="n">
        <v>66.77692795999999</v>
      </c>
      <c r="H20" s="20" t="n">
        <v>2.15191746</v>
      </c>
      <c r="I20" s="18" t="s">
        <v>349</v>
      </c>
      <c r="J20" s="20" t="s">
        <v>349</v>
      </c>
      <c r="K20" s="18" t="n">
        <v>0.44867995</v>
      </c>
      <c r="L20" s="20" t="n">
        <v>0.31589438</v>
      </c>
      <c r="M20" s="18" t="n">
        <v>0</v>
      </c>
      <c r="N20" s="20" t="n">
        <v>0</v>
      </c>
      <c r="O20" s="18" t="n">
        <v>0</v>
      </c>
      <c r="P20" s="20" t="n">
        <v>0</v>
      </c>
      <c r="Q20" s="18" t="n">
        <v>6.85385105</v>
      </c>
      <c r="R20" s="20" t="n">
        <v>1.2245237</v>
      </c>
    </row>
    <row r="21" spans="1:18">
      <c r="A21" s="15" t="s">
        <v>363</v>
      </c>
      <c r="B21" s="17" t="n">
        <v>5741</v>
      </c>
      <c r="C21" s="18">
        <f>(4757.0/B21*100)</f>
        <v/>
      </c>
      <c r="D21" s="19" t="n">
        <v>984</v>
      </c>
      <c r="E21" s="18" t="n">
        <v>20.08393516</v>
      </c>
      <c r="F21" s="20" t="n">
        <v>1.33812971</v>
      </c>
      <c r="G21" s="18" t="n">
        <v>75.13779341</v>
      </c>
      <c r="H21" s="20" t="n">
        <v>1.58974613</v>
      </c>
      <c r="I21" s="18" t="s">
        <v>349</v>
      </c>
      <c r="J21" s="20" t="s">
        <v>349</v>
      </c>
      <c r="K21" s="18" t="n">
        <v>0.53706284</v>
      </c>
      <c r="L21" s="20" t="n">
        <v>0.24401912</v>
      </c>
      <c r="M21" s="18" t="n">
        <v>0</v>
      </c>
      <c r="N21" s="20" t="n">
        <v>0</v>
      </c>
      <c r="O21" s="18" t="n">
        <v>0</v>
      </c>
      <c r="P21" s="20" t="n">
        <v>0</v>
      </c>
      <c r="Q21" s="18" t="n">
        <v>4.24120859</v>
      </c>
      <c r="R21" s="20" t="n">
        <v>0.79830611</v>
      </c>
    </row>
    <row r="22" spans="1:18">
      <c r="A22" s="15" t="s">
        <v>364</v>
      </c>
      <c r="B22" s="17" t="n">
        <v>6598</v>
      </c>
      <c r="C22" s="18">
        <f>(5748.0/B22*100)</f>
        <v/>
      </c>
      <c r="D22" s="19" t="n">
        <v>850</v>
      </c>
      <c r="E22" s="18" t="n">
        <v>27.02089821</v>
      </c>
      <c r="F22" s="20" t="n">
        <v>1.87652165</v>
      </c>
      <c r="G22" s="18" t="n">
        <v>62.27198069</v>
      </c>
      <c r="H22" s="20" t="n">
        <v>2.16199501</v>
      </c>
      <c r="I22" s="18" t="s">
        <v>349</v>
      </c>
      <c r="J22" s="20" t="s">
        <v>349</v>
      </c>
      <c r="K22" s="18" t="n">
        <v>1.78045562</v>
      </c>
      <c r="L22" s="20" t="n">
        <v>0.53137603</v>
      </c>
      <c r="M22" s="18" t="n">
        <v>0</v>
      </c>
      <c r="N22" s="20" t="n">
        <v>0</v>
      </c>
      <c r="O22" s="18" t="n">
        <v>0</v>
      </c>
      <c r="P22" s="20" t="n">
        <v>0</v>
      </c>
      <c r="Q22" s="18" t="n">
        <v>8.92666548</v>
      </c>
      <c r="R22" s="20" t="n">
        <v>1.34780819</v>
      </c>
    </row>
    <row r="23" spans="1:18">
      <c r="A23" s="15" t="s">
        <v>365</v>
      </c>
      <c r="B23" s="17" t="n">
        <v>11583</v>
      </c>
      <c r="C23" s="18">
        <f>(10179.0/B23*100)</f>
        <v/>
      </c>
      <c r="D23" s="19" t="n">
        <v>1404</v>
      </c>
      <c r="E23" s="18" t="n">
        <v>19.75562772</v>
      </c>
      <c r="F23" s="20" t="n">
        <v>1.46372058</v>
      </c>
      <c r="G23" s="18" t="n">
        <v>71.54165700999999</v>
      </c>
      <c r="H23" s="20" t="n">
        <v>1.68362021</v>
      </c>
      <c r="I23" s="18" t="s">
        <v>349</v>
      </c>
      <c r="J23" s="20" t="s">
        <v>349</v>
      </c>
      <c r="K23" s="18" t="n">
        <v>1.00148504</v>
      </c>
      <c r="L23" s="20" t="n">
        <v>0.29625708</v>
      </c>
      <c r="M23" s="18" t="n">
        <v>0</v>
      </c>
      <c r="N23" s="20" t="n">
        <v>0</v>
      </c>
      <c r="O23" s="18" t="n">
        <v>0</v>
      </c>
      <c r="P23" s="20" t="n">
        <v>0</v>
      </c>
      <c r="Q23" s="18" t="n">
        <v>7.70123023</v>
      </c>
      <c r="R23" s="20" t="n">
        <v>1.00452958</v>
      </c>
    </row>
    <row r="24" spans="1:18">
      <c r="A24" s="15" t="s">
        <v>366</v>
      </c>
      <c r="B24" s="17" t="n">
        <v>6647</v>
      </c>
      <c r="C24" s="18">
        <f>(5851.0/B24*100)</f>
        <v/>
      </c>
      <c r="D24" s="19" t="n">
        <v>796</v>
      </c>
      <c r="E24" s="18" t="n">
        <v>51.11767183</v>
      </c>
      <c r="F24" s="20" t="n">
        <v>1.96408913</v>
      </c>
      <c r="G24" s="18" t="n">
        <v>44.54129002</v>
      </c>
      <c r="H24" s="20" t="n">
        <v>2.00016834</v>
      </c>
      <c r="I24" s="18" t="s">
        <v>349</v>
      </c>
      <c r="J24" s="20" t="s">
        <v>349</v>
      </c>
      <c r="K24" s="18" t="n">
        <v>0.22907928</v>
      </c>
      <c r="L24" s="20" t="n">
        <v>0.17814809</v>
      </c>
      <c r="M24" s="18" t="n">
        <v>0</v>
      </c>
      <c r="N24" s="20" t="n">
        <v>0</v>
      </c>
      <c r="O24" s="18" t="n">
        <v>0</v>
      </c>
      <c r="P24" s="20" t="n">
        <v>0</v>
      </c>
      <c r="Q24" s="18" t="n">
        <v>4.11195887</v>
      </c>
      <c r="R24" s="20" t="n">
        <v>0.68250857</v>
      </c>
    </row>
    <row r="25" spans="1:18">
      <c r="A25" s="15" t="s">
        <v>367</v>
      </c>
      <c r="B25" s="17" t="n">
        <v>5581</v>
      </c>
      <c r="C25" s="18">
        <f>(4896.0/B25*100)</f>
        <v/>
      </c>
      <c r="D25" s="19" t="n">
        <v>685</v>
      </c>
      <c r="E25" s="18" t="n">
        <v>18.41630281</v>
      </c>
      <c r="F25" s="20" t="n">
        <v>1.6125203</v>
      </c>
      <c r="G25" s="18" t="n">
        <v>77.18902361000001</v>
      </c>
      <c r="H25" s="20" t="n">
        <v>1.7649895</v>
      </c>
      <c r="I25" s="18" t="s">
        <v>349</v>
      </c>
      <c r="J25" s="20" t="s">
        <v>349</v>
      </c>
      <c r="K25" s="18" t="n">
        <v>0.56957163</v>
      </c>
      <c r="L25" s="20" t="n">
        <v>0.43516892</v>
      </c>
      <c r="M25" s="18" t="n">
        <v>0</v>
      </c>
      <c r="N25" s="20" t="n">
        <v>0</v>
      </c>
      <c r="O25" s="18" t="n">
        <v>0</v>
      </c>
      <c r="P25" s="20" t="n">
        <v>0</v>
      </c>
      <c r="Q25" s="18" t="n">
        <v>3.82510196</v>
      </c>
      <c r="R25" s="20" t="n">
        <v>0.6763447</v>
      </c>
    </row>
    <row r="26" spans="1:18">
      <c r="A26" s="15" t="s">
        <v>368</v>
      </c>
      <c r="B26" s="17" t="n">
        <v>4869</v>
      </c>
      <c r="C26" s="18">
        <f>(4278.0/B26*100)</f>
        <v/>
      </c>
      <c r="D26" s="19" t="n">
        <v>591</v>
      </c>
      <c r="E26" s="18" t="n">
        <v>58.16685289</v>
      </c>
      <c r="F26" s="20" t="n">
        <v>2.10541046</v>
      </c>
      <c r="G26" s="18" t="n">
        <v>35.19382188</v>
      </c>
      <c r="H26" s="20" t="n">
        <v>2.28378203</v>
      </c>
      <c r="I26" s="18" t="s">
        <v>349</v>
      </c>
      <c r="J26" s="20" t="s">
        <v>349</v>
      </c>
      <c r="K26" s="18" t="n">
        <v>0.45275183</v>
      </c>
      <c r="L26" s="20" t="n">
        <v>0.3323344</v>
      </c>
      <c r="M26" s="18" t="n">
        <v>0</v>
      </c>
      <c r="N26" s="20" t="n">
        <v>0</v>
      </c>
      <c r="O26" s="18" t="n">
        <v>0</v>
      </c>
      <c r="P26" s="20" t="n">
        <v>0</v>
      </c>
      <c r="Q26" s="18" t="n">
        <v>6.18657339</v>
      </c>
      <c r="R26" s="20" t="n">
        <v>1.17347799</v>
      </c>
    </row>
    <row r="27" spans="1:18">
      <c r="A27" s="15" t="s">
        <v>369</v>
      </c>
      <c r="B27" s="17" t="n">
        <v>5299</v>
      </c>
      <c r="C27" s="18">
        <f>(4655.0/B27*100)</f>
        <v/>
      </c>
      <c r="D27" s="19" t="n">
        <v>644</v>
      </c>
      <c r="E27" s="18" t="n">
        <v>25.46900763</v>
      </c>
      <c r="F27" s="20" t="n">
        <v>1.7203248</v>
      </c>
      <c r="G27" s="18" t="n">
        <v>67.69087225</v>
      </c>
      <c r="H27" s="20" t="n">
        <v>1.79963639</v>
      </c>
      <c r="I27" s="18" t="s">
        <v>349</v>
      </c>
      <c r="J27" s="20" t="s">
        <v>349</v>
      </c>
      <c r="K27" s="18" t="n">
        <v>0.32085234</v>
      </c>
      <c r="L27" s="20" t="n">
        <v>0.22555093</v>
      </c>
      <c r="M27" s="18" t="n">
        <v>0</v>
      </c>
      <c r="N27" s="20" t="n">
        <v>0</v>
      </c>
      <c r="O27" s="18" t="n">
        <v>0</v>
      </c>
      <c r="P27" s="20" t="n">
        <v>0</v>
      </c>
      <c r="Q27" s="18" t="n">
        <v>6.51926778</v>
      </c>
      <c r="R27" s="20" t="n">
        <v>0.8994919300000001</v>
      </c>
    </row>
    <row r="28" spans="1:18">
      <c r="A28" s="15" t="s">
        <v>370</v>
      </c>
      <c r="B28" s="17" t="n">
        <v>7568</v>
      </c>
      <c r="C28" s="18">
        <f>(6664.0/B28*100)</f>
        <v/>
      </c>
      <c r="D28" s="19" t="n">
        <v>904</v>
      </c>
      <c r="E28" s="18" t="n">
        <v>51.05550513</v>
      </c>
      <c r="F28" s="20" t="n">
        <v>1.94820108</v>
      </c>
      <c r="G28" s="18" t="n">
        <v>41.0843735</v>
      </c>
      <c r="H28" s="20" t="n">
        <v>2.02649584</v>
      </c>
      <c r="I28" s="18" t="s">
        <v>349</v>
      </c>
      <c r="J28" s="20" t="s">
        <v>349</v>
      </c>
      <c r="K28" s="18" t="n">
        <v>1.18842544</v>
      </c>
      <c r="L28" s="20" t="n">
        <v>0.47938081</v>
      </c>
      <c r="M28" s="18" t="n">
        <v>0</v>
      </c>
      <c r="N28" s="20" t="n">
        <v>0</v>
      </c>
      <c r="O28" s="18" t="n">
        <v>0</v>
      </c>
      <c r="P28" s="20" t="n">
        <v>0</v>
      </c>
      <c r="Q28" s="18" t="n">
        <v>6.67169593</v>
      </c>
      <c r="R28" s="20" t="n">
        <v>1.03762453</v>
      </c>
    </row>
    <row r="29" spans="1:18">
      <c r="A29" s="15" t="s">
        <v>371</v>
      </c>
      <c r="B29" s="17" t="n">
        <v>5385</v>
      </c>
      <c r="C29" s="18">
        <f>(4613.0/B29*100)</f>
        <v/>
      </c>
      <c r="D29" s="19" t="n">
        <v>772</v>
      </c>
      <c r="E29" s="18" t="n">
        <v>25.48039924</v>
      </c>
      <c r="F29" s="20" t="n">
        <v>1.75604583</v>
      </c>
      <c r="G29" s="18" t="n">
        <v>67.57256692</v>
      </c>
      <c r="H29" s="20" t="n">
        <v>2.61510845</v>
      </c>
      <c r="I29" s="18" t="s">
        <v>349</v>
      </c>
      <c r="J29" s="20" t="s">
        <v>349</v>
      </c>
      <c r="K29" s="18" t="n">
        <v>4.64277675</v>
      </c>
      <c r="L29" s="20" t="n">
        <v>1.74582295</v>
      </c>
      <c r="M29" s="18" t="n">
        <v>0</v>
      </c>
      <c r="N29" s="20" t="n">
        <v>0</v>
      </c>
      <c r="O29" s="18" t="n">
        <v>0</v>
      </c>
      <c r="P29" s="20" t="n">
        <v>0</v>
      </c>
      <c r="Q29" s="18" t="n">
        <v>2.30425709</v>
      </c>
      <c r="R29" s="20" t="n">
        <v>0.5369242</v>
      </c>
    </row>
    <row r="30" spans="1:18">
      <c r="A30" s="15" t="s">
        <v>372</v>
      </c>
      <c r="B30" s="17" t="n">
        <v>4520</v>
      </c>
      <c r="C30" s="18">
        <f>(3973.0/B30*100)</f>
        <v/>
      </c>
      <c r="D30" s="19" t="n">
        <v>547</v>
      </c>
      <c r="E30" s="18" t="n">
        <v>22.28662998</v>
      </c>
      <c r="F30" s="20" t="n">
        <v>1.9307991</v>
      </c>
      <c r="G30" s="18" t="n">
        <v>69.25508047</v>
      </c>
      <c r="H30" s="20" t="n">
        <v>2.3482411</v>
      </c>
      <c r="I30" s="18" t="s">
        <v>349</v>
      </c>
      <c r="J30" s="20" t="s">
        <v>349</v>
      </c>
      <c r="K30" s="18" t="n">
        <v>0.40386436</v>
      </c>
      <c r="L30" s="20" t="n">
        <v>0.35854763</v>
      </c>
      <c r="M30" s="18" t="n">
        <v>0</v>
      </c>
      <c r="N30" s="20" t="n">
        <v>0</v>
      </c>
      <c r="O30" s="18" t="n">
        <v>0</v>
      </c>
      <c r="P30" s="20" t="n">
        <v>0</v>
      </c>
      <c r="Q30" s="18" t="n">
        <v>8.05442519</v>
      </c>
      <c r="R30" s="20" t="n">
        <v>1.20569399</v>
      </c>
    </row>
    <row r="31" spans="1:18">
      <c r="A31" s="15" t="s">
        <v>373</v>
      </c>
      <c r="B31" s="17" t="n">
        <v>5456</v>
      </c>
      <c r="C31" s="18">
        <f>(4810.0/B31*100)</f>
        <v/>
      </c>
      <c r="D31" s="19" t="n">
        <v>646</v>
      </c>
      <c r="E31" s="18" t="n">
        <v>43.63692501</v>
      </c>
      <c r="F31" s="20" t="n">
        <v>2.09157994</v>
      </c>
      <c r="G31" s="18" t="n">
        <v>47.17132376</v>
      </c>
      <c r="H31" s="20" t="n">
        <v>2.23779258</v>
      </c>
      <c r="I31" s="18" t="s">
        <v>349</v>
      </c>
      <c r="J31" s="20" t="s">
        <v>349</v>
      </c>
      <c r="K31" s="18" t="n">
        <v>1.64279259</v>
      </c>
      <c r="L31" s="20" t="n">
        <v>0.52482896</v>
      </c>
      <c r="M31" s="18" t="n">
        <v>0</v>
      </c>
      <c r="N31" s="20" t="n">
        <v>0</v>
      </c>
      <c r="O31" s="18" t="n">
        <v>0</v>
      </c>
      <c r="P31" s="20" t="n">
        <v>0</v>
      </c>
      <c r="Q31" s="18" t="n">
        <v>7.54895865</v>
      </c>
      <c r="R31" s="20" t="n">
        <v>0.96221502</v>
      </c>
    </row>
    <row r="32" spans="1:18">
      <c r="A32" s="15" t="s">
        <v>374</v>
      </c>
      <c r="B32" s="17" t="n">
        <v>4478</v>
      </c>
      <c r="C32" s="18">
        <f>(3703.0/B32*100)</f>
        <v/>
      </c>
      <c r="D32" s="19" t="n">
        <v>775</v>
      </c>
      <c r="E32" s="18" t="n">
        <v>21.35008069</v>
      </c>
      <c r="F32" s="20" t="n">
        <v>1.55676667</v>
      </c>
      <c r="G32" s="18" t="n">
        <v>72.43115061</v>
      </c>
      <c r="H32" s="20" t="n">
        <v>1.71326074</v>
      </c>
      <c r="I32" s="18" t="s">
        <v>349</v>
      </c>
      <c r="J32" s="20" t="s">
        <v>349</v>
      </c>
      <c r="K32" s="18" t="n">
        <v>0.23330797</v>
      </c>
      <c r="L32" s="20" t="n">
        <v>0.16744211</v>
      </c>
      <c r="M32" s="18" t="n">
        <v>0</v>
      </c>
      <c r="N32" s="20" t="n">
        <v>0</v>
      </c>
      <c r="O32" s="18" t="n">
        <v>0</v>
      </c>
      <c r="P32" s="20" t="n">
        <v>0</v>
      </c>
      <c r="Q32" s="18" t="n">
        <v>5.98546072</v>
      </c>
      <c r="R32" s="20" t="n">
        <v>0.94596116</v>
      </c>
    </row>
    <row r="33" spans="1:18">
      <c r="A33" s="15" t="s">
        <v>375</v>
      </c>
      <c r="B33" s="17" t="n">
        <v>7325</v>
      </c>
      <c r="C33" s="18">
        <f>(6465.0/B33*100)</f>
        <v/>
      </c>
      <c r="D33" s="19" t="n">
        <v>860</v>
      </c>
      <c r="E33" s="18" t="n">
        <v>15.49105621</v>
      </c>
      <c r="F33" s="20" t="n">
        <v>1.43252016</v>
      </c>
      <c r="G33" s="18" t="n">
        <v>80.36418906</v>
      </c>
      <c r="H33" s="20" t="n">
        <v>1.85148734</v>
      </c>
      <c r="I33" s="18" t="s">
        <v>349</v>
      </c>
      <c r="J33" s="20" t="s">
        <v>349</v>
      </c>
      <c r="K33" s="18" t="n">
        <v>0.35328052</v>
      </c>
      <c r="L33" s="20" t="n">
        <v>0.41110968</v>
      </c>
      <c r="M33" s="18" t="n">
        <v>0</v>
      </c>
      <c r="N33" s="20" t="n">
        <v>0</v>
      </c>
      <c r="O33" s="18" t="n">
        <v>0</v>
      </c>
      <c r="P33" s="20" t="n">
        <v>0</v>
      </c>
      <c r="Q33" s="18" t="n">
        <v>3.79147421</v>
      </c>
      <c r="R33" s="20" t="n">
        <v>0.80763679</v>
      </c>
    </row>
    <row r="34" spans="1:18">
      <c r="A34" s="15" t="s">
        <v>376</v>
      </c>
      <c r="B34" s="17" t="n">
        <v>6350</v>
      </c>
      <c r="C34" s="18">
        <f>(5430.0/B34*100)</f>
        <v/>
      </c>
      <c r="D34" s="19" t="n">
        <v>920</v>
      </c>
      <c r="E34" s="18" t="n">
        <v>36.98164662</v>
      </c>
      <c r="F34" s="20" t="n">
        <v>2.12484743</v>
      </c>
      <c r="G34" s="18" t="n">
        <v>51.02432008</v>
      </c>
      <c r="H34" s="20" t="n">
        <v>2.20141706</v>
      </c>
      <c r="I34" s="18" t="s">
        <v>349</v>
      </c>
      <c r="J34" s="20" t="s">
        <v>349</v>
      </c>
      <c r="K34" s="18" t="n">
        <v>5.15101111</v>
      </c>
      <c r="L34" s="20" t="n">
        <v>1.44658469</v>
      </c>
      <c r="M34" s="18" t="n">
        <v>0</v>
      </c>
      <c r="N34" s="20" t="n">
        <v>0</v>
      </c>
      <c r="O34" s="18" t="n">
        <v>0</v>
      </c>
      <c r="P34" s="20" t="n">
        <v>0</v>
      </c>
      <c r="Q34" s="18" t="n">
        <v>6.84302219</v>
      </c>
      <c r="R34" s="20" t="n">
        <v>0.98580438</v>
      </c>
    </row>
    <row r="35" spans="1:18">
      <c r="A35" s="15" t="s">
        <v>377</v>
      </c>
      <c r="B35" s="17" t="n">
        <v>6406</v>
      </c>
      <c r="C35" s="18">
        <f>(5506.0/B35*100)</f>
        <v/>
      </c>
      <c r="D35" s="19" t="n">
        <v>900</v>
      </c>
      <c r="E35" s="18" t="n">
        <v>21.51423749</v>
      </c>
      <c r="F35" s="20" t="n">
        <v>1.62450243</v>
      </c>
      <c r="G35" s="18" t="n">
        <v>73.11827212999999</v>
      </c>
      <c r="H35" s="20" t="n">
        <v>1.69394205</v>
      </c>
      <c r="I35" s="18" t="s">
        <v>349</v>
      </c>
      <c r="J35" s="20" t="s">
        <v>349</v>
      </c>
      <c r="K35" s="18" t="n">
        <v>2.51558462</v>
      </c>
      <c r="L35" s="20" t="n">
        <v>0.39792556</v>
      </c>
      <c r="M35" s="18" t="n">
        <v>0</v>
      </c>
      <c r="N35" s="20" t="n">
        <v>0</v>
      </c>
      <c r="O35" s="18" t="n">
        <v>0</v>
      </c>
      <c r="P35" s="20" t="n">
        <v>0</v>
      </c>
      <c r="Q35" s="18" t="n">
        <v>2.85190576</v>
      </c>
      <c r="R35" s="20" t="n">
        <v>0.48351357</v>
      </c>
    </row>
    <row r="36" spans="1:18">
      <c r="A36" s="15" t="s">
        <v>378</v>
      </c>
      <c r="B36" s="17" t="n">
        <v>6736</v>
      </c>
      <c r="C36" s="18">
        <f>(5907.0/B36*100)</f>
        <v/>
      </c>
      <c r="D36" s="19" t="n">
        <v>829</v>
      </c>
      <c r="E36" s="18" t="n">
        <v>18.40461848</v>
      </c>
      <c r="F36" s="20" t="n">
        <v>1.34366575</v>
      </c>
      <c r="G36" s="18" t="n">
        <v>73.41562548</v>
      </c>
      <c r="H36" s="20" t="n">
        <v>1.7171342</v>
      </c>
      <c r="I36" s="18" t="s">
        <v>349</v>
      </c>
      <c r="J36" s="20" t="s">
        <v>349</v>
      </c>
      <c r="K36" s="18" t="n">
        <v>0.55225195</v>
      </c>
      <c r="L36" s="20" t="n">
        <v>0.32802629</v>
      </c>
      <c r="M36" s="18" t="n">
        <v>0</v>
      </c>
      <c r="N36" s="20" t="n">
        <v>0</v>
      </c>
      <c r="O36" s="18" t="n">
        <v>0</v>
      </c>
      <c r="P36" s="20" t="n">
        <v>0</v>
      </c>
      <c r="Q36" s="18" t="n">
        <v>7.62750409</v>
      </c>
      <c r="R36" s="20" t="n">
        <v>1.12797087</v>
      </c>
    </row>
    <row r="37" spans="1:18">
      <c r="A37" s="15" t="s">
        <v>379</v>
      </c>
      <c r="B37" s="17" t="n">
        <v>5458</v>
      </c>
      <c r="C37" s="18">
        <f>(4806.0/B37*100)</f>
        <v/>
      </c>
      <c r="D37" s="19" t="n">
        <v>652</v>
      </c>
      <c r="E37" s="18" t="n">
        <v>39.03273804</v>
      </c>
      <c r="F37" s="20" t="n">
        <v>1.94254923</v>
      </c>
      <c r="G37" s="18" t="n">
        <v>50.11948057</v>
      </c>
      <c r="H37" s="20" t="n">
        <v>2.06385658</v>
      </c>
      <c r="I37" s="18" t="s">
        <v>349</v>
      </c>
      <c r="J37" s="20" t="s">
        <v>349</v>
      </c>
      <c r="K37" s="18" t="n">
        <v>1.70756321</v>
      </c>
      <c r="L37" s="20" t="n">
        <v>0.535972</v>
      </c>
      <c r="M37" s="18" t="n">
        <v>0</v>
      </c>
      <c r="N37" s="20" t="n">
        <v>0</v>
      </c>
      <c r="O37" s="18" t="n">
        <v>0</v>
      </c>
      <c r="P37" s="20" t="n">
        <v>0</v>
      </c>
      <c r="Q37" s="18" t="n">
        <v>9.14021818</v>
      </c>
      <c r="R37" s="20" t="n">
        <v>1.19388302</v>
      </c>
    </row>
    <row r="38" spans="1:18">
      <c r="A38" s="15" t="s">
        <v>380</v>
      </c>
      <c r="B38" s="17" t="n">
        <v>5860</v>
      </c>
      <c r="C38" s="18">
        <f>(4856.0/B38*100)</f>
        <v/>
      </c>
      <c r="D38" s="19" t="n">
        <v>1004</v>
      </c>
      <c r="E38" s="18" t="n">
        <v>16.764888</v>
      </c>
      <c r="F38" s="20" t="n">
        <v>1.38710565</v>
      </c>
      <c r="G38" s="18" t="n">
        <v>50.00233162</v>
      </c>
      <c r="H38" s="20" t="n">
        <v>1.89985984</v>
      </c>
      <c r="I38" s="18" t="s">
        <v>349</v>
      </c>
      <c r="J38" s="20" t="s">
        <v>349</v>
      </c>
      <c r="K38" s="18" t="n">
        <v>0.67105806</v>
      </c>
      <c r="L38" s="20" t="n">
        <v>0.31166195</v>
      </c>
      <c r="M38" s="18" t="n">
        <v>28.94838043</v>
      </c>
      <c r="N38" s="20" t="n">
        <v>1.42230337</v>
      </c>
      <c r="O38" s="18" t="n">
        <v>0</v>
      </c>
      <c r="P38" s="20" t="n">
        <v>0</v>
      </c>
      <c r="Q38" s="18" t="n">
        <v>3.6133419</v>
      </c>
      <c r="R38" s="20" t="n">
        <v>0.73741411</v>
      </c>
    </row>
    <row r="39" spans="1:18">
      <c r="A39" s="15" t="s">
        <v>381</v>
      </c>
      <c r="B39" s="17" t="n">
        <v>5895</v>
      </c>
      <c r="C39" s="18">
        <f>(5183.0/B39*100)</f>
        <v/>
      </c>
      <c r="D39" s="19" t="n">
        <v>712</v>
      </c>
      <c r="E39" s="18" t="n">
        <v>44.96552017</v>
      </c>
      <c r="F39" s="20" t="n">
        <v>2.17561077</v>
      </c>
      <c r="G39" s="18" t="n">
        <v>49.27801865</v>
      </c>
      <c r="H39" s="20" t="n">
        <v>2.29909383</v>
      </c>
      <c r="I39" s="18" t="s">
        <v>349</v>
      </c>
      <c r="J39" s="20" t="s">
        <v>349</v>
      </c>
      <c r="K39" s="18" t="n">
        <v>0.20571644</v>
      </c>
      <c r="L39" s="20" t="n">
        <v>0.14816898</v>
      </c>
      <c r="M39" s="18" t="n">
        <v>0</v>
      </c>
      <c r="N39" s="20" t="n">
        <v>0</v>
      </c>
      <c r="O39" s="18" t="n">
        <v>0</v>
      </c>
      <c r="P39" s="20" t="n">
        <v>0</v>
      </c>
      <c r="Q39" s="18" t="n">
        <v>5.55074473</v>
      </c>
      <c r="R39" s="20" t="n">
        <v>0.91419967</v>
      </c>
    </row>
    <row r="40" spans="1:18">
      <c r="A40" s="15" t="s">
        <v>382</v>
      </c>
      <c r="B40" s="17" t="n">
        <v>14157</v>
      </c>
      <c r="C40" s="18">
        <f>(12407.0/B40*100)</f>
        <v/>
      </c>
      <c r="D40" s="19" t="n">
        <v>1750</v>
      </c>
      <c r="E40" s="18" t="n">
        <v>25.44158798</v>
      </c>
      <c r="F40" s="20" t="n">
        <v>1.62167273</v>
      </c>
      <c r="G40" s="18" t="n">
        <v>68.48192315999999</v>
      </c>
      <c r="H40" s="20" t="n">
        <v>1.75704724</v>
      </c>
      <c r="I40" s="18" t="s">
        <v>349</v>
      </c>
      <c r="J40" s="20" t="s">
        <v>349</v>
      </c>
      <c r="K40" s="18" t="n">
        <v>0.51884915</v>
      </c>
      <c r="L40" s="20" t="n">
        <v>0.27362411</v>
      </c>
      <c r="M40" s="18" t="n">
        <v>0</v>
      </c>
      <c r="N40" s="20" t="n">
        <v>0</v>
      </c>
      <c r="O40" s="18" t="n">
        <v>0</v>
      </c>
      <c r="P40" s="20" t="n">
        <v>0</v>
      </c>
      <c r="Q40" s="18" t="n">
        <v>5.55763971</v>
      </c>
      <c r="R40" s="20" t="n">
        <v>0.98031831</v>
      </c>
    </row>
    <row r="41" spans="1:18">
      <c r="A41" s="15" t="s">
        <v>383</v>
      </c>
      <c r="B41" s="17" t="n">
        <v>5712</v>
      </c>
      <c r="C41" s="18">
        <f>(4983.0/B41*100)</f>
        <v/>
      </c>
      <c r="D41" s="19" t="n">
        <v>729</v>
      </c>
      <c r="E41" s="18" t="n">
        <v>31.2754025</v>
      </c>
      <c r="F41" s="20" t="n">
        <v>2.05382617</v>
      </c>
      <c r="G41" s="18" t="n">
        <v>65.65892903</v>
      </c>
      <c r="H41" s="20" t="n">
        <v>1.95703934</v>
      </c>
      <c r="I41" s="18" t="s">
        <v>349</v>
      </c>
      <c r="J41" s="20" t="s">
        <v>349</v>
      </c>
      <c r="K41" s="18" t="n">
        <v>0.85876875</v>
      </c>
      <c r="L41" s="20" t="n">
        <v>0.50404423</v>
      </c>
      <c r="M41" s="18" t="n">
        <v>0</v>
      </c>
      <c r="N41" s="20" t="n">
        <v>0</v>
      </c>
      <c r="O41" s="18" t="n">
        <v>0</v>
      </c>
      <c r="P41" s="20" t="n">
        <v>0</v>
      </c>
      <c r="Q41" s="18" t="n">
        <v>2.20689973</v>
      </c>
      <c r="R41" s="20" t="n">
        <v>0.55636473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(20671.0/B46*100)</f>
        <v/>
      </c>
      <c r="D46" s="19" t="n">
        <v>2470</v>
      </c>
      <c r="E46" s="18" t="n">
        <v>53.32189495</v>
      </c>
      <c r="F46" s="20" t="n">
        <v>1.53921362</v>
      </c>
      <c r="G46" s="18" t="n">
        <v>30.98554537</v>
      </c>
      <c r="H46" s="20" t="n">
        <v>1.54962437</v>
      </c>
      <c r="I46" s="18" t="s">
        <v>349</v>
      </c>
      <c r="J46" s="20" t="s">
        <v>349</v>
      </c>
      <c r="K46" s="18" t="n">
        <v>2.21228355</v>
      </c>
      <c r="L46" s="20" t="n">
        <v>0.29970844</v>
      </c>
      <c r="M46" s="18" t="n">
        <v>0</v>
      </c>
      <c r="N46" s="20" t="n">
        <v>0</v>
      </c>
      <c r="O46" s="18" t="n">
        <v>0</v>
      </c>
      <c r="P46" s="20" t="n">
        <v>0</v>
      </c>
      <c r="Q46" s="18" t="n">
        <v>13.48027613</v>
      </c>
      <c r="R46" s="20" t="n">
        <v>0.90200968</v>
      </c>
    </row>
    <row r="47" spans="1:18">
      <c r="A47" s="15" t="s">
        <v>389</v>
      </c>
      <c r="B47" s="17" t="n">
        <v>5928</v>
      </c>
      <c r="C47" s="18">
        <f>(5196.0/B47*100)</f>
        <v/>
      </c>
      <c r="D47" s="19" t="n">
        <v>732</v>
      </c>
      <c r="E47" s="18" t="n">
        <v>34.59297203</v>
      </c>
      <c r="F47" s="20" t="n">
        <v>2.28816854</v>
      </c>
      <c r="G47" s="18" t="n">
        <v>56.21390191</v>
      </c>
      <c r="H47" s="20" t="n">
        <v>2.23563733</v>
      </c>
      <c r="I47" s="18" t="s">
        <v>349</v>
      </c>
      <c r="J47" s="20" t="s">
        <v>349</v>
      </c>
      <c r="K47" s="18" t="n">
        <v>0.27288377</v>
      </c>
      <c r="L47" s="20" t="n">
        <v>0.20675632</v>
      </c>
      <c r="M47" s="18" t="n">
        <v>0</v>
      </c>
      <c r="N47" s="20" t="n">
        <v>0</v>
      </c>
      <c r="O47" s="18" t="n">
        <v>0</v>
      </c>
      <c r="P47" s="20" t="n">
        <v>0</v>
      </c>
      <c r="Q47" s="18" t="n">
        <v>8.92024228</v>
      </c>
      <c r="R47" s="20" t="n">
        <v>1.30104091</v>
      </c>
    </row>
    <row r="48" spans="1:18">
      <c r="A48" s="15" t="s">
        <v>390</v>
      </c>
      <c r="B48" s="17" t="n">
        <v>9841</v>
      </c>
      <c r="C48" s="18">
        <f>(8661.0/B48*100)</f>
        <v/>
      </c>
      <c r="D48" s="19" t="n">
        <v>1180</v>
      </c>
      <c r="E48" s="18" t="n">
        <v>17.16616058</v>
      </c>
      <c r="F48" s="20" t="n">
        <v>1.56043325</v>
      </c>
      <c r="G48" s="18" t="n">
        <v>79.52076750000001</v>
      </c>
      <c r="H48" s="20" t="n">
        <v>1.73583977</v>
      </c>
      <c r="I48" s="18" t="s">
        <v>349</v>
      </c>
      <c r="J48" s="20" t="s">
        <v>349</v>
      </c>
      <c r="K48" s="18" t="n">
        <v>0.60593705</v>
      </c>
      <c r="L48" s="20" t="n">
        <v>0.36481112</v>
      </c>
      <c r="M48" s="18" t="n">
        <v>0</v>
      </c>
      <c r="N48" s="20" t="n">
        <v>0</v>
      </c>
      <c r="O48" s="18" t="n">
        <v>0</v>
      </c>
      <c r="P48" s="20" t="n">
        <v>0</v>
      </c>
      <c r="Q48" s="18" t="n">
        <v>2.70713487</v>
      </c>
      <c r="R48" s="20" t="n">
        <v>0.56281573</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(10402.0/B50*100)</f>
        <v/>
      </c>
      <c r="D50" s="19" t="n">
        <v>1393</v>
      </c>
      <c r="E50" s="18" t="n">
        <v>56.69922323</v>
      </c>
      <c r="F50" s="20" t="n">
        <v>1.93761551</v>
      </c>
      <c r="G50" s="18" t="n">
        <v>35.59656544</v>
      </c>
      <c r="H50" s="20" t="n">
        <v>1.87230737</v>
      </c>
      <c r="I50" s="18" t="s">
        <v>349</v>
      </c>
      <c r="J50" s="20" t="s">
        <v>349</v>
      </c>
      <c r="K50" s="18" t="n">
        <v>2.02421636</v>
      </c>
      <c r="L50" s="20" t="n">
        <v>0.7511177999999999</v>
      </c>
      <c r="M50" s="18" t="n">
        <v>0</v>
      </c>
      <c r="N50" s="20" t="n">
        <v>0</v>
      </c>
      <c r="O50" s="18" t="n">
        <v>0</v>
      </c>
      <c r="P50" s="20" t="n">
        <v>0</v>
      </c>
      <c r="Q50" s="18" t="n">
        <v>5.67999496</v>
      </c>
      <c r="R50" s="20" t="n">
        <v>0.9733979699999999</v>
      </c>
    </row>
    <row r="51" spans="1:18">
      <c r="A51" s="15" t="s">
        <v>393</v>
      </c>
      <c r="B51" s="17" t="n">
        <v>6866</v>
      </c>
      <c r="C51" s="18">
        <f>(5497.0/B51*100)</f>
        <v/>
      </c>
      <c r="D51" s="19" t="n">
        <v>1369</v>
      </c>
      <c r="E51" s="18" t="n">
        <v>36.30050902</v>
      </c>
      <c r="F51" s="20" t="n">
        <v>1.55976777</v>
      </c>
      <c r="G51" s="18" t="n">
        <v>55.04373755</v>
      </c>
      <c r="H51" s="20" t="n">
        <v>1.73527892</v>
      </c>
      <c r="I51" s="18" t="s">
        <v>349</v>
      </c>
      <c r="J51" s="20" t="s">
        <v>349</v>
      </c>
      <c r="K51" s="18" t="n">
        <v>4.05603443</v>
      </c>
      <c r="L51" s="20" t="n">
        <v>0.57258895</v>
      </c>
      <c r="M51" s="18" t="n">
        <v>0</v>
      </c>
      <c r="N51" s="20" t="n">
        <v>0</v>
      </c>
      <c r="O51" s="18" t="n">
        <v>0</v>
      </c>
      <c r="P51" s="20" t="n">
        <v>0</v>
      </c>
      <c r="Q51" s="18" t="n">
        <v>4.59971899</v>
      </c>
      <c r="R51" s="20" t="n">
        <v>0.74640314</v>
      </c>
    </row>
    <row r="52" spans="1:18">
      <c r="A52" s="15" t="s">
        <v>394</v>
      </c>
      <c r="B52" s="17" t="n">
        <v>5809</v>
      </c>
      <c r="C52" s="18">
        <f>(5105.0/B52*100)</f>
        <v/>
      </c>
      <c r="D52" s="19" t="n">
        <v>704</v>
      </c>
      <c r="E52" s="18" t="n">
        <v>22.0985159</v>
      </c>
      <c r="F52" s="20" t="n">
        <v>1.89901522</v>
      </c>
      <c r="G52" s="18" t="n">
        <v>70.17625664000001</v>
      </c>
      <c r="H52" s="20" t="n">
        <v>2.08554662</v>
      </c>
      <c r="I52" s="18" t="s">
        <v>349</v>
      </c>
      <c r="J52" s="20" t="s">
        <v>349</v>
      </c>
      <c r="K52" s="18" t="n">
        <v>0.99829695</v>
      </c>
      <c r="L52" s="20" t="n">
        <v>0.39487607</v>
      </c>
      <c r="M52" s="18" t="n">
        <v>0</v>
      </c>
      <c r="N52" s="20" t="n">
        <v>0</v>
      </c>
      <c r="O52" s="18" t="n">
        <v>0</v>
      </c>
      <c r="P52" s="20" t="n">
        <v>0</v>
      </c>
      <c r="Q52" s="18" t="n">
        <v>6.72693051</v>
      </c>
      <c r="R52" s="20" t="n">
        <v>0.93832954</v>
      </c>
    </row>
    <row r="53" spans="1:18">
      <c r="A53" s="15" t="s">
        <v>395</v>
      </c>
      <c r="B53" s="17" t="n">
        <v>5571</v>
      </c>
      <c r="C53" s="18">
        <f>(4914.0/B53*100)</f>
        <v/>
      </c>
      <c r="D53" s="19" t="n">
        <v>657</v>
      </c>
      <c r="E53" s="18" t="n">
        <v>32.09850216</v>
      </c>
      <c r="F53" s="20" t="n">
        <v>2.13284291</v>
      </c>
      <c r="G53" s="18" t="n">
        <v>57.39829312</v>
      </c>
      <c r="H53" s="20" t="n">
        <v>2.09586086</v>
      </c>
      <c r="I53" s="18" t="s">
        <v>349</v>
      </c>
      <c r="J53" s="20" t="s">
        <v>349</v>
      </c>
      <c r="K53" s="18" t="n">
        <v>1.476468</v>
      </c>
      <c r="L53" s="20" t="n">
        <v>0.47656862</v>
      </c>
      <c r="M53" s="18" t="n">
        <v>0</v>
      </c>
      <c r="N53" s="20" t="n">
        <v>0</v>
      </c>
      <c r="O53" s="18" t="n">
        <v>0</v>
      </c>
      <c r="P53" s="20" t="n">
        <v>0</v>
      </c>
      <c r="Q53" s="18" t="n">
        <v>9.02673671</v>
      </c>
      <c r="R53" s="20" t="n">
        <v>1.08464499</v>
      </c>
    </row>
    <row r="54" spans="1:18">
      <c r="A54" s="15" t="s">
        <v>396</v>
      </c>
      <c r="B54" s="17" t="n">
        <v>4740</v>
      </c>
      <c r="C54" s="18">
        <f>(3948.0/B54*100)</f>
        <v/>
      </c>
      <c r="D54" s="19" t="n">
        <v>792</v>
      </c>
      <c r="E54" s="18" t="n">
        <v>68.00375042</v>
      </c>
      <c r="F54" s="20" t="n">
        <v>1.72199431</v>
      </c>
      <c r="G54" s="18" t="n">
        <v>8.655921040000001</v>
      </c>
      <c r="H54" s="20" t="n">
        <v>1.09975292</v>
      </c>
      <c r="I54" s="18" t="s">
        <v>349</v>
      </c>
      <c r="J54" s="20" t="s">
        <v>349</v>
      </c>
      <c r="K54" s="18" t="n">
        <v>8.21794946</v>
      </c>
      <c r="L54" s="20" t="n">
        <v>1.12947883</v>
      </c>
      <c r="M54" s="18" t="n">
        <v>0</v>
      </c>
      <c r="N54" s="20" t="n">
        <v>0</v>
      </c>
      <c r="O54" s="18" t="n">
        <v>0</v>
      </c>
      <c r="P54" s="20" t="n">
        <v>0</v>
      </c>
      <c r="Q54" s="18" t="n">
        <v>15.12237908</v>
      </c>
      <c r="R54" s="20" t="n">
        <v>1.65476446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(4705.0/B56*100)</f>
        <v/>
      </c>
      <c r="D56" s="19" t="n">
        <v>654</v>
      </c>
      <c r="E56" s="18" t="n">
        <v>10.93119063</v>
      </c>
      <c r="F56" s="20" t="n">
        <v>1.13154097</v>
      </c>
      <c r="G56" s="18" t="n">
        <v>87.51476257</v>
      </c>
      <c r="H56" s="20" t="n">
        <v>1.22850487</v>
      </c>
      <c r="I56" s="18" t="s">
        <v>349</v>
      </c>
      <c r="J56" s="20" t="s">
        <v>349</v>
      </c>
      <c r="K56" s="18" t="n">
        <v>0.25350702</v>
      </c>
      <c r="L56" s="20" t="n">
        <v>0.18662179</v>
      </c>
      <c r="M56" s="18" t="n">
        <v>0</v>
      </c>
      <c r="N56" s="20" t="n">
        <v>0</v>
      </c>
      <c r="O56" s="18" t="n">
        <v>0</v>
      </c>
      <c r="P56" s="20" t="n">
        <v>0</v>
      </c>
      <c r="Q56" s="18" t="n">
        <v>1.30053978</v>
      </c>
      <c r="R56" s="20" t="n">
        <v>0.49715442</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(5729.0/B61*100)</f>
        <v/>
      </c>
      <c r="D61" s="19" t="n">
        <v>796</v>
      </c>
      <c r="E61" s="18" t="n">
        <v>23.72951564</v>
      </c>
      <c r="F61" s="20" t="n">
        <v>1.88379141</v>
      </c>
      <c r="G61" s="18" t="n">
        <v>72.00973535</v>
      </c>
      <c r="H61" s="20" t="n">
        <v>1.88347144</v>
      </c>
      <c r="I61" s="18" t="s">
        <v>349</v>
      </c>
      <c r="J61" s="20" t="s">
        <v>349</v>
      </c>
      <c r="K61" s="18" t="n">
        <v>0.34088492</v>
      </c>
      <c r="L61" s="20" t="n">
        <v>0.21600612</v>
      </c>
      <c r="M61" s="18" t="n">
        <v>0</v>
      </c>
      <c r="N61" s="20" t="n">
        <v>0</v>
      </c>
      <c r="O61" s="18" t="n">
        <v>0</v>
      </c>
      <c r="P61" s="20" t="n">
        <v>0</v>
      </c>
      <c r="Q61" s="18" t="n">
        <v>3.91986409</v>
      </c>
      <c r="R61" s="20" t="n">
        <v>0.68527307</v>
      </c>
    </row>
    <row r="62" spans="1:18">
      <c r="A62" s="15" t="s">
        <v>404</v>
      </c>
      <c r="B62" s="17" t="n">
        <v>4476</v>
      </c>
      <c r="C62" s="18">
        <f>(3929.0/B62*100)</f>
        <v/>
      </c>
      <c r="D62" s="19" t="n">
        <v>547</v>
      </c>
      <c r="E62" s="18" t="n">
        <v>9.87294374</v>
      </c>
      <c r="F62" s="20" t="n">
        <v>1.28035835</v>
      </c>
      <c r="G62" s="18" t="n">
        <v>89.57679899999999</v>
      </c>
      <c r="H62" s="20" t="n">
        <v>1.27459091</v>
      </c>
      <c r="I62" s="18" t="s">
        <v>349</v>
      </c>
      <c r="J62" s="20" t="s">
        <v>349</v>
      </c>
      <c r="K62" s="18" t="n">
        <v>0</v>
      </c>
      <c r="L62" s="20" t="n">
        <v>0</v>
      </c>
      <c r="M62" s="18" t="n">
        <v>0</v>
      </c>
      <c r="N62" s="20" t="n">
        <v>0</v>
      </c>
      <c r="O62" s="18" t="n">
        <v>0</v>
      </c>
      <c r="P62" s="20" t="n">
        <v>0</v>
      </c>
      <c r="Q62" s="18" t="n">
        <v>0.55025725</v>
      </c>
      <c r="R62" s="20" t="n">
        <v>0.31402187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31.44730665</v>
      </c>
      <c r="F66" s="20" t="n">
        <v>1.68985699</v>
      </c>
      <c r="G66" s="18" t="n">
        <v>52.28466022</v>
      </c>
      <c r="H66" s="20" t="n">
        <v>1.62761564</v>
      </c>
      <c r="I66" s="18" t="s">
        <v>349</v>
      </c>
      <c r="J66" s="20" t="s">
        <v>349</v>
      </c>
      <c r="K66" s="18" t="n">
        <v>1.35240478</v>
      </c>
      <c r="L66" s="20" t="n">
        <v>0.44884112</v>
      </c>
      <c r="M66" s="18" t="n">
        <v>0</v>
      </c>
      <c r="N66" s="20" t="n">
        <v>0</v>
      </c>
      <c r="O66" s="18" t="n">
        <v>0</v>
      </c>
      <c r="P66" s="20" t="n">
        <v>0</v>
      </c>
      <c r="Q66" s="18" t="n">
        <v>14.91562836</v>
      </c>
      <c r="R66" s="20" t="n">
        <v>1.26667922</v>
      </c>
    </row>
    <row r="67" spans="1:18">
      <c r="A67" s="15" t="s">
        <v>409</v>
      </c>
      <c r="B67" s="17" t="n">
        <v>6971</v>
      </c>
      <c r="C67" s="18">
        <f>(6186.0/B67*100)</f>
        <v/>
      </c>
      <c r="D67" s="19" t="n">
        <v>785</v>
      </c>
      <c r="E67" s="18" t="n">
        <v>43.59354502</v>
      </c>
      <c r="F67" s="20" t="n">
        <v>1.62958285</v>
      </c>
      <c r="G67" s="18" t="n">
        <v>44.9140324</v>
      </c>
      <c r="H67" s="20" t="n">
        <v>1.74063525</v>
      </c>
      <c r="I67" s="18" t="s">
        <v>349</v>
      </c>
      <c r="J67" s="20" t="s">
        <v>349</v>
      </c>
      <c r="K67" s="18" t="n">
        <v>0.36594278</v>
      </c>
      <c r="L67" s="20" t="n">
        <v>0.21425297</v>
      </c>
      <c r="M67" s="18" t="n">
        <v>0</v>
      </c>
      <c r="N67" s="20" t="n">
        <v>0</v>
      </c>
      <c r="O67" s="18" t="n">
        <v>0</v>
      </c>
      <c r="P67" s="20" t="n">
        <v>0</v>
      </c>
      <c r="Q67" s="18" t="n">
        <v>11.1264798</v>
      </c>
      <c r="R67" s="20" t="n">
        <v>1.2340061</v>
      </c>
    </row>
    <row r="68" spans="1:18">
      <c r="A68" s="15" t="s">
        <v>410</v>
      </c>
      <c r="B68" s="17" t="n">
        <v>12083</v>
      </c>
      <c r="C68" s="18">
        <f>(10081.0/B68*100)</f>
        <v/>
      </c>
      <c r="D68" s="19" t="n">
        <v>2002</v>
      </c>
      <c r="E68" s="18" t="n">
        <v>55.61792712</v>
      </c>
      <c r="F68" s="20" t="n">
        <v>1.14895942</v>
      </c>
      <c r="G68" s="18" t="n">
        <v>36.28555547</v>
      </c>
      <c r="H68" s="20" t="n">
        <v>1.17808599</v>
      </c>
      <c r="I68" s="18" t="s">
        <v>349</v>
      </c>
      <c r="J68" s="20" t="s">
        <v>349</v>
      </c>
      <c r="K68" s="18" t="n">
        <v>2.17760041</v>
      </c>
      <c r="L68" s="20" t="n">
        <v>0.34283546</v>
      </c>
      <c r="M68" s="18" t="n">
        <v>0</v>
      </c>
      <c r="N68" s="20" t="n">
        <v>0</v>
      </c>
      <c r="O68" s="18" t="n">
        <v>0</v>
      </c>
      <c r="P68" s="20" t="n">
        <v>0</v>
      </c>
      <c r="Q68" s="18" t="n">
        <v>5.918917</v>
      </c>
      <c r="R68" s="20" t="n">
        <v>0.54613668</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(5326.0/B70*100)</f>
        <v/>
      </c>
      <c r="D70" s="19" t="n">
        <v>710</v>
      </c>
      <c r="E70" s="18" t="n">
        <v>24.99468276</v>
      </c>
      <c r="F70" s="20" t="n">
        <v>1.75749209</v>
      </c>
      <c r="G70" s="18" t="n">
        <v>71.33464907</v>
      </c>
      <c r="H70" s="20" t="n">
        <v>2.17754374</v>
      </c>
      <c r="I70" s="18" t="s">
        <v>349</v>
      </c>
      <c r="J70" s="20" t="s">
        <v>349</v>
      </c>
      <c r="K70" s="18" t="n">
        <v>0.23841225</v>
      </c>
      <c r="L70" s="20" t="n">
        <v>0.1388112</v>
      </c>
      <c r="M70" s="18" t="n">
        <v>0</v>
      </c>
      <c r="N70" s="20" t="n">
        <v>0</v>
      </c>
      <c r="O70" s="18" t="n">
        <v>0</v>
      </c>
      <c r="P70" s="20" t="n">
        <v>0</v>
      </c>
      <c r="Q70" s="18" t="n">
        <v>3.43225592</v>
      </c>
      <c r="R70" s="20" t="n">
        <v>0.96535381</v>
      </c>
    </row>
    <row r="71" spans="1:18">
      <c r="A71" s="15" t="s">
        <v>413</v>
      </c>
      <c r="B71" s="17" t="n">
        <v>6115</v>
      </c>
      <c r="C71" s="18">
        <f>(5348.0/B71*100)</f>
        <v/>
      </c>
      <c r="D71" s="19" t="n">
        <v>767</v>
      </c>
      <c r="E71" s="18" t="n">
        <v>12.46407032</v>
      </c>
      <c r="F71" s="20" t="n">
        <v>1.08210598</v>
      </c>
      <c r="G71" s="18" t="n">
        <v>85.70677157999999</v>
      </c>
      <c r="H71" s="20" t="n">
        <v>1.23078785</v>
      </c>
      <c r="I71" s="18" t="s">
        <v>349</v>
      </c>
      <c r="J71" s="20" t="s">
        <v>349</v>
      </c>
      <c r="K71" s="18" t="n">
        <v>0.3483061</v>
      </c>
      <c r="L71" s="20" t="n">
        <v>0.19936316</v>
      </c>
      <c r="M71" s="18" t="n">
        <v>0</v>
      </c>
      <c r="N71" s="20" t="n">
        <v>0</v>
      </c>
      <c r="O71" s="18" t="n">
        <v>0</v>
      </c>
      <c r="P71" s="20" t="n">
        <v>0</v>
      </c>
      <c r="Q71" s="18" t="n">
        <v>1.48085201</v>
      </c>
      <c r="R71" s="20" t="n">
        <v>0.44882947</v>
      </c>
    </row>
    <row r="72" spans="1:18">
      <c r="A72" s="15" t="s">
        <v>414</v>
      </c>
      <c r="B72" s="17" t="n">
        <v>7708</v>
      </c>
      <c r="C72" s="18">
        <f>(6749.0/B72*100)</f>
        <v/>
      </c>
      <c r="D72" s="19" t="n">
        <v>959</v>
      </c>
      <c r="E72" s="18" t="n">
        <v>17.58710725</v>
      </c>
      <c r="F72" s="20" t="n">
        <v>1.13094159</v>
      </c>
      <c r="G72" s="18" t="n">
        <v>78.8126741</v>
      </c>
      <c r="H72" s="20" t="n">
        <v>1.28763926</v>
      </c>
      <c r="I72" s="18" t="s">
        <v>349</v>
      </c>
      <c r="J72" s="20" t="s">
        <v>349</v>
      </c>
      <c r="K72" s="18" t="n">
        <v>0.18330875</v>
      </c>
      <c r="L72" s="20" t="n">
        <v>0.13294652</v>
      </c>
      <c r="M72" s="18" t="n">
        <v>0</v>
      </c>
      <c r="N72" s="20" t="n">
        <v>0</v>
      </c>
      <c r="O72" s="18" t="n">
        <v>0</v>
      </c>
      <c r="P72" s="20" t="n">
        <v>0</v>
      </c>
      <c r="Q72" s="18" t="n">
        <v>3.4169099</v>
      </c>
      <c r="R72" s="20" t="n">
        <v>0.56411081</v>
      </c>
    </row>
    <row r="73" spans="1:18">
      <c r="A73" s="15" t="s">
        <v>415</v>
      </c>
      <c r="B73" s="17" t="n">
        <v>8249</v>
      </c>
      <c r="C73" s="18">
        <f>(7273.0/B73*100)</f>
        <v/>
      </c>
      <c r="D73" s="19" t="n">
        <v>976</v>
      </c>
      <c r="E73" s="18" t="n">
        <v>55.32657052</v>
      </c>
      <c r="F73" s="20" t="n">
        <v>2.17624331</v>
      </c>
      <c r="G73" s="18" t="n">
        <v>42.37903251</v>
      </c>
      <c r="H73" s="20" t="n">
        <v>2.15626527</v>
      </c>
      <c r="I73" s="18" t="s">
        <v>349</v>
      </c>
      <c r="J73" s="20" t="s">
        <v>349</v>
      </c>
      <c r="K73" s="18" t="n">
        <v>0</v>
      </c>
      <c r="L73" s="20" t="n">
        <v>0</v>
      </c>
      <c r="M73" s="18" t="n">
        <v>0</v>
      </c>
      <c r="N73" s="20" t="n">
        <v>0</v>
      </c>
      <c r="O73" s="18" t="n">
        <v>0</v>
      </c>
      <c r="P73" s="20" t="n">
        <v>0</v>
      </c>
      <c r="Q73" s="18" t="n">
        <v>2.29439697</v>
      </c>
      <c r="R73" s="20" t="n">
        <v>0.66358828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(4746.0/B75*100)</f>
        <v/>
      </c>
      <c r="D75" s="19" t="n">
        <v>629</v>
      </c>
      <c r="E75" s="18" t="n">
        <v>28.8147652</v>
      </c>
      <c r="F75" s="20" t="n">
        <v>2.05970636</v>
      </c>
      <c r="G75" s="18" t="n">
        <v>58.78083066</v>
      </c>
      <c r="H75" s="20" t="n">
        <v>2.512416</v>
      </c>
      <c r="I75" s="18" t="s">
        <v>349</v>
      </c>
      <c r="J75" s="20" t="s">
        <v>349</v>
      </c>
      <c r="K75" s="18" t="n">
        <v>3.14235439</v>
      </c>
      <c r="L75" s="20" t="n">
        <v>0.73672871</v>
      </c>
      <c r="M75" s="18" t="n">
        <v>0</v>
      </c>
      <c r="N75" s="20" t="n">
        <v>0</v>
      </c>
      <c r="O75" s="18" t="n">
        <v>0</v>
      </c>
      <c r="P75" s="20" t="n">
        <v>0</v>
      </c>
      <c r="Q75" s="18" t="n">
        <v>9.262049749999999</v>
      </c>
      <c r="R75" s="20" t="n">
        <v>1.34465962</v>
      </c>
    </row>
    <row r="76" spans="1:18">
      <c r="A76" s="15" t="s">
        <v>418</v>
      </c>
      <c r="B76" s="17" t="n">
        <v>14167</v>
      </c>
      <c r="C76" s="18">
        <f>(12433.0/B76*100)</f>
        <v/>
      </c>
      <c r="D76" s="19" t="n">
        <v>1734</v>
      </c>
      <c r="E76" s="18" t="n">
        <v>31.33459356</v>
      </c>
      <c r="F76" s="20" t="n">
        <v>1.25558932</v>
      </c>
      <c r="G76" s="18" t="n">
        <v>64.88239276</v>
      </c>
      <c r="H76" s="20" t="n">
        <v>1.2745389</v>
      </c>
      <c r="I76" s="18" t="s">
        <v>349</v>
      </c>
      <c r="J76" s="20" t="s">
        <v>349</v>
      </c>
      <c r="K76" s="18" t="n">
        <v>1.14488994</v>
      </c>
      <c r="L76" s="20" t="n">
        <v>0.29949869</v>
      </c>
      <c r="M76" s="18" t="n">
        <v>0</v>
      </c>
      <c r="N76" s="20" t="n">
        <v>0</v>
      </c>
      <c r="O76" s="18" t="n">
        <v>0</v>
      </c>
      <c r="P76" s="20" t="n">
        <v>0</v>
      </c>
      <c r="Q76" s="18" t="n">
        <v>2.63812374</v>
      </c>
      <c r="R76" s="20" t="n">
        <v>0.47837888</v>
      </c>
    </row>
    <row r="77" spans="1:18">
      <c r="A77" s="15" t="s">
        <v>419</v>
      </c>
      <c r="B77" s="17" t="n">
        <v>6062</v>
      </c>
      <c r="C77" s="18">
        <f>(5323.0/B77*100)</f>
        <v/>
      </c>
      <c r="D77" s="19" t="n">
        <v>739</v>
      </c>
      <c r="E77" s="18" t="n">
        <v>32.86363225</v>
      </c>
      <c r="F77" s="20" t="n">
        <v>1.55637775</v>
      </c>
      <c r="G77" s="18" t="n">
        <v>51.32548741</v>
      </c>
      <c r="H77" s="20" t="n">
        <v>1.99878858</v>
      </c>
      <c r="I77" s="18" t="s">
        <v>349</v>
      </c>
      <c r="J77" s="20" t="s">
        <v>349</v>
      </c>
      <c r="K77" s="18" t="n">
        <v>2.07527086</v>
      </c>
      <c r="L77" s="20" t="n">
        <v>0.55382318</v>
      </c>
      <c r="M77" s="18" t="n">
        <v>0</v>
      </c>
      <c r="N77" s="20" t="n">
        <v>0</v>
      </c>
      <c r="O77" s="18" t="n">
        <v>0</v>
      </c>
      <c r="P77" s="20" t="n">
        <v>0</v>
      </c>
      <c r="Q77" s="18" t="n">
        <v>13.73560948</v>
      </c>
      <c r="R77" s="20" t="n">
        <v>1.38558022</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(7774.0/B81*100)</f>
        <v/>
      </c>
      <c r="D81" s="19" t="n">
        <v>1087</v>
      </c>
      <c r="E81" s="18" t="n">
        <v>26.65230261</v>
      </c>
      <c r="F81" s="20" t="n">
        <v>1.76076304</v>
      </c>
      <c r="G81" s="18" t="n">
        <v>72.25753912</v>
      </c>
      <c r="H81" s="20" t="n">
        <v>1.83555805</v>
      </c>
      <c r="I81" s="18" t="s">
        <v>349</v>
      </c>
      <c r="J81" s="20" t="s">
        <v>349</v>
      </c>
      <c r="K81" s="18" t="n">
        <v>0.42535957</v>
      </c>
      <c r="L81" s="20" t="n">
        <v>0.22091189</v>
      </c>
      <c r="M81" s="18" t="n">
        <v>0</v>
      </c>
      <c r="N81" s="20" t="n">
        <v>0</v>
      </c>
      <c r="O81" s="18" t="n">
        <v>0</v>
      </c>
      <c r="P81" s="20" t="n">
        <v>0</v>
      </c>
      <c r="Q81" s="18" t="n">
        <v>0.66479871</v>
      </c>
      <c r="R81" s="20" t="n">
        <v>0.35265028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(12796.0/B7*100)</f>
        <v/>
      </c>
      <c r="D7" s="19" t="n">
        <v>1734</v>
      </c>
      <c r="E7" s="18" t="n">
        <v>39.52778648</v>
      </c>
      <c r="F7" s="20" t="n">
        <v>1.37671548</v>
      </c>
      <c r="G7" s="18" t="n">
        <v>58.83803861</v>
      </c>
      <c r="H7" s="20" t="n">
        <v>1.35246626</v>
      </c>
      <c r="I7" s="18" t="s">
        <v>349</v>
      </c>
      <c r="J7" s="20" t="s">
        <v>349</v>
      </c>
      <c r="K7" s="18" t="n">
        <v>0.74976505</v>
      </c>
      <c r="L7" s="20" t="n">
        <v>0.24677898</v>
      </c>
      <c r="M7" s="18" t="n">
        <v>0</v>
      </c>
      <c r="N7" s="20" t="n">
        <v>0</v>
      </c>
      <c r="O7" s="18" t="n">
        <v>0</v>
      </c>
      <c r="P7" s="20" t="n">
        <v>0</v>
      </c>
      <c r="Q7" s="18" t="n">
        <v>0.88440986</v>
      </c>
      <c r="R7" s="20" t="n">
        <v>0.30134983</v>
      </c>
    </row>
    <row r="8" spans="1:18">
      <c r="A8" s="15" t="s">
        <v>350</v>
      </c>
      <c r="B8" s="17" t="n">
        <v>7007</v>
      </c>
      <c r="C8" s="18">
        <f>(6121.0/B8*100)</f>
        <v/>
      </c>
      <c r="D8" s="19" t="n">
        <v>886</v>
      </c>
      <c r="E8" s="18" t="n">
        <v>32.9654626</v>
      </c>
      <c r="F8" s="20" t="n">
        <v>1.91548852</v>
      </c>
      <c r="G8" s="18" t="n">
        <v>66.22852985</v>
      </c>
      <c r="H8" s="20" t="n">
        <v>1.89664319</v>
      </c>
      <c r="I8" s="18" t="s">
        <v>349</v>
      </c>
      <c r="J8" s="20" t="s">
        <v>349</v>
      </c>
      <c r="K8" s="18" t="n">
        <v>0.41324271</v>
      </c>
      <c r="L8" s="20" t="n">
        <v>0.22420824</v>
      </c>
      <c r="M8" s="18" t="n">
        <v>0</v>
      </c>
      <c r="N8" s="20" t="n">
        <v>0</v>
      </c>
      <c r="O8" s="18" t="n">
        <v>0</v>
      </c>
      <c r="P8" s="20" t="n">
        <v>0</v>
      </c>
      <c r="Q8" s="18" t="n">
        <v>0.39276483</v>
      </c>
      <c r="R8" s="20" t="n">
        <v>0.1743275</v>
      </c>
    </row>
    <row r="9" spans="1:18">
      <c r="A9" s="15" t="s">
        <v>351</v>
      </c>
      <c r="B9" s="17" t="n">
        <v>9651</v>
      </c>
      <c r="C9" s="18">
        <f>(8519.0/B9*100)</f>
        <v/>
      </c>
      <c r="D9" s="19" t="n">
        <v>1132</v>
      </c>
      <c r="E9" s="18" t="n">
        <v>29.61579939</v>
      </c>
      <c r="F9" s="20" t="n">
        <v>1.52693915</v>
      </c>
      <c r="G9" s="18" t="n">
        <v>69.36139187000001</v>
      </c>
      <c r="H9" s="20" t="n">
        <v>1.55263051</v>
      </c>
      <c r="I9" s="18" t="s">
        <v>349</v>
      </c>
      <c r="J9" s="20" t="s">
        <v>349</v>
      </c>
      <c r="K9" s="18" t="n">
        <v>0.22392849</v>
      </c>
      <c r="L9" s="20" t="n">
        <v>0.13902632</v>
      </c>
      <c r="M9" s="18" t="n">
        <v>0</v>
      </c>
      <c r="N9" s="20" t="n">
        <v>0</v>
      </c>
      <c r="O9" s="18" t="n">
        <v>0</v>
      </c>
      <c r="P9" s="20" t="n">
        <v>0</v>
      </c>
      <c r="Q9" s="18" t="n">
        <v>0.79888025</v>
      </c>
      <c r="R9" s="20" t="n">
        <v>0.27546232</v>
      </c>
    </row>
    <row r="10" spans="1:18">
      <c r="A10" s="15" t="s">
        <v>352</v>
      </c>
      <c r="B10" s="17" t="n">
        <v>20058</v>
      </c>
      <c r="C10" s="18">
        <f>(17597.0/B10*100)</f>
        <v/>
      </c>
      <c r="D10" s="19" t="n">
        <v>2461</v>
      </c>
      <c r="E10" s="18" t="n">
        <v>38.41252776</v>
      </c>
      <c r="F10" s="20" t="n">
        <v>1.43083457</v>
      </c>
      <c r="G10" s="18" t="n">
        <v>60.58532065</v>
      </c>
      <c r="H10" s="20" t="n">
        <v>1.44098677</v>
      </c>
      <c r="I10" s="18" t="s">
        <v>349</v>
      </c>
      <c r="J10" s="20" t="s">
        <v>349</v>
      </c>
      <c r="K10" s="18" t="n">
        <v>0.74220743</v>
      </c>
      <c r="L10" s="20" t="n">
        <v>0.29099422</v>
      </c>
      <c r="M10" s="18" t="n">
        <v>0</v>
      </c>
      <c r="N10" s="20" t="n">
        <v>0</v>
      </c>
      <c r="O10" s="18" t="n">
        <v>0</v>
      </c>
      <c r="P10" s="20" t="n">
        <v>0</v>
      </c>
      <c r="Q10" s="18" t="n">
        <v>0.25994416</v>
      </c>
      <c r="R10" s="20" t="n">
        <v>0.11920463</v>
      </c>
    </row>
    <row r="11" spans="1:18">
      <c r="A11" s="15" t="s">
        <v>353</v>
      </c>
      <c r="B11" s="17" t="n">
        <v>7053</v>
      </c>
      <c r="C11" s="18">
        <f>(6189.0/B11*100)</f>
        <v/>
      </c>
      <c r="D11" s="19" t="n">
        <v>864</v>
      </c>
      <c r="E11" s="18" t="n">
        <v>48.17815886</v>
      </c>
      <c r="F11" s="20" t="n">
        <v>1.89623095</v>
      </c>
      <c r="G11" s="18" t="n">
        <v>46.91220621</v>
      </c>
      <c r="H11" s="20" t="n">
        <v>1.84984729</v>
      </c>
      <c r="I11" s="18" t="s">
        <v>349</v>
      </c>
      <c r="J11" s="20" t="s">
        <v>349</v>
      </c>
      <c r="K11" s="18" t="n">
        <v>2.53725767</v>
      </c>
      <c r="L11" s="20" t="n">
        <v>0.59011928</v>
      </c>
      <c r="M11" s="18" t="n">
        <v>0</v>
      </c>
      <c r="N11" s="20" t="n">
        <v>0</v>
      </c>
      <c r="O11" s="18" t="n">
        <v>0</v>
      </c>
      <c r="P11" s="20" t="n">
        <v>0</v>
      </c>
      <c r="Q11" s="18" t="n">
        <v>2.37237725</v>
      </c>
      <c r="R11" s="20" t="n">
        <v>0.58300037</v>
      </c>
    </row>
    <row r="12" spans="1:18">
      <c r="A12" s="15" t="s">
        <v>354</v>
      </c>
      <c r="B12" s="17" t="n">
        <v>6894</v>
      </c>
      <c r="C12" s="18">
        <f>(6056.0/B12*100)</f>
        <v/>
      </c>
      <c r="D12" s="19" t="n">
        <v>838</v>
      </c>
      <c r="E12" s="18" t="n">
        <v>29.46160712</v>
      </c>
      <c r="F12" s="20" t="n">
        <v>1.93629252</v>
      </c>
      <c r="G12" s="18" t="n">
        <v>69.07665892999999</v>
      </c>
      <c r="H12" s="20" t="n">
        <v>1.97022013</v>
      </c>
      <c r="I12" s="18" t="s">
        <v>349</v>
      </c>
      <c r="J12" s="20" t="s">
        <v>349</v>
      </c>
      <c r="K12" s="18" t="n">
        <v>0.50054733</v>
      </c>
      <c r="L12" s="20" t="n">
        <v>0.32951415</v>
      </c>
      <c r="M12" s="18" t="n">
        <v>0</v>
      </c>
      <c r="N12" s="20" t="n">
        <v>0</v>
      </c>
      <c r="O12" s="18" t="n">
        <v>0</v>
      </c>
      <c r="P12" s="20" t="n">
        <v>0</v>
      </c>
      <c r="Q12" s="18" t="n">
        <v>0.96118662</v>
      </c>
      <c r="R12" s="20" t="n">
        <v>0.38649448</v>
      </c>
    </row>
    <row r="13" spans="1:18">
      <c r="A13" s="15" t="s">
        <v>355</v>
      </c>
      <c r="B13" s="17" t="n">
        <v>7161</v>
      </c>
      <c r="C13" s="18">
        <f>(6328.0/B13*100)</f>
        <v/>
      </c>
      <c r="D13" s="19" t="n">
        <v>833</v>
      </c>
      <c r="E13" s="18" t="n">
        <v>23.06240888</v>
      </c>
      <c r="F13" s="20" t="n">
        <v>1.88778569</v>
      </c>
      <c r="G13" s="18" t="n">
        <v>75.41825497000001</v>
      </c>
      <c r="H13" s="20" t="n">
        <v>1.99554108</v>
      </c>
      <c r="I13" s="18" t="s">
        <v>349</v>
      </c>
      <c r="J13" s="20" t="s">
        <v>349</v>
      </c>
      <c r="K13" s="18" t="n">
        <v>1.43157654</v>
      </c>
      <c r="L13" s="20" t="n">
        <v>0.55074115</v>
      </c>
      <c r="M13" s="18" t="n">
        <v>0</v>
      </c>
      <c r="N13" s="20" t="n">
        <v>0</v>
      </c>
      <c r="O13" s="18" t="n">
        <v>0</v>
      </c>
      <c r="P13" s="20" t="n">
        <v>0</v>
      </c>
      <c r="Q13" s="18" t="n">
        <v>0.08775959999999999</v>
      </c>
      <c r="R13" s="20" t="n">
        <v>0.06624782</v>
      </c>
    </row>
    <row r="14" spans="1:18">
      <c r="A14" s="15" t="s">
        <v>356</v>
      </c>
      <c r="B14" s="17" t="n">
        <v>5587</v>
      </c>
      <c r="C14" s="18">
        <f>(4913.0/B14*100)</f>
        <v/>
      </c>
      <c r="D14" s="19" t="n">
        <v>674</v>
      </c>
      <c r="E14" s="18" t="n">
        <v>29.55079508</v>
      </c>
      <c r="F14" s="20" t="n">
        <v>2.05619762</v>
      </c>
      <c r="G14" s="18" t="n">
        <v>69.94557277</v>
      </c>
      <c r="H14" s="20" t="n">
        <v>2.07319995</v>
      </c>
      <c r="I14" s="18" t="s">
        <v>349</v>
      </c>
      <c r="J14" s="20" t="s">
        <v>349</v>
      </c>
      <c r="K14" s="18" t="n">
        <v>0.34276513</v>
      </c>
      <c r="L14" s="20" t="n">
        <v>0.19936577</v>
      </c>
      <c r="M14" s="18" t="n">
        <v>0</v>
      </c>
      <c r="N14" s="20" t="n">
        <v>0</v>
      </c>
      <c r="O14" s="18" t="n">
        <v>0</v>
      </c>
      <c r="P14" s="20" t="n">
        <v>0</v>
      </c>
      <c r="Q14" s="18" t="n">
        <v>0.16086702</v>
      </c>
      <c r="R14" s="20" t="n">
        <v>0.13787366</v>
      </c>
    </row>
    <row r="15" spans="1:18">
      <c r="A15" s="15" t="s">
        <v>357</v>
      </c>
      <c r="B15" s="17" t="n">
        <v>5882</v>
      </c>
      <c r="C15" s="18">
        <f>(5180.0/B15*100)</f>
        <v/>
      </c>
      <c r="D15" s="19" t="n">
        <v>702</v>
      </c>
      <c r="E15" s="18" t="n">
        <v>32.98745381</v>
      </c>
      <c r="F15" s="20" t="n">
        <v>1.80224126</v>
      </c>
      <c r="G15" s="18" t="n">
        <v>66.13687616999999</v>
      </c>
      <c r="H15" s="20" t="n">
        <v>1.78750012</v>
      </c>
      <c r="I15" s="18" t="s">
        <v>349</v>
      </c>
      <c r="J15" s="20" t="s">
        <v>349</v>
      </c>
      <c r="K15" s="18" t="n">
        <v>0.42078031</v>
      </c>
      <c r="L15" s="20" t="n">
        <v>0.31317532</v>
      </c>
      <c r="M15" s="18" t="n">
        <v>0</v>
      </c>
      <c r="N15" s="20" t="n">
        <v>0</v>
      </c>
      <c r="O15" s="18" t="n">
        <v>0</v>
      </c>
      <c r="P15" s="20" t="n">
        <v>0</v>
      </c>
      <c r="Q15" s="18" t="n">
        <v>0.4548897</v>
      </c>
      <c r="R15" s="20" t="n">
        <v>0.26792361</v>
      </c>
    </row>
    <row r="16" spans="1:18">
      <c r="A16" s="15" t="s">
        <v>358</v>
      </c>
      <c r="B16" s="17" t="n">
        <v>6108</v>
      </c>
      <c r="C16" s="18">
        <f>(5362.0/B16*100)</f>
        <v/>
      </c>
      <c r="D16" s="19" t="n">
        <v>746</v>
      </c>
      <c r="E16" s="18" t="n">
        <v>38.23388862</v>
      </c>
      <c r="F16" s="20" t="n">
        <v>1.96156617</v>
      </c>
      <c r="G16" s="18" t="n">
        <v>59.45987596</v>
      </c>
      <c r="H16" s="20" t="n">
        <v>1.99939171</v>
      </c>
      <c r="I16" s="18" t="s">
        <v>349</v>
      </c>
      <c r="J16" s="20" t="s">
        <v>349</v>
      </c>
      <c r="K16" s="18" t="n">
        <v>1.03657956</v>
      </c>
      <c r="L16" s="20" t="n">
        <v>0.48382197</v>
      </c>
      <c r="M16" s="18" t="n">
        <v>0</v>
      </c>
      <c r="N16" s="20" t="n">
        <v>0</v>
      </c>
      <c r="O16" s="18" t="n">
        <v>0</v>
      </c>
      <c r="P16" s="20" t="n">
        <v>0</v>
      </c>
      <c r="Q16" s="18" t="n">
        <v>1.26965586</v>
      </c>
      <c r="R16" s="20" t="n">
        <v>0.41370908</v>
      </c>
    </row>
    <row r="17" spans="1:18">
      <c r="A17" s="15" t="s">
        <v>359</v>
      </c>
      <c r="B17" s="17" t="n">
        <v>6504</v>
      </c>
      <c r="C17" s="18">
        <f>(5724.0/B17*100)</f>
        <v/>
      </c>
      <c r="D17" s="19" t="n">
        <v>780</v>
      </c>
      <c r="E17" s="18" t="n">
        <v>36.5367975</v>
      </c>
      <c r="F17" s="20" t="n">
        <v>1.78909773</v>
      </c>
      <c r="G17" s="18" t="n">
        <v>62.03308685</v>
      </c>
      <c r="H17" s="20" t="n">
        <v>1.86155158</v>
      </c>
      <c r="I17" s="18" t="s">
        <v>349</v>
      </c>
      <c r="J17" s="20" t="s">
        <v>349</v>
      </c>
      <c r="K17" s="18" t="n">
        <v>0.84887563</v>
      </c>
      <c r="L17" s="20" t="n">
        <v>0.45642023</v>
      </c>
      <c r="M17" s="18" t="n">
        <v>0</v>
      </c>
      <c r="N17" s="20" t="n">
        <v>0</v>
      </c>
      <c r="O17" s="18" t="n">
        <v>0</v>
      </c>
      <c r="P17" s="20" t="n">
        <v>0</v>
      </c>
      <c r="Q17" s="18" t="n">
        <v>0.58124002</v>
      </c>
      <c r="R17" s="20" t="n">
        <v>0.25828128</v>
      </c>
    </row>
    <row r="18" spans="1:18">
      <c r="A18" s="15" t="s">
        <v>360</v>
      </c>
      <c r="B18" s="17" t="n">
        <v>5532</v>
      </c>
      <c r="C18" s="18">
        <f>(4864.0/B18*100)</f>
        <v/>
      </c>
      <c r="D18" s="19" t="n">
        <v>668</v>
      </c>
      <c r="E18" s="18" t="n">
        <v>50.25538933</v>
      </c>
      <c r="F18" s="20" t="n">
        <v>2.02969064</v>
      </c>
      <c r="G18" s="18" t="n">
        <v>47.72441098</v>
      </c>
      <c r="H18" s="20" t="n">
        <v>1.95636133</v>
      </c>
      <c r="I18" s="18" t="s">
        <v>349</v>
      </c>
      <c r="J18" s="20" t="s">
        <v>349</v>
      </c>
      <c r="K18" s="18" t="n">
        <v>1.27704424</v>
      </c>
      <c r="L18" s="20" t="n">
        <v>0.5797649</v>
      </c>
      <c r="M18" s="18" t="n">
        <v>0</v>
      </c>
      <c r="N18" s="20" t="n">
        <v>0</v>
      </c>
      <c r="O18" s="18" t="n">
        <v>0</v>
      </c>
      <c r="P18" s="20" t="n">
        <v>0</v>
      </c>
      <c r="Q18" s="18" t="n">
        <v>0.7431554500000001</v>
      </c>
      <c r="R18" s="20" t="n">
        <v>0.26326949</v>
      </c>
    </row>
    <row r="19" spans="1:18">
      <c r="A19" s="15" t="s">
        <v>361</v>
      </c>
      <c r="B19" s="17" t="n">
        <v>5658</v>
      </c>
      <c r="C19" s="18">
        <f>(4972.0/B19*100)</f>
        <v/>
      </c>
      <c r="D19" s="19" t="n">
        <v>686</v>
      </c>
      <c r="E19" s="18" t="n">
        <v>45.67416117</v>
      </c>
      <c r="F19" s="20" t="n">
        <v>2.29258231</v>
      </c>
      <c r="G19" s="18" t="n">
        <v>53.34184731</v>
      </c>
      <c r="H19" s="20" t="n">
        <v>2.36385054</v>
      </c>
      <c r="I19" s="18" t="s">
        <v>349</v>
      </c>
      <c r="J19" s="20" t="s">
        <v>349</v>
      </c>
      <c r="K19" s="18" t="n">
        <v>0.84090467</v>
      </c>
      <c r="L19" s="20" t="n">
        <v>0.40177184</v>
      </c>
      <c r="M19" s="18" t="n">
        <v>0</v>
      </c>
      <c r="N19" s="20" t="n">
        <v>0</v>
      </c>
      <c r="O19" s="18" t="n">
        <v>0</v>
      </c>
      <c r="P19" s="20" t="n">
        <v>0</v>
      </c>
      <c r="Q19" s="18" t="n">
        <v>0.14308685</v>
      </c>
      <c r="R19" s="20" t="n">
        <v>0.14559052</v>
      </c>
    </row>
    <row r="20" spans="1:18">
      <c r="A20" s="15" t="s">
        <v>362</v>
      </c>
      <c r="B20" s="17" t="n">
        <v>3371</v>
      </c>
      <c r="C20" s="18">
        <f>(2955.0/B20*100)</f>
        <v/>
      </c>
      <c r="D20" s="19" t="n">
        <v>416</v>
      </c>
      <c r="E20" s="18" t="n">
        <v>35.93307803</v>
      </c>
      <c r="F20" s="20" t="n">
        <v>2.34245042</v>
      </c>
      <c r="G20" s="18" t="n">
        <v>62.36294113</v>
      </c>
      <c r="H20" s="20" t="n">
        <v>2.30013782</v>
      </c>
      <c r="I20" s="18" t="s">
        <v>349</v>
      </c>
      <c r="J20" s="20" t="s">
        <v>349</v>
      </c>
      <c r="K20" s="18" t="n">
        <v>0.45106267</v>
      </c>
      <c r="L20" s="20" t="n">
        <v>0.31742613</v>
      </c>
      <c r="M20" s="18" t="n">
        <v>0</v>
      </c>
      <c r="N20" s="20" t="n">
        <v>0</v>
      </c>
      <c r="O20" s="18" t="n">
        <v>0</v>
      </c>
      <c r="P20" s="20" t="n">
        <v>0</v>
      </c>
      <c r="Q20" s="18" t="n">
        <v>1.25291817</v>
      </c>
      <c r="R20" s="20" t="n">
        <v>0.56246704</v>
      </c>
    </row>
    <row r="21" spans="1:18">
      <c r="A21" s="15" t="s">
        <v>363</v>
      </c>
      <c r="B21" s="17" t="n">
        <v>5741</v>
      </c>
      <c r="C21" s="18">
        <f>(4761.0/B21*100)</f>
        <v/>
      </c>
      <c r="D21" s="19" t="n">
        <v>980</v>
      </c>
      <c r="E21" s="18" t="n">
        <v>32.67600728</v>
      </c>
      <c r="F21" s="20" t="n">
        <v>1.52743423</v>
      </c>
      <c r="G21" s="18" t="n">
        <v>66.08902603</v>
      </c>
      <c r="H21" s="20" t="n">
        <v>1.47215826</v>
      </c>
      <c r="I21" s="18" t="s">
        <v>349</v>
      </c>
      <c r="J21" s="20" t="s">
        <v>349</v>
      </c>
      <c r="K21" s="18" t="n">
        <v>0.88991738</v>
      </c>
      <c r="L21" s="20" t="n">
        <v>0.33130963</v>
      </c>
      <c r="M21" s="18" t="n">
        <v>0</v>
      </c>
      <c r="N21" s="20" t="n">
        <v>0</v>
      </c>
      <c r="O21" s="18" t="n">
        <v>0</v>
      </c>
      <c r="P21" s="20" t="n">
        <v>0</v>
      </c>
      <c r="Q21" s="18" t="n">
        <v>0.3450493</v>
      </c>
      <c r="R21" s="20" t="n">
        <v>0.13172043</v>
      </c>
    </row>
    <row r="22" spans="1:18">
      <c r="A22" s="15" t="s">
        <v>364</v>
      </c>
      <c r="B22" s="17" t="n">
        <v>6598</v>
      </c>
      <c r="C22" s="18">
        <f>(5750.0/B22*100)</f>
        <v/>
      </c>
      <c r="D22" s="19" t="n">
        <v>848</v>
      </c>
      <c r="E22" s="18" t="n">
        <v>41.65657987</v>
      </c>
      <c r="F22" s="20" t="n">
        <v>1.85049568</v>
      </c>
      <c r="G22" s="18" t="n">
        <v>54.88472411</v>
      </c>
      <c r="H22" s="20" t="n">
        <v>2.07768336</v>
      </c>
      <c r="I22" s="18" t="s">
        <v>349</v>
      </c>
      <c r="J22" s="20" t="s">
        <v>349</v>
      </c>
      <c r="K22" s="18" t="n">
        <v>1.91505112</v>
      </c>
      <c r="L22" s="20" t="n">
        <v>0.54894144</v>
      </c>
      <c r="M22" s="18" t="n">
        <v>0</v>
      </c>
      <c r="N22" s="20" t="n">
        <v>0</v>
      </c>
      <c r="O22" s="18" t="n">
        <v>0</v>
      </c>
      <c r="P22" s="20" t="n">
        <v>0</v>
      </c>
      <c r="Q22" s="18" t="n">
        <v>1.54364491</v>
      </c>
      <c r="R22" s="20" t="n">
        <v>0.45407968</v>
      </c>
    </row>
    <row r="23" spans="1:18">
      <c r="A23" s="15" t="s">
        <v>365</v>
      </c>
      <c r="B23" s="17" t="n">
        <v>11583</v>
      </c>
      <c r="C23" s="18">
        <f>(10178.0/B23*100)</f>
        <v/>
      </c>
      <c r="D23" s="19" t="n">
        <v>1405</v>
      </c>
      <c r="E23" s="18" t="n">
        <v>38.3271275</v>
      </c>
      <c r="F23" s="20" t="n">
        <v>1.99183496</v>
      </c>
      <c r="G23" s="18" t="n">
        <v>59.21389775</v>
      </c>
      <c r="H23" s="20" t="n">
        <v>2.06594604</v>
      </c>
      <c r="I23" s="18" t="s">
        <v>349</v>
      </c>
      <c r="J23" s="20" t="s">
        <v>349</v>
      </c>
      <c r="K23" s="18" t="n">
        <v>1.1428185</v>
      </c>
      <c r="L23" s="20" t="n">
        <v>0.3062839</v>
      </c>
      <c r="M23" s="18" t="n">
        <v>0</v>
      </c>
      <c r="N23" s="20" t="n">
        <v>0</v>
      </c>
      <c r="O23" s="18" t="n">
        <v>0</v>
      </c>
      <c r="P23" s="20" t="n">
        <v>0</v>
      </c>
      <c r="Q23" s="18" t="n">
        <v>1.31615626</v>
      </c>
      <c r="R23" s="20" t="n">
        <v>0.47583758</v>
      </c>
    </row>
    <row r="24" spans="1:18">
      <c r="A24" s="15" t="s">
        <v>366</v>
      </c>
      <c r="B24" s="17" t="n">
        <v>6647</v>
      </c>
      <c r="C24" s="18">
        <f>(5852.0/B24*100)</f>
        <v/>
      </c>
      <c r="D24" s="19" t="n">
        <v>795</v>
      </c>
      <c r="E24" s="18" t="n">
        <v>37.60626499</v>
      </c>
      <c r="F24" s="20" t="n">
        <v>1.87400492</v>
      </c>
      <c r="G24" s="18" t="n">
        <v>61.75976906</v>
      </c>
      <c r="H24" s="20" t="n">
        <v>1.87869466</v>
      </c>
      <c r="I24" s="18" t="s">
        <v>349</v>
      </c>
      <c r="J24" s="20" t="s">
        <v>349</v>
      </c>
      <c r="K24" s="18" t="n">
        <v>0.37730555</v>
      </c>
      <c r="L24" s="20" t="n">
        <v>0.23423119</v>
      </c>
      <c r="M24" s="18" t="n">
        <v>0</v>
      </c>
      <c r="N24" s="20" t="n">
        <v>0</v>
      </c>
      <c r="O24" s="18" t="n">
        <v>0</v>
      </c>
      <c r="P24" s="20" t="n">
        <v>0</v>
      </c>
      <c r="Q24" s="18" t="n">
        <v>0.25666041</v>
      </c>
      <c r="R24" s="20" t="n">
        <v>0.17943301</v>
      </c>
    </row>
    <row r="25" spans="1:18">
      <c r="A25" s="15" t="s">
        <v>367</v>
      </c>
      <c r="B25" s="17" t="n">
        <v>5581</v>
      </c>
      <c r="C25" s="18">
        <f>(4896.0/B25*100)</f>
        <v/>
      </c>
      <c r="D25" s="19" t="n">
        <v>685</v>
      </c>
      <c r="E25" s="18" t="n">
        <v>41.00153548</v>
      </c>
      <c r="F25" s="20" t="n">
        <v>2.27381355</v>
      </c>
      <c r="G25" s="18" t="n">
        <v>57.8924272</v>
      </c>
      <c r="H25" s="20" t="n">
        <v>2.27312909</v>
      </c>
      <c r="I25" s="18" t="s">
        <v>349</v>
      </c>
      <c r="J25" s="20" t="s">
        <v>349</v>
      </c>
      <c r="K25" s="18" t="n">
        <v>0.56957163</v>
      </c>
      <c r="L25" s="20" t="n">
        <v>0.43516892</v>
      </c>
      <c r="M25" s="18" t="n">
        <v>0</v>
      </c>
      <c r="N25" s="20" t="n">
        <v>0</v>
      </c>
      <c r="O25" s="18" t="n">
        <v>0</v>
      </c>
      <c r="P25" s="20" t="n">
        <v>0</v>
      </c>
      <c r="Q25" s="18" t="n">
        <v>0.53646569</v>
      </c>
      <c r="R25" s="20" t="n">
        <v>0.25880363</v>
      </c>
    </row>
    <row r="26" spans="1:18">
      <c r="A26" s="15" t="s">
        <v>368</v>
      </c>
      <c r="B26" s="17" t="n">
        <v>4869</v>
      </c>
      <c r="C26" s="18">
        <f>(4279.0/B26*100)</f>
        <v/>
      </c>
      <c r="D26" s="19" t="n">
        <v>590</v>
      </c>
      <c r="E26" s="18" t="n">
        <v>41.12230136</v>
      </c>
      <c r="F26" s="20" t="n">
        <v>2.0045449</v>
      </c>
      <c r="G26" s="18" t="n">
        <v>58.2728691</v>
      </c>
      <c r="H26" s="20" t="n">
        <v>2.05809213</v>
      </c>
      <c r="I26" s="18" t="s">
        <v>349</v>
      </c>
      <c r="J26" s="20" t="s">
        <v>349</v>
      </c>
      <c r="K26" s="18" t="n">
        <v>0.45367043</v>
      </c>
      <c r="L26" s="20" t="n">
        <v>0.33298089</v>
      </c>
      <c r="M26" s="18" t="n">
        <v>0</v>
      </c>
      <c r="N26" s="20" t="n">
        <v>0</v>
      </c>
      <c r="O26" s="18" t="n">
        <v>0</v>
      </c>
      <c r="P26" s="20" t="n">
        <v>0</v>
      </c>
      <c r="Q26" s="18" t="n">
        <v>0.15115911</v>
      </c>
      <c r="R26" s="20" t="n">
        <v>0.16286736</v>
      </c>
    </row>
    <row r="27" spans="1:18">
      <c r="A27" s="15" t="s">
        <v>369</v>
      </c>
      <c r="B27" s="17" t="n">
        <v>5299</v>
      </c>
      <c r="C27" s="18">
        <f>(4657.0/B27*100)</f>
        <v/>
      </c>
      <c r="D27" s="19" t="n">
        <v>642</v>
      </c>
      <c r="E27" s="18" t="n">
        <v>40.06223823</v>
      </c>
      <c r="F27" s="20" t="n">
        <v>1.82008456</v>
      </c>
      <c r="G27" s="18" t="n">
        <v>58.21851331</v>
      </c>
      <c r="H27" s="20" t="n">
        <v>1.82131889</v>
      </c>
      <c r="I27" s="18" t="s">
        <v>349</v>
      </c>
      <c r="J27" s="20" t="s">
        <v>349</v>
      </c>
      <c r="K27" s="18" t="n">
        <v>0.32195537</v>
      </c>
      <c r="L27" s="20" t="n">
        <v>0.22631839</v>
      </c>
      <c r="M27" s="18" t="n">
        <v>0</v>
      </c>
      <c r="N27" s="20" t="n">
        <v>0</v>
      </c>
      <c r="O27" s="18" t="n">
        <v>0</v>
      </c>
      <c r="P27" s="20" t="n">
        <v>0</v>
      </c>
      <c r="Q27" s="18" t="n">
        <v>1.39729308</v>
      </c>
      <c r="R27" s="20" t="n">
        <v>0.50147245</v>
      </c>
    </row>
    <row r="28" spans="1:18">
      <c r="A28" s="15" t="s">
        <v>370</v>
      </c>
      <c r="B28" s="17" t="n">
        <v>7568</v>
      </c>
      <c r="C28" s="18">
        <f>(6688.0/B28*100)</f>
        <v/>
      </c>
      <c r="D28" s="19" t="n">
        <v>880</v>
      </c>
      <c r="E28" s="18" t="n">
        <v>54.3801044</v>
      </c>
      <c r="F28" s="20" t="n">
        <v>1.6173796</v>
      </c>
      <c r="G28" s="18" t="n">
        <v>43.72519681</v>
      </c>
      <c r="H28" s="20" t="n">
        <v>1.67691557</v>
      </c>
      <c r="I28" s="18" t="s">
        <v>349</v>
      </c>
      <c r="J28" s="20" t="s">
        <v>349</v>
      </c>
      <c r="K28" s="18" t="n">
        <v>1.22961286</v>
      </c>
      <c r="L28" s="20" t="n">
        <v>0.49695458</v>
      </c>
      <c r="M28" s="18" t="n">
        <v>0</v>
      </c>
      <c r="N28" s="20" t="n">
        <v>0</v>
      </c>
      <c r="O28" s="18" t="n">
        <v>0</v>
      </c>
      <c r="P28" s="20" t="n">
        <v>0</v>
      </c>
      <c r="Q28" s="18" t="n">
        <v>0.66508593</v>
      </c>
      <c r="R28" s="20" t="n">
        <v>0.314444</v>
      </c>
    </row>
    <row r="29" spans="1:18">
      <c r="A29" s="15" t="s">
        <v>371</v>
      </c>
      <c r="B29" s="17" t="n">
        <v>5385</v>
      </c>
      <c r="C29" s="18">
        <f>(4732.0/B29*100)</f>
        <v/>
      </c>
      <c r="D29" s="19" t="n">
        <v>653</v>
      </c>
      <c r="E29" s="18" t="n">
        <v>23.95829979</v>
      </c>
      <c r="F29" s="20" t="n">
        <v>1.73337919</v>
      </c>
      <c r="G29" s="18" t="n">
        <v>75.38244199</v>
      </c>
      <c r="H29" s="20" t="n">
        <v>1.79045893</v>
      </c>
      <c r="I29" s="18" t="s">
        <v>349</v>
      </c>
      <c r="J29" s="20" t="s">
        <v>349</v>
      </c>
      <c r="K29" s="18" t="n">
        <v>0.65925821</v>
      </c>
      <c r="L29" s="20" t="n">
        <v>0.30829324</v>
      </c>
      <c r="M29" s="18" t="n">
        <v>0</v>
      </c>
      <c r="N29" s="20" t="n">
        <v>0</v>
      </c>
      <c r="O29" s="18" t="n">
        <v>0</v>
      </c>
      <c r="P29" s="20" t="n">
        <v>0</v>
      </c>
      <c r="Q29" s="18" t="n">
        <v>0</v>
      </c>
      <c r="R29" s="20" t="n">
        <v>0</v>
      </c>
    </row>
    <row r="30" spans="1:18">
      <c r="A30" s="15" t="s">
        <v>372</v>
      </c>
      <c r="B30" s="17" t="n">
        <v>4520</v>
      </c>
      <c r="C30" s="18">
        <f>(3976.0/B30*100)</f>
        <v/>
      </c>
      <c r="D30" s="19" t="n">
        <v>544</v>
      </c>
      <c r="E30" s="18" t="n">
        <v>40.23023628</v>
      </c>
      <c r="F30" s="20" t="n">
        <v>2.13793544</v>
      </c>
      <c r="G30" s="18" t="n">
        <v>58.15322619</v>
      </c>
      <c r="H30" s="20" t="n">
        <v>2.22179765</v>
      </c>
      <c r="I30" s="18" t="s">
        <v>349</v>
      </c>
      <c r="J30" s="20" t="s">
        <v>349</v>
      </c>
      <c r="K30" s="18" t="n">
        <v>0.74148442</v>
      </c>
      <c r="L30" s="20" t="n">
        <v>0.4300696</v>
      </c>
      <c r="M30" s="18" t="n">
        <v>0</v>
      </c>
      <c r="N30" s="20" t="n">
        <v>0</v>
      </c>
      <c r="O30" s="18" t="n">
        <v>0</v>
      </c>
      <c r="P30" s="20" t="n">
        <v>0</v>
      </c>
      <c r="Q30" s="18" t="n">
        <v>0.87505311</v>
      </c>
      <c r="R30" s="20" t="n">
        <v>0.44260903</v>
      </c>
    </row>
    <row r="31" spans="1:18">
      <c r="A31" s="15" t="s">
        <v>373</v>
      </c>
      <c r="B31" s="17" t="n">
        <v>5456</v>
      </c>
      <c r="C31" s="18">
        <f>(4814.0/B31*100)</f>
        <v/>
      </c>
      <c r="D31" s="19" t="n">
        <v>642</v>
      </c>
      <c r="E31" s="18" t="n">
        <v>32.11815208</v>
      </c>
      <c r="F31" s="20" t="n">
        <v>2.09199644</v>
      </c>
      <c r="G31" s="18" t="n">
        <v>65.74386732000001</v>
      </c>
      <c r="H31" s="20" t="n">
        <v>2.00038513</v>
      </c>
      <c r="I31" s="18" t="s">
        <v>349</v>
      </c>
      <c r="J31" s="20" t="s">
        <v>349</v>
      </c>
      <c r="K31" s="18" t="n">
        <v>2.13798061</v>
      </c>
      <c r="L31" s="20" t="n">
        <v>0.60399273</v>
      </c>
      <c r="M31" s="18" t="n">
        <v>0</v>
      </c>
      <c r="N31" s="20" t="n">
        <v>0</v>
      </c>
      <c r="O31" s="18" t="n">
        <v>0</v>
      </c>
      <c r="P31" s="20" t="n">
        <v>0</v>
      </c>
      <c r="Q31" s="18" t="n">
        <v>0</v>
      </c>
      <c r="R31" s="20" t="n">
        <v>0</v>
      </c>
    </row>
    <row r="32" spans="1:18">
      <c r="A32" s="15" t="s">
        <v>374</v>
      </c>
      <c r="B32" s="17" t="n">
        <v>4478</v>
      </c>
      <c r="C32" s="18">
        <f>(3704.0/B32*100)</f>
        <v/>
      </c>
      <c r="D32" s="19" t="n">
        <v>774</v>
      </c>
      <c r="E32" s="18" t="n">
        <v>36.48437696</v>
      </c>
      <c r="F32" s="20" t="n">
        <v>1.72004549</v>
      </c>
      <c r="G32" s="18" t="n">
        <v>62.52963545</v>
      </c>
      <c r="H32" s="20" t="n">
        <v>1.77918673</v>
      </c>
      <c r="I32" s="18" t="s">
        <v>349</v>
      </c>
      <c r="J32" s="20" t="s">
        <v>349</v>
      </c>
      <c r="K32" s="18" t="n">
        <v>0.36006946</v>
      </c>
      <c r="L32" s="20" t="n">
        <v>0.20522833</v>
      </c>
      <c r="M32" s="18" t="n">
        <v>0</v>
      </c>
      <c r="N32" s="20" t="n">
        <v>0</v>
      </c>
      <c r="O32" s="18" t="n">
        <v>0</v>
      </c>
      <c r="P32" s="20" t="n">
        <v>0</v>
      </c>
      <c r="Q32" s="18" t="n">
        <v>0.62591813</v>
      </c>
      <c r="R32" s="20" t="n">
        <v>0.2734531</v>
      </c>
    </row>
    <row r="33" spans="1:18">
      <c r="A33" s="15" t="s">
        <v>375</v>
      </c>
      <c r="B33" s="17" t="n">
        <v>7325</v>
      </c>
      <c r="C33" s="18">
        <f>(6470.0/B33*100)</f>
        <v/>
      </c>
      <c r="D33" s="19" t="n">
        <v>855</v>
      </c>
      <c r="E33" s="18" t="n">
        <v>45.10692859</v>
      </c>
      <c r="F33" s="20" t="n">
        <v>2.3152047</v>
      </c>
      <c r="G33" s="18" t="n">
        <v>53.81877006</v>
      </c>
      <c r="H33" s="20" t="n">
        <v>2.34105383</v>
      </c>
      <c r="I33" s="18" t="s">
        <v>349</v>
      </c>
      <c r="J33" s="20" t="s">
        <v>349</v>
      </c>
      <c r="K33" s="18" t="n">
        <v>0.63764297</v>
      </c>
      <c r="L33" s="20" t="n">
        <v>0.48463743</v>
      </c>
      <c r="M33" s="18" t="n">
        <v>0</v>
      </c>
      <c r="N33" s="20" t="n">
        <v>0</v>
      </c>
      <c r="O33" s="18" t="n">
        <v>0</v>
      </c>
      <c r="P33" s="20" t="n">
        <v>0</v>
      </c>
      <c r="Q33" s="18" t="n">
        <v>0.43665838</v>
      </c>
      <c r="R33" s="20" t="n">
        <v>0.19488498</v>
      </c>
    </row>
    <row r="34" spans="1:18">
      <c r="A34" s="15" t="s">
        <v>376</v>
      </c>
      <c r="B34" s="17" t="n">
        <v>6350</v>
      </c>
      <c r="C34" s="18">
        <f>(5571.0/B34*100)</f>
        <v/>
      </c>
      <c r="D34" s="19" t="n">
        <v>779</v>
      </c>
      <c r="E34" s="18" t="n">
        <v>36.69448846</v>
      </c>
      <c r="F34" s="20" t="n">
        <v>1.90028573</v>
      </c>
      <c r="G34" s="18" t="n">
        <v>62.01613905</v>
      </c>
      <c r="H34" s="20" t="n">
        <v>2.00824949</v>
      </c>
      <c r="I34" s="18" t="s">
        <v>349</v>
      </c>
      <c r="J34" s="20" t="s">
        <v>349</v>
      </c>
      <c r="K34" s="18" t="n">
        <v>0.56142398</v>
      </c>
      <c r="L34" s="20" t="n">
        <v>0.29313552</v>
      </c>
      <c r="M34" s="18" t="n">
        <v>0</v>
      </c>
      <c r="N34" s="20" t="n">
        <v>0</v>
      </c>
      <c r="O34" s="18" t="n">
        <v>0</v>
      </c>
      <c r="P34" s="20" t="n">
        <v>0</v>
      </c>
      <c r="Q34" s="18" t="n">
        <v>0.72794851</v>
      </c>
      <c r="R34" s="20" t="n">
        <v>0.29660997</v>
      </c>
    </row>
    <row r="35" spans="1:18">
      <c r="A35" s="15" t="s">
        <v>377</v>
      </c>
      <c r="B35" s="17" t="n">
        <v>6406</v>
      </c>
      <c r="C35" s="18">
        <f>(5643.0/B35*100)</f>
        <v/>
      </c>
      <c r="D35" s="19" t="n">
        <v>763</v>
      </c>
      <c r="E35" s="18" t="n">
        <v>31.92031124</v>
      </c>
      <c r="F35" s="20" t="n">
        <v>1.87005151</v>
      </c>
      <c r="G35" s="18" t="n">
        <v>67.26571016</v>
      </c>
      <c r="H35" s="20" t="n">
        <v>1.89268458</v>
      </c>
      <c r="I35" s="18" t="s">
        <v>349</v>
      </c>
      <c r="J35" s="20" t="s">
        <v>349</v>
      </c>
      <c r="K35" s="18" t="n">
        <v>0.40579776</v>
      </c>
      <c r="L35" s="20" t="n">
        <v>0.24475002</v>
      </c>
      <c r="M35" s="18" t="n">
        <v>0</v>
      </c>
      <c r="N35" s="20" t="n">
        <v>0</v>
      </c>
      <c r="O35" s="18" t="n">
        <v>0</v>
      </c>
      <c r="P35" s="20" t="n">
        <v>0</v>
      </c>
      <c r="Q35" s="18" t="n">
        <v>0.40818084</v>
      </c>
      <c r="R35" s="20" t="n">
        <v>0.191536</v>
      </c>
    </row>
    <row r="36" spans="1:18">
      <c r="A36" s="15" t="s">
        <v>378</v>
      </c>
      <c r="B36" s="17" t="n">
        <v>6736</v>
      </c>
      <c r="C36" s="18">
        <f>(5911.0/B36*100)</f>
        <v/>
      </c>
      <c r="D36" s="19" t="n">
        <v>825</v>
      </c>
      <c r="E36" s="18" t="n">
        <v>40.82244555</v>
      </c>
      <c r="F36" s="20" t="n">
        <v>1.70576806</v>
      </c>
      <c r="G36" s="18" t="n">
        <v>58.45364202</v>
      </c>
      <c r="H36" s="20" t="n">
        <v>1.68276036</v>
      </c>
      <c r="I36" s="18" t="s">
        <v>349</v>
      </c>
      <c r="J36" s="20" t="s">
        <v>349</v>
      </c>
      <c r="K36" s="18" t="n">
        <v>0.5557311700000001</v>
      </c>
      <c r="L36" s="20" t="n">
        <v>0.33015164</v>
      </c>
      <c r="M36" s="18" t="n">
        <v>0</v>
      </c>
      <c r="N36" s="20" t="n">
        <v>0</v>
      </c>
      <c r="O36" s="18" t="n">
        <v>0</v>
      </c>
      <c r="P36" s="20" t="n">
        <v>0</v>
      </c>
      <c r="Q36" s="18" t="n">
        <v>0.16818126</v>
      </c>
      <c r="R36" s="20" t="n">
        <v>0.12490357</v>
      </c>
    </row>
    <row r="37" spans="1:18">
      <c r="A37" s="15" t="s">
        <v>379</v>
      </c>
      <c r="B37" s="17" t="n">
        <v>5458</v>
      </c>
      <c r="C37" s="18">
        <f>(4814.0/B37*100)</f>
        <v/>
      </c>
      <c r="D37" s="19" t="n">
        <v>644</v>
      </c>
      <c r="E37" s="18" t="n">
        <v>34.05021229</v>
      </c>
      <c r="F37" s="20" t="n">
        <v>1.91901919</v>
      </c>
      <c r="G37" s="18" t="n">
        <v>62.62484629</v>
      </c>
      <c r="H37" s="20" t="n">
        <v>2.02945206</v>
      </c>
      <c r="I37" s="18" t="s">
        <v>349</v>
      </c>
      <c r="J37" s="20" t="s">
        <v>349</v>
      </c>
      <c r="K37" s="18" t="n">
        <v>2.27271737</v>
      </c>
      <c r="L37" s="20" t="n">
        <v>0.61213166</v>
      </c>
      <c r="M37" s="18" t="n">
        <v>0</v>
      </c>
      <c r="N37" s="20" t="n">
        <v>0</v>
      </c>
      <c r="O37" s="18" t="n">
        <v>0</v>
      </c>
      <c r="P37" s="20" t="n">
        <v>0</v>
      </c>
      <c r="Q37" s="18" t="n">
        <v>1.05222405</v>
      </c>
      <c r="R37" s="20" t="n">
        <v>0.34523154</v>
      </c>
    </row>
    <row r="38" spans="1:18">
      <c r="A38" s="15" t="s">
        <v>380</v>
      </c>
      <c r="B38" s="17" t="n">
        <v>5860</v>
      </c>
      <c r="C38" s="18">
        <f>(4858.0/B38*100)</f>
        <v/>
      </c>
      <c r="D38" s="19" t="n">
        <v>1002</v>
      </c>
      <c r="E38" s="18" t="n">
        <v>30.33114363</v>
      </c>
      <c r="F38" s="20" t="n">
        <v>1.66680944</v>
      </c>
      <c r="G38" s="18" t="n">
        <v>68.53233194000001</v>
      </c>
      <c r="H38" s="20" t="n">
        <v>1.67093205</v>
      </c>
      <c r="I38" s="18" t="s">
        <v>349</v>
      </c>
      <c r="J38" s="20" t="s">
        <v>349</v>
      </c>
      <c r="K38" s="18" t="n">
        <v>0.86079535</v>
      </c>
      <c r="L38" s="20" t="n">
        <v>0.32845283</v>
      </c>
      <c r="M38" s="18" t="n">
        <v>0</v>
      </c>
      <c r="N38" s="20" t="n">
        <v>0</v>
      </c>
      <c r="O38" s="18" t="n">
        <v>0</v>
      </c>
      <c r="P38" s="20" t="n">
        <v>0</v>
      </c>
      <c r="Q38" s="18" t="n">
        <v>0.27572908</v>
      </c>
      <c r="R38" s="20" t="n">
        <v>0.17716754</v>
      </c>
    </row>
    <row r="39" spans="1:18">
      <c r="A39" s="15" t="s">
        <v>381</v>
      </c>
      <c r="B39" s="17" t="n">
        <v>5895</v>
      </c>
      <c r="C39" s="18">
        <f>(5183.0/B39*100)</f>
        <v/>
      </c>
      <c r="D39" s="19" t="n">
        <v>712</v>
      </c>
      <c r="E39" s="18" t="n">
        <v>61.13231698</v>
      </c>
      <c r="F39" s="20" t="n">
        <v>2.17720323</v>
      </c>
      <c r="G39" s="18" t="n">
        <v>37.43249773</v>
      </c>
      <c r="H39" s="20" t="n">
        <v>2.16428283</v>
      </c>
      <c r="I39" s="18" t="s">
        <v>349</v>
      </c>
      <c r="J39" s="20" t="s">
        <v>349</v>
      </c>
      <c r="K39" s="18" t="n">
        <v>0.20571644</v>
      </c>
      <c r="L39" s="20" t="n">
        <v>0.14816898</v>
      </c>
      <c r="M39" s="18" t="n">
        <v>0</v>
      </c>
      <c r="N39" s="20" t="n">
        <v>0</v>
      </c>
      <c r="O39" s="18" t="n">
        <v>0</v>
      </c>
      <c r="P39" s="20" t="n">
        <v>0</v>
      </c>
      <c r="Q39" s="18" t="n">
        <v>1.22946885</v>
      </c>
      <c r="R39" s="20" t="n">
        <v>0.53651723</v>
      </c>
    </row>
    <row r="40" spans="1:18">
      <c r="A40" s="15" t="s">
        <v>382</v>
      </c>
      <c r="B40" s="17" t="n">
        <v>14157</v>
      </c>
      <c r="C40" s="18">
        <f>(12408.0/B40*100)</f>
        <v/>
      </c>
      <c r="D40" s="19" t="n">
        <v>1749</v>
      </c>
      <c r="E40" s="18" t="n">
        <v>38.51990006</v>
      </c>
      <c r="F40" s="20" t="n">
        <v>1.61093424</v>
      </c>
      <c r="G40" s="18" t="n">
        <v>59.90112669</v>
      </c>
      <c r="H40" s="20" t="n">
        <v>1.61919341</v>
      </c>
      <c r="I40" s="18" t="s">
        <v>349</v>
      </c>
      <c r="J40" s="20" t="s">
        <v>349</v>
      </c>
      <c r="K40" s="18" t="n">
        <v>0.68772376</v>
      </c>
      <c r="L40" s="20" t="n">
        <v>0.31374577</v>
      </c>
      <c r="M40" s="18" t="n">
        <v>0</v>
      </c>
      <c r="N40" s="20" t="n">
        <v>0</v>
      </c>
      <c r="O40" s="18" t="n">
        <v>0</v>
      </c>
      <c r="P40" s="20" t="n">
        <v>0</v>
      </c>
      <c r="Q40" s="18" t="n">
        <v>0.89124948</v>
      </c>
      <c r="R40" s="20" t="n">
        <v>0.37634839</v>
      </c>
    </row>
    <row r="41" spans="1:18">
      <c r="A41" s="15" t="s">
        <v>383</v>
      </c>
      <c r="B41" s="17" t="n">
        <v>5712</v>
      </c>
      <c r="C41" s="18">
        <f>(5019.0/B41*100)</f>
        <v/>
      </c>
      <c r="D41" s="19" t="n">
        <v>693</v>
      </c>
      <c r="E41" s="18" t="n">
        <v>52.99945223</v>
      </c>
      <c r="F41" s="20" t="n">
        <v>2.18074204</v>
      </c>
      <c r="G41" s="18" t="n">
        <v>46.21190718</v>
      </c>
      <c r="H41" s="20" t="n">
        <v>2.35176966</v>
      </c>
      <c r="I41" s="18" t="s">
        <v>349</v>
      </c>
      <c r="J41" s="20" t="s">
        <v>349</v>
      </c>
      <c r="K41" s="18" t="n">
        <v>0.5872775</v>
      </c>
      <c r="L41" s="20" t="n">
        <v>0.50025521</v>
      </c>
      <c r="M41" s="18" t="n">
        <v>0</v>
      </c>
      <c r="N41" s="20" t="n">
        <v>0</v>
      </c>
      <c r="O41" s="18" t="n">
        <v>0</v>
      </c>
      <c r="P41" s="20" t="n">
        <v>0</v>
      </c>
      <c r="Q41" s="18" t="n">
        <v>0.20136309</v>
      </c>
      <c r="R41" s="20" t="n">
        <v>0.15981568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(20732.0/B46*100)</f>
        <v/>
      </c>
      <c r="D46" s="19" t="n">
        <v>2409</v>
      </c>
      <c r="E46" s="18" t="n">
        <v>57.38187141</v>
      </c>
      <c r="F46" s="20" t="n">
        <v>1.46019734</v>
      </c>
      <c r="G46" s="18" t="n">
        <v>39.34533251</v>
      </c>
      <c r="H46" s="20" t="n">
        <v>1.46148115</v>
      </c>
      <c r="I46" s="18" t="s">
        <v>349</v>
      </c>
      <c r="J46" s="20" t="s">
        <v>349</v>
      </c>
      <c r="K46" s="18" t="n">
        <v>2.33946252</v>
      </c>
      <c r="L46" s="20" t="n">
        <v>0.3123812</v>
      </c>
      <c r="M46" s="18" t="n">
        <v>0</v>
      </c>
      <c r="N46" s="20" t="n">
        <v>0</v>
      </c>
      <c r="O46" s="18" t="n">
        <v>0</v>
      </c>
      <c r="P46" s="20" t="n">
        <v>0</v>
      </c>
      <c r="Q46" s="18" t="n">
        <v>0.93333355</v>
      </c>
      <c r="R46" s="20" t="n">
        <v>0.28007075</v>
      </c>
    </row>
    <row r="47" spans="1:18">
      <c r="A47" s="15" t="s">
        <v>389</v>
      </c>
      <c r="B47" s="17" t="n">
        <v>5928</v>
      </c>
      <c r="C47" s="18">
        <f>(5200.0/B47*100)</f>
        <v/>
      </c>
      <c r="D47" s="19" t="n">
        <v>728</v>
      </c>
      <c r="E47" s="18" t="n">
        <v>49.07794696</v>
      </c>
      <c r="F47" s="20" t="n">
        <v>1.98665326</v>
      </c>
      <c r="G47" s="18" t="n">
        <v>50.23826356</v>
      </c>
      <c r="H47" s="20" t="n">
        <v>2.01992039</v>
      </c>
      <c r="I47" s="18" t="s">
        <v>349</v>
      </c>
      <c r="J47" s="20" t="s">
        <v>349</v>
      </c>
      <c r="K47" s="18" t="n">
        <v>0.40225303</v>
      </c>
      <c r="L47" s="20" t="n">
        <v>0.24401358</v>
      </c>
      <c r="M47" s="18" t="n">
        <v>0</v>
      </c>
      <c r="N47" s="20" t="n">
        <v>0</v>
      </c>
      <c r="O47" s="18" t="n">
        <v>0</v>
      </c>
      <c r="P47" s="20" t="n">
        <v>0</v>
      </c>
      <c r="Q47" s="18" t="n">
        <v>0.28153646</v>
      </c>
      <c r="R47" s="20" t="n">
        <v>0.1615381</v>
      </c>
    </row>
    <row r="48" spans="1:18">
      <c r="A48" s="15" t="s">
        <v>390</v>
      </c>
      <c r="B48" s="17" t="n">
        <v>9841</v>
      </c>
      <c r="C48" s="18">
        <f>(8662.0/B48*100)</f>
        <v/>
      </c>
      <c r="D48" s="19" t="n">
        <v>1179</v>
      </c>
      <c r="E48" s="18" t="n">
        <v>27.41864333</v>
      </c>
      <c r="F48" s="20" t="n">
        <v>2.02065363</v>
      </c>
      <c r="G48" s="18" t="n">
        <v>71.31985345</v>
      </c>
      <c r="H48" s="20" t="n">
        <v>2.05474666</v>
      </c>
      <c r="I48" s="18" t="s">
        <v>349</v>
      </c>
      <c r="J48" s="20" t="s">
        <v>349</v>
      </c>
      <c r="K48" s="18" t="n">
        <v>0.60654421</v>
      </c>
      <c r="L48" s="20" t="n">
        <v>0.36517838</v>
      </c>
      <c r="M48" s="18" t="n">
        <v>0</v>
      </c>
      <c r="N48" s="20" t="n">
        <v>0</v>
      </c>
      <c r="O48" s="18" t="n">
        <v>0</v>
      </c>
      <c r="P48" s="20" t="n">
        <v>0</v>
      </c>
      <c r="Q48" s="18" t="n">
        <v>0.65495901</v>
      </c>
      <c r="R48" s="20" t="n">
        <v>0.28415056</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(10406.0/B50*100)</f>
        <v/>
      </c>
      <c r="D50" s="19" t="n">
        <v>1389</v>
      </c>
      <c r="E50" s="18" t="n">
        <v>60.34007893</v>
      </c>
      <c r="F50" s="20" t="n">
        <v>1.9614683</v>
      </c>
      <c r="G50" s="18" t="n">
        <v>37.33854989</v>
      </c>
      <c r="H50" s="20" t="n">
        <v>1.97504181</v>
      </c>
      <c r="I50" s="18" t="s">
        <v>349</v>
      </c>
      <c r="J50" s="20" t="s">
        <v>349</v>
      </c>
      <c r="K50" s="18" t="n">
        <v>2.13180238</v>
      </c>
      <c r="L50" s="20" t="n">
        <v>0.75710031</v>
      </c>
      <c r="M50" s="18" t="n">
        <v>0</v>
      </c>
      <c r="N50" s="20" t="n">
        <v>0</v>
      </c>
      <c r="O50" s="18" t="n">
        <v>0</v>
      </c>
      <c r="P50" s="20" t="n">
        <v>0</v>
      </c>
      <c r="Q50" s="18" t="n">
        <v>0.1895688</v>
      </c>
      <c r="R50" s="20" t="n">
        <v>0.14688245</v>
      </c>
    </row>
    <row r="51" spans="1:18">
      <c r="A51" s="15" t="s">
        <v>393</v>
      </c>
      <c r="B51" s="17" t="n">
        <v>6866</v>
      </c>
      <c r="C51" s="18">
        <f>(6142.0/B51*100)</f>
        <v/>
      </c>
      <c r="D51" s="19" t="n">
        <v>724</v>
      </c>
      <c r="E51" s="18" t="n">
        <v>63.57298336</v>
      </c>
      <c r="F51" s="20" t="n">
        <v>2.02886689</v>
      </c>
      <c r="G51" s="18" t="n">
        <v>33.56648416</v>
      </c>
      <c r="H51" s="20" t="n">
        <v>1.9566661</v>
      </c>
      <c r="I51" s="18" t="s">
        <v>349</v>
      </c>
      <c r="J51" s="20" t="s">
        <v>349</v>
      </c>
      <c r="K51" s="18" t="n">
        <v>1.0361304</v>
      </c>
      <c r="L51" s="20" t="n">
        <v>0.38315162</v>
      </c>
      <c r="M51" s="18" t="n">
        <v>0</v>
      </c>
      <c r="N51" s="20" t="n">
        <v>0</v>
      </c>
      <c r="O51" s="18" t="n">
        <v>0</v>
      </c>
      <c r="P51" s="20" t="n">
        <v>0</v>
      </c>
      <c r="Q51" s="18" t="n">
        <v>1.82440209</v>
      </c>
      <c r="R51" s="20" t="n">
        <v>0.52111761</v>
      </c>
    </row>
    <row r="52" spans="1:18">
      <c r="A52" s="15" t="s">
        <v>394</v>
      </c>
      <c r="B52" s="17" t="n">
        <v>5809</v>
      </c>
      <c r="C52" s="18">
        <f>(5107.0/B52*100)</f>
        <v/>
      </c>
      <c r="D52" s="19" t="n">
        <v>702</v>
      </c>
      <c r="E52" s="18" t="n">
        <v>50.31980946</v>
      </c>
      <c r="F52" s="20" t="n">
        <v>1.77500834</v>
      </c>
      <c r="G52" s="18" t="n">
        <v>47.03058875</v>
      </c>
      <c r="H52" s="20" t="n">
        <v>1.81116609</v>
      </c>
      <c r="I52" s="18" t="s">
        <v>349</v>
      </c>
      <c r="J52" s="20" t="s">
        <v>349</v>
      </c>
      <c r="K52" s="18" t="n">
        <v>1.00131336</v>
      </c>
      <c r="L52" s="20" t="n">
        <v>0.39603991</v>
      </c>
      <c r="M52" s="18" t="n">
        <v>0</v>
      </c>
      <c r="N52" s="20" t="n">
        <v>0</v>
      </c>
      <c r="O52" s="18" t="n">
        <v>0</v>
      </c>
      <c r="P52" s="20" t="n">
        <v>0</v>
      </c>
      <c r="Q52" s="18" t="n">
        <v>1.64828843</v>
      </c>
      <c r="R52" s="20" t="n">
        <v>0.38407776</v>
      </c>
    </row>
    <row r="53" spans="1:18">
      <c r="A53" s="15" t="s">
        <v>395</v>
      </c>
      <c r="B53" s="17" t="n">
        <v>5571</v>
      </c>
      <c r="C53" s="18">
        <f>(4914.0/B53*100)</f>
        <v/>
      </c>
      <c r="D53" s="19" t="n">
        <v>657</v>
      </c>
      <c r="E53" s="18" t="n">
        <v>52.14895928</v>
      </c>
      <c r="F53" s="20" t="n">
        <v>1.75386618</v>
      </c>
      <c r="G53" s="18" t="n">
        <v>45.64489336</v>
      </c>
      <c r="H53" s="20" t="n">
        <v>1.77050072</v>
      </c>
      <c r="I53" s="18" t="s">
        <v>349</v>
      </c>
      <c r="J53" s="20" t="s">
        <v>349</v>
      </c>
      <c r="K53" s="18" t="n">
        <v>1.476468</v>
      </c>
      <c r="L53" s="20" t="n">
        <v>0.47656862</v>
      </c>
      <c r="M53" s="18" t="n">
        <v>0</v>
      </c>
      <c r="N53" s="20" t="n">
        <v>0</v>
      </c>
      <c r="O53" s="18" t="n">
        <v>0</v>
      </c>
      <c r="P53" s="20" t="n">
        <v>0</v>
      </c>
      <c r="Q53" s="18" t="n">
        <v>0.7296793499999999</v>
      </c>
      <c r="R53" s="20" t="n">
        <v>0.24480461</v>
      </c>
    </row>
    <row r="54" spans="1:18">
      <c r="A54" s="15" t="s">
        <v>396</v>
      </c>
      <c r="B54" s="17" t="n">
        <v>4740</v>
      </c>
      <c r="C54" s="18">
        <f>(3949.0/B54*100)</f>
        <v/>
      </c>
      <c r="D54" s="19" t="n">
        <v>791</v>
      </c>
      <c r="E54" s="18" t="n">
        <v>59.84456461</v>
      </c>
      <c r="F54" s="20" t="n">
        <v>1.68243976</v>
      </c>
      <c r="G54" s="18" t="n">
        <v>28.1352559</v>
      </c>
      <c r="H54" s="20" t="n">
        <v>1.3588844</v>
      </c>
      <c r="I54" s="18" t="s">
        <v>349</v>
      </c>
      <c r="J54" s="20" t="s">
        <v>349</v>
      </c>
      <c r="K54" s="18" t="n">
        <v>10.28619372</v>
      </c>
      <c r="L54" s="20" t="n">
        <v>1.26589416</v>
      </c>
      <c r="M54" s="18" t="n">
        <v>0</v>
      </c>
      <c r="N54" s="20" t="n">
        <v>0</v>
      </c>
      <c r="O54" s="18" t="n">
        <v>0</v>
      </c>
      <c r="P54" s="20" t="n">
        <v>0</v>
      </c>
      <c r="Q54" s="18" t="n">
        <v>1.73398577</v>
      </c>
      <c r="R54" s="20" t="n">
        <v>0.5848018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(4706.0/B56*100)</f>
        <v/>
      </c>
      <c r="D56" s="19" t="n">
        <v>653</v>
      </c>
      <c r="E56" s="18" t="n">
        <v>23.00555709</v>
      </c>
      <c r="F56" s="20" t="n">
        <v>1.68568683</v>
      </c>
      <c r="G56" s="18" t="n">
        <v>76.56787633</v>
      </c>
      <c r="H56" s="20" t="n">
        <v>1.69463814</v>
      </c>
      <c r="I56" s="18" t="s">
        <v>349</v>
      </c>
      <c r="J56" s="20" t="s">
        <v>349</v>
      </c>
      <c r="K56" s="18" t="n">
        <v>0.25378401</v>
      </c>
      <c r="L56" s="20" t="n">
        <v>0.18682656</v>
      </c>
      <c r="M56" s="18" t="n">
        <v>0</v>
      </c>
      <c r="N56" s="20" t="n">
        <v>0</v>
      </c>
      <c r="O56" s="18" t="n">
        <v>0</v>
      </c>
      <c r="P56" s="20" t="n">
        <v>0</v>
      </c>
      <c r="Q56" s="18" t="n">
        <v>0.17278258</v>
      </c>
      <c r="R56" s="20" t="n">
        <v>0.20832381</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(5730.0/B61*100)</f>
        <v/>
      </c>
      <c r="D61" s="19" t="n">
        <v>795</v>
      </c>
      <c r="E61" s="18" t="n">
        <v>38.12858265</v>
      </c>
      <c r="F61" s="20" t="n">
        <v>2.13004654</v>
      </c>
      <c r="G61" s="18" t="n">
        <v>61.18737407</v>
      </c>
      <c r="H61" s="20" t="n">
        <v>2.1156823</v>
      </c>
      <c r="I61" s="18" t="s">
        <v>349</v>
      </c>
      <c r="J61" s="20" t="s">
        <v>349</v>
      </c>
      <c r="K61" s="18" t="n">
        <v>0.34157482</v>
      </c>
      <c r="L61" s="20" t="n">
        <v>0.21647097</v>
      </c>
      <c r="M61" s="18" t="n">
        <v>0</v>
      </c>
      <c r="N61" s="20" t="n">
        <v>0</v>
      </c>
      <c r="O61" s="18" t="n">
        <v>0</v>
      </c>
      <c r="P61" s="20" t="n">
        <v>0</v>
      </c>
      <c r="Q61" s="18" t="n">
        <v>0.34246845</v>
      </c>
      <c r="R61" s="20" t="n">
        <v>0.18263172</v>
      </c>
    </row>
    <row r="62" spans="1:18">
      <c r="A62" s="15" t="s">
        <v>404</v>
      </c>
      <c r="B62" s="17" t="n">
        <v>4476</v>
      </c>
      <c r="C62" s="18">
        <f>(3932.0/B62*100)</f>
        <v/>
      </c>
      <c r="D62" s="19" t="n">
        <v>544</v>
      </c>
      <c r="E62" s="18" t="n">
        <v>31.30083481</v>
      </c>
      <c r="F62" s="20" t="n">
        <v>1.89433944</v>
      </c>
      <c r="G62" s="18" t="n">
        <v>68.69916519</v>
      </c>
      <c r="H62" s="20" t="n">
        <v>1.89433944</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(4976.0/B66*100)</f>
        <v/>
      </c>
      <c r="D66" s="19" t="n">
        <v>689</v>
      </c>
      <c r="E66" s="18" t="n">
        <v>53.90918723</v>
      </c>
      <c r="F66" s="20" t="n">
        <v>1.50454977</v>
      </c>
      <c r="G66" s="18" t="n">
        <v>42.72889445</v>
      </c>
      <c r="H66" s="20" t="n">
        <v>1.51618127</v>
      </c>
      <c r="I66" s="18" t="s">
        <v>349</v>
      </c>
      <c r="J66" s="20" t="s">
        <v>349</v>
      </c>
      <c r="K66" s="18" t="n">
        <v>2.27482295</v>
      </c>
      <c r="L66" s="20" t="n">
        <v>0.5547213</v>
      </c>
      <c r="M66" s="18" t="n">
        <v>0</v>
      </c>
      <c r="N66" s="20" t="n">
        <v>0</v>
      </c>
      <c r="O66" s="18" t="n">
        <v>0</v>
      </c>
      <c r="P66" s="20" t="n">
        <v>0</v>
      </c>
      <c r="Q66" s="18" t="n">
        <v>1.08709536</v>
      </c>
      <c r="R66" s="20" t="n">
        <v>0.39017948</v>
      </c>
    </row>
    <row r="67" spans="1:18">
      <c r="A67" s="15" t="s">
        <v>409</v>
      </c>
      <c r="B67" s="17" t="n">
        <v>6971</v>
      </c>
      <c r="C67" s="18">
        <f>(6202.0/B67*100)</f>
        <v/>
      </c>
      <c r="D67" s="19" t="n">
        <v>769</v>
      </c>
      <c r="E67" s="18" t="n">
        <v>59.35628007</v>
      </c>
      <c r="F67" s="20" t="n">
        <v>1.90775094</v>
      </c>
      <c r="G67" s="18" t="n">
        <v>38.87238511</v>
      </c>
      <c r="H67" s="20" t="n">
        <v>1.84900486</v>
      </c>
      <c r="I67" s="18" t="s">
        <v>349</v>
      </c>
      <c r="J67" s="20" t="s">
        <v>349</v>
      </c>
      <c r="K67" s="18" t="n">
        <v>0.80020134</v>
      </c>
      <c r="L67" s="20" t="n">
        <v>0.33032875</v>
      </c>
      <c r="M67" s="18" t="n">
        <v>0</v>
      </c>
      <c r="N67" s="20" t="n">
        <v>0</v>
      </c>
      <c r="O67" s="18" t="n">
        <v>0</v>
      </c>
      <c r="P67" s="20" t="n">
        <v>0</v>
      </c>
      <c r="Q67" s="18" t="n">
        <v>0.9711334700000001</v>
      </c>
      <c r="R67" s="20" t="n">
        <v>0.41671547</v>
      </c>
    </row>
    <row r="68" spans="1:18">
      <c r="A68" s="15" t="s">
        <v>410</v>
      </c>
      <c r="B68" s="17" t="n">
        <v>12083</v>
      </c>
      <c r="C68" s="18">
        <f>(10082.0/B68*100)</f>
        <v/>
      </c>
      <c r="D68" s="19" t="n">
        <v>2001</v>
      </c>
      <c r="E68" s="18" t="n">
        <v>53.0393386</v>
      </c>
      <c r="F68" s="20" t="n">
        <v>1.14334271</v>
      </c>
      <c r="G68" s="18" t="n">
        <v>43.39698209</v>
      </c>
      <c r="H68" s="20" t="n">
        <v>1.14324308</v>
      </c>
      <c r="I68" s="18" t="s">
        <v>349</v>
      </c>
      <c r="J68" s="20" t="s">
        <v>349</v>
      </c>
      <c r="K68" s="18" t="n">
        <v>2.39056248</v>
      </c>
      <c r="L68" s="20" t="n">
        <v>0.34091393</v>
      </c>
      <c r="M68" s="18" t="n">
        <v>0</v>
      </c>
      <c r="N68" s="20" t="n">
        <v>0</v>
      </c>
      <c r="O68" s="18" t="n">
        <v>0</v>
      </c>
      <c r="P68" s="20" t="n">
        <v>0</v>
      </c>
      <c r="Q68" s="18" t="n">
        <v>1.17311682</v>
      </c>
      <c r="R68" s="20" t="n">
        <v>0.22811993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(5329.0/B70*100)</f>
        <v/>
      </c>
      <c r="D70" s="19" t="n">
        <v>707</v>
      </c>
      <c r="E70" s="18" t="n">
        <v>34.05556505</v>
      </c>
      <c r="F70" s="20" t="n">
        <v>1.59331302</v>
      </c>
      <c r="G70" s="18" t="n">
        <v>64.74474711000001</v>
      </c>
      <c r="H70" s="20" t="n">
        <v>1.63523954</v>
      </c>
      <c r="I70" s="18" t="s">
        <v>349</v>
      </c>
      <c r="J70" s="20" t="s">
        <v>349</v>
      </c>
      <c r="K70" s="18" t="n">
        <v>0.62820904</v>
      </c>
      <c r="L70" s="20" t="n">
        <v>0.27182906</v>
      </c>
      <c r="M70" s="18" t="n">
        <v>0</v>
      </c>
      <c r="N70" s="20" t="n">
        <v>0</v>
      </c>
      <c r="O70" s="18" t="n">
        <v>0</v>
      </c>
      <c r="P70" s="20" t="n">
        <v>0</v>
      </c>
      <c r="Q70" s="18" t="n">
        <v>0.5714788</v>
      </c>
      <c r="R70" s="20" t="n">
        <v>0.24308725</v>
      </c>
    </row>
    <row r="71" spans="1:18">
      <c r="A71" s="15" t="s">
        <v>413</v>
      </c>
      <c r="B71" s="17" t="n">
        <v>6115</v>
      </c>
      <c r="C71" s="18">
        <f>(5349.0/B71*100)</f>
        <v/>
      </c>
      <c r="D71" s="19" t="n">
        <v>766</v>
      </c>
      <c r="E71" s="18" t="n">
        <v>14.87320318</v>
      </c>
      <c r="F71" s="20" t="n">
        <v>1.30528018</v>
      </c>
      <c r="G71" s="18" t="n">
        <v>84.63469895</v>
      </c>
      <c r="H71" s="20" t="n">
        <v>1.29130674</v>
      </c>
      <c r="I71" s="18" t="s">
        <v>349</v>
      </c>
      <c r="J71" s="20" t="s">
        <v>349</v>
      </c>
      <c r="K71" s="18" t="n">
        <v>0.34856549</v>
      </c>
      <c r="L71" s="20" t="n">
        <v>0.19951162</v>
      </c>
      <c r="M71" s="18" t="n">
        <v>0</v>
      </c>
      <c r="N71" s="20" t="n">
        <v>0</v>
      </c>
      <c r="O71" s="18" t="n">
        <v>0</v>
      </c>
      <c r="P71" s="20" t="n">
        <v>0</v>
      </c>
      <c r="Q71" s="18" t="n">
        <v>0.14353238</v>
      </c>
      <c r="R71" s="20" t="n">
        <v>0.14509736</v>
      </c>
    </row>
    <row r="72" spans="1:18">
      <c r="A72" s="15" t="s">
        <v>414</v>
      </c>
      <c r="B72" s="17" t="n">
        <v>7708</v>
      </c>
      <c r="C72" s="18">
        <f>(6749.0/B72*100)</f>
        <v/>
      </c>
      <c r="D72" s="19" t="n">
        <v>959</v>
      </c>
      <c r="E72" s="18" t="n">
        <v>35.68690415</v>
      </c>
      <c r="F72" s="20" t="n">
        <v>1.44604859</v>
      </c>
      <c r="G72" s="18" t="n">
        <v>64.00458454</v>
      </c>
      <c r="H72" s="20" t="n">
        <v>1.47200286</v>
      </c>
      <c r="I72" s="18" t="s">
        <v>349</v>
      </c>
      <c r="J72" s="20" t="s">
        <v>349</v>
      </c>
      <c r="K72" s="18" t="n">
        <v>0.30851131</v>
      </c>
      <c r="L72" s="20" t="n">
        <v>0.18681127</v>
      </c>
      <c r="M72" s="18" t="n">
        <v>0</v>
      </c>
      <c r="N72" s="20" t="n">
        <v>0</v>
      </c>
      <c r="O72" s="18" t="n">
        <v>0</v>
      </c>
      <c r="P72" s="20" t="n">
        <v>0</v>
      </c>
      <c r="Q72" s="18" t="n">
        <v>0</v>
      </c>
      <c r="R72" s="20" t="n">
        <v>0</v>
      </c>
    </row>
    <row r="73" spans="1:18">
      <c r="A73" s="15" t="s">
        <v>415</v>
      </c>
      <c r="B73" s="17" t="n">
        <v>8249</v>
      </c>
      <c r="C73" s="18">
        <f>(7274.0/B73*100)</f>
        <v/>
      </c>
      <c r="D73" s="19" t="n">
        <v>975</v>
      </c>
      <c r="E73" s="18" t="n">
        <v>61.74604307</v>
      </c>
      <c r="F73" s="20" t="n">
        <v>2.03612344</v>
      </c>
      <c r="G73" s="18" t="n">
        <v>37.23484118</v>
      </c>
      <c r="H73" s="20" t="n">
        <v>1.98752856</v>
      </c>
      <c r="I73" s="18" t="s">
        <v>349</v>
      </c>
      <c r="J73" s="20" t="s">
        <v>349</v>
      </c>
      <c r="K73" s="18" t="n">
        <v>0.26015682</v>
      </c>
      <c r="L73" s="20" t="n">
        <v>0.18721736</v>
      </c>
      <c r="M73" s="18" t="n">
        <v>0</v>
      </c>
      <c r="N73" s="20" t="n">
        <v>0</v>
      </c>
      <c r="O73" s="18" t="n">
        <v>0</v>
      </c>
      <c r="P73" s="20" t="n">
        <v>0</v>
      </c>
      <c r="Q73" s="18" t="n">
        <v>0.75895893</v>
      </c>
      <c r="R73" s="20" t="n">
        <v>0.3219588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(4750.0/B75*100)</f>
        <v/>
      </c>
      <c r="D75" s="19" t="n">
        <v>625</v>
      </c>
      <c r="E75" s="18" t="n">
        <v>57.37243515</v>
      </c>
      <c r="F75" s="20" t="n">
        <v>1.93084113</v>
      </c>
      <c r="G75" s="18" t="n">
        <v>37.73708232</v>
      </c>
      <c r="H75" s="20" t="n">
        <v>1.87028326</v>
      </c>
      <c r="I75" s="18" t="s">
        <v>349</v>
      </c>
      <c r="J75" s="20" t="s">
        <v>349</v>
      </c>
      <c r="K75" s="18" t="n">
        <v>3.72723735</v>
      </c>
      <c r="L75" s="20" t="n">
        <v>0.79270387</v>
      </c>
      <c r="M75" s="18" t="n">
        <v>0</v>
      </c>
      <c r="N75" s="20" t="n">
        <v>0</v>
      </c>
      <c r="O75" s="18" t="n">
        <v>0</v>
      </c>
      <c r="P75" s="20" t="n">
        <v>0</v>
      </c>
      <c r="Q75" s="18" t="n">
        <v>1.16324519</v>
      </c>
      <c r="R75" s="20" t="n">
        <v>0.42370738</v>
      </c>
    </row>
    <row r="76" spans="1:18">
      <c r="A76" s="15" t="s">
        <v>418</v>
      </c>
      <c r="B76" s="17" t="n">
        <v>14167</v>
      </c>
      <c r="C76" s="18">
        <f>(12433.0/B76*100)</f>
        <v/>
      </c>
      <c r="D76" s="19" t="n">
        <v>1734</v>
      </c>
      <c r="E76" s="18" t="n">
        <v>46.60655009</v>
      </c>
      <c r="F76" s="20" t="n">
        <v>1.54711638</v>
      </c>
      <c r="G76" s="18" t="n">
        <v>51.51066936</v>
      </c>
      <c r="H76" s="20" t="n">
        <v>1.56622624</v>
      </c>
      <c r="I76" s="18" t="s">
        <v>349</v>
      </c>
      <c r="J76" s="20" t="s">
        <v>349</v>
      </c>
      <c r="K76" s="18" t="n">
        <v>1.19257176</v>
      </c>
      <c r="L76" s="20" t="n">
        <v>0.30412553</v>
      </c>
      <c r="M76" s="18" t="n">
        <v>0</v>
      </c>
      <c r="N76" s="20" t="n">
        <v>0</v>
      </c>
      <c r="O76" s="18" t="n">
        <v>0</v>
      </c>
      <c r="P76" s="20" t="n">
        <v>0</v>
      </c>
      <c r="Q76" s="18" t="n">
        <v>0.69020879</v>
      </c>
      <c r="R76" s="20" t="n">
        <v>0.25226241</v>
      </c>
    </row>
    <row r="77" spans="1:18">
      <c r="A77" s="15" t="s">
        <v>419</v>
      </c>
      <c r="B77" s="17" t="n">
        <v>6062</v>
      </c>
      <c r="C77" s="18">
        <f>(5331.0/B77*100)</f>
        <v/>
      </c>
      <c r="D77" s="19" t="n">
        <v>731</v>
      </c>
      <c r="E77" s="18" t="n">
        <v>52.66426066</v>
      </c>
      <c r="F77" s="20" t="n">
        <v>2.05373576</v>
      </c>
      <c r="G77" s="18" t="n">
        <v>44.62384454</v>
      </c>
      <c r="H77" s="20" t="n">
        <v>1.9764951</v>
      </c>
      <c r="I77" s="18" t="s">
        <v>349</v>
      </c>
      <c r="J77" s="20" t="s">
        <v>349</v>
      </c>
      <c r="K77" s="18" t="n">
        <v>2.22222489</v>
      </c>
      <c r="L77" s="20" t="n">
        <v>0.59833262</v>
      </c>
      <c r="M77" s="18" t="n">
        <v>0</v>
      </c>
      <c r="N77" s="20" t="n">
        <v>0</v>
      </c>
      <c r="O77" s="18" t="n">
        <v>0</v>
      </c>
      <c r="P77" s="20" t="n">
        <v>0</v>
      </c>
      <c r="Q77" s="18" t="n">
        <v>0.48966991</v>
      </c>
      <c r="R77" s="20" t="n">
        <v>0.19031718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(7775.0/B81*100)</f>
        <v/>
      </c>
      <c r="D81" s="19" t="n">
        <v>1086</v>
      </c>
      <c r="E81" s="18" t="n">
        <v>44.67826818</v>
      </c>
      <c r="F81" s="20" t="n">
        <v>2.13419109</v>
      </c>
      <c r="G81" s="18" t="n">
        <v>54.89629641</v>
      </c>
      <c r="H81" s="20" t="n">
        <v>2.14371716</v>
      </c>
      <c r="I81" s="18" t="s">
        <v>349</v>
      </c>
      <c r="J81" s="20" t="s">
        <v>349</v>
      </c>
      <c r="K81" s="18" t="n">
        <v>0.42543541</v>
      </c>
      <c r="L81" s="20" t="n">
        <v>0.22094687</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492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(12806.0/B7*100)</f>
        <v/>
      </c>
      <c r="D7" s="19" t="n">
        <v>1724</v>
      </c>
      <c r="E7" s="18" t="n">
        <v>37.18980026</v>
      </c>
      <c r="F7" s="20" t="n">
        <v>1.51045306</v>
      </c>
      <c r="G7" s="18" t="n">
        <v>6.54035741</v>
      </c>
      <c r="H7" s="20" t="n">
        <v>0.73438061</v>
      </c>
      <c r="I7" s="18" t="n">
        <v>40.17744217</v>
      </c>
      <c r="J7" s="20" t="n">
        <v>1.24375349</v>
      </c>
      <c r="K7" s="18" t="s">
        <v>349</v>
      </c>
      <c r="L7" s="20" t="s">
        <v>349</v>
      </c>
      <c r="M7" s="18" t="n">
        <v>3.5325241</v>
      </c>
      <c r="N7" s="20" t="n">
        <v>0.48183312</v>
      </c>
      <c r="O7" s="18" t="n">
        <v>0.00757712</v>
      </c>
      <c r="P7" s="20" t="n">
        <v>0.00760557</v>
      </c>
      <c r="Q7" s="18" t="n">
        <v>0</v>
      </c>
      <c r="R7" s="20" t="n">
        <v>0</v>
      </c>
      <c r="S7" s="18" t="n">
        <v>12.55229895</v>
      </c>
      <c r="T7" s="20" t="n">
        <v>1.01339823</v>
      </c>
    </row>
    <row r="8" spans="1:20">
      <c r="A8" s="15" t="s">
        <v>350</v>
      </c>
      <c r="B8" s="17" t="n">
        <v>7007</v>
      </c>
      <c r="C8" s="18">
        <f>(6121.0/B8*100)</f>
        <v/>
      </c>
      <c r="D8" s="19" t="n">
        <v>886</v>
      </c>
      <c r="E8" s="18" t="n">
        <v>23.91204217</v>
      </c>
      <c r="F8" s="20" t="n">
        <v>1.7157986</v>
      </c>
      <c r="G8" s="18" t="n">
        <v>19.70679099</v>
      </c>
      <c r="H8" s="20" t="n">
        <v>1.2736028</v>
      </c>
      <c r="I8" s="18" t="n">
        <v>34.00760464</v>
      </c>
      <c r="J8" s="20" t="n">
        <v>1.60179021</v>
      </c>
      <c r="K8" s="18" t="s">
        <v>349</v>
      </c>
      <c r="L8" s="20" t="s">
        <v>349</v>
      </c>
      <c r="M8" s="18" t="n">
        <v>4.0272238</v>
      </c>
      <c r="N8" s="20" t="n">
        <v>0.61085714</v>
      </c>
      <c r="O8" s="18" t="n">
        <v>0</v>
      </c>
      <c r="P8" s="20" t="n">
        <v>0</v>
      </c>
      <c r="Q8" s="18" t="n">
        <v>0</v>
      </c>
      <c r="R8" s="20" t="n">
        <v>0</v>
      </c>
      <c r="S8" s="18" t="n">
        <v>18.34633839</v>
      </c>
      <c r="T8" s="20" t="n">
        <v>1.32708878</v>
      </c>
    </row>
    <row r="9" spans="1:20">
      <c r="A9" s="15" t="s">
        <v>351</v>
      </c>
      <c r="B9" s="17" t="n">
        <v>9651</v>
      </c>
      <c r="C9" s="18">
        <f>(8523.0/B9*100)</f>
        <v/>
      </c>
      <c r="D9" s="19" t="n">
        <v>1128</v>
      </c>
      <c r="E9" s="18" t="n">
        <v>23.96435951</v>
      </c>
      <c r="F9" s="20" t="n">
        <v>1.23621966</v>
      </c>
      <c r="G9" s="18" t="n">
        <v>12.82969803</v>
      </c>
      <c r="H9" s="20" t="n">
        <v>1.10479145</v>
      </c>
      <c r="I9" s="18" t="n">
        <v>47.10534126</v>
      </c>
      <c r="J9" s="20" t="n">
        <v>1.55816296</v>
      </c>
      <c r="K9" s="18" t="s">
        <v>349</v>
      </c>
      <c r="L9" s="20" t="s">
        <v>349</v>
      </c>
      <c r="M9" s="18" t="n">
        <v>3.11090761</v>
      </c>
      <c r="N9" s="20" t="n">
        <v>0.53064153</v>
      </c>
      <c r="O9" s="18" t="n">
        <v>0.0676877</v>
      </c>
      <c r="P9" s="20" t="n">
        <v>0.06827274</v>
      </c>
      <c r="Q9" s="18" t="n">
        <v>0</v>
      </c>
      <c r="R9" s="20" t="n">
        <v>0</v>
      </c>
      <c r="S9" s="18" t="n">
        <v>12.9220059</v>
      </c>
      <c r="T9" s="20" t="n">
        <v>0.99511744</v>
      </c>
    </row>
    <row r="10" spans="1:20">
      <c r="A10" s="15" t="s">
        <v>352</v>
      </c>
      <c r="B10" s="17" t="n">
        <v>20058</v>
      </c>
      <c r="C10" s="18">
        <f>(17600.0/B10*100)</f>
        <v/>
      </c>
      <c r="D10" s="19" t="n">
        <v>2458</v>
      </c>
      <c r="E10" s="18" t="n">
        <v>30.52645672</v>
      </c>
      <c r="F10" s="20" t="n">
        <v>1.4858585</v>
      </c>
      <c r="G10" s="18" t="n">
        <v>7.87776792</v>
      </c>
      <c r="H10" s="20" t="n">
        <v>0.80064734</v>
      </c>
      <c r="I10" s="18" t="n">
        <v>52.4806032</v>
      </c>
      <c r="J10" s="20" t="n">
        <v>1.67658145</v>
      </c>
      <c r="K10" s="18" t="s">
        <v>349</v>
      </c>
      <c r="L10" s="20" t="s">
        <v>349</v>
      </c>
      <c r="M10" s="18" t="n">
        <v>2.34459544</v>
      </c>
      <c r="N10" s="20" t="n">
        <v>0.45644869</v>
      </c>
      <c r="O10" s="18" t="n">
        <v>0.05065621</v>
      </c>
      <c r="P10" s="20" t="n">
        <v>0.0240461</v>
      </c>
      <c r="Q10" s="18" t="n">
        <v>0</v>
      </c>
      <c r="R10" s="20" t="n">
        <v>0</v>
      </c>
      <c r="S10" s="18" t="n">
        <v>6.71992051</v>
      </c>
      <c r="T10" s="20" t="n">
        <v>0.78412073</v>
      </c>
    </row>
    <row r="11" spans="1:20">
      <c r="A11" s="15" t="s">
        <v>353</v>
      </c>
      <c r="B11" s="17" t="n">
        <v>7053</v>
      </c>
      <c r="C11" s="18">
        <f>(6197.0/B11*100)</f>
        <v/>
      </c>
      <c r="D11" s="19" t="n">
        <v>856</v>
      </c>
      <c r="E11" s="18" t="n">
        <v>36.72800632</v>
      </c>
      <c r="F11" s="20" t="n">
        <v>1.97135995</v>
      </c>
      <c r="G11" s="18" t="n">
        <v>12.77872346</v>
      </c>
      <c r="H11" s="20" t="n">
        <v>1.32056821</v>
      </c>
      <c r="I11" s="18" t="n">
        <v>13.95072646</v>
      </c>
      <c r="J11" s="20" t="n">
        <v>1.3362969</v>
      </c>
      <c r="K11" s="18" t="s">
        <v>349</v>
      </c>
      <c r="L11" s="20" t="s">
        <v>349</v>
      </c>
      <c r="M11" s="18" t="n">
        <v>10.1500066</v>
      </c>
      <c r="N11" s="20" t="n">
        <v>1.30837531</v>
      </c>
      <c r="O11" s="18" t="n">
        <v>0</v>
      </c>
      <c r="P11" s="20" t="n">
        <v>0</v>
      </c>
      <c r="Q11" s="18" t="n">
        <v>0</v>
      </c>
      <c r="R11" s="20" t="n">
        <v>0</v>
      </c>
      <c r="S11" s="18" t="n">
        <v>26.39253716</v>
      </c>
      <c r="T11" s="20" t="n">
        <v>1.93119725</v>
      </c>
    </row>
    <row r="12" spans="1:20">
      <c r="A12" s="15" t="s">
        <v>354</v>
      </c>
      <c r="B12" s="17" t="n">
        <v>6894</v>
      </c>
      <c r="C12" s="18">
        <f>(6060.0/B12*100)</f>
        <v/>
      </c>
      <c r="D12" s="19" t="n">
        <v>834</v>
      </c>
      <c r="E12" s="18" t="n">
        <v>21.87338724</v>
      </c>
      <c r="F12" s="20" t="n">
        <v>1.56746739</v>
      </c>
      <c r="G12" s="18" t="n">
        <v>10.16249166</v>
      </c>
      <c r="H12" s="20" t="n">
        <v>1.35322495</v>
      </c>
      <c r="I12" s="18" t="n">
        <v>37.04470685</v>
      </c>
      <c r="J12" s="20" t="n">
        <v>1.96312044</v>
      </c>
      <c r="K12" s="18" t="s">
        <v>349</v>
      </c>
      <c r="L12" s="20" t="s">
        <v>349</v>
      </c>
      <c r="M12" s="18" t="n">
        <v>5.06632272</v>
      </c>
      <c r="N12" s="20" t="n">
        <v>0.9670793600000001</v>
      </c>
      <c r="O12" s="18" t="n">
        <v>0.09749557</v>
      </c>
      <c r="P12" s="20" t="n">
        <v>0.09909924000000001</v>
      </c>
      <c r="Q12" s="18" t="n">
        <v>0</v>
      </c>
      <c r="R12" s="20" t="n">
        <v>0</v>
      </c>
      <c r="S12" s="18" t="n">
        <v>25.75559595</v>
      </c>
      <c r="T12" s="20" t="n">
        <v>1.8282316</v>
      </c>
    </row>
    <row r="13" spans="1:20">
      <c r="A13" s="15" t="s">
        <v>355</v>
      </c>
      <c r="B13" s="17" t="n">
        <v>7161</v>
      </c>
      <c r="C13" s="18">
        <f>(6332.0/B13*100)</f>
        <v/>
      </c>
      <c r="D13" s="19" t="n">
        <v>829</v>
      </c>
      <c r="E13" s="18" t="n">
        <v>33.98245804</v>
      </c>
      <c r="F13" s="20" t="n">
        <v>1.90779021</v>
      </c>
      <c r="G13" s="18" t="n">
        <v>8.634152670000001</v>
      </c>
      <c r="H13" s="20" t="n">
        <v>1.14087322</v>
      </c>
      <c r="I13" s="18" t="n">
        <v>42.83097997</v>
      </c>
      <c r="J13" s="20" t="n">
        <v>1.97918551</v>
      </c>
      <c r="K13" s="18" t="s">
        <v>349</v>
      </c>
      <c r="L13" s="20" t="s">
        <v>349</v>
      </c>
      <c r="M13" s="18" t="n">
        <v>2.8946098</v>
      </c>
      <c r="N13" s="20" t="n">
        <v>0.76860706</v>
      </c>
      <c r="O13" s="18" t="n">
        <v>0.11127384</v>
      </c>
      <c r="P13" s="20" t="n">
        <v>0.11281527</v>
      </c>
      <c r="Q13" s="18" t="n">
        <v>0</v>
      </c>
      <c r="R13" s="20" t="n">
        <v>0</v>
      </c>
      <c r="S13" s="18" t="n">
        <v>11.54652569</v>
      </c>
      <c r="T13" s="20" t="n">
        <v>1.26815374</v>
      </c>
    </row>
    <row r="14" spans="1:20">
      <c r="A14" s="15" t="s">
        <v>356</v>
      </c>
      <c r="B14" s="17" t="n">
        <v>5587</v>
      </c>
      <c r="C14" s="18">
        <f>(4915.0/B14*100)</f>
        <v/>
      </c>
      <c r="D14" s="19" t="n">
        <v>672</v>
      </c>
      <c r="E14" s="18" t="n">
        <v>27.75798969</v>
      </c>
      <c r="F14" s="20" t="n">
        <v>1.86722096</v>
      </c>
      <c r="G14" s="18" t="n">
        <v>18.14182178</v>
      </c>
      <c r="H14" s="20" t="n">
        <v>1.63282037</v>
      </c>
      <c r="I14" s="18" t="n">
        <v>40.7427866</v>
      </c>
      <c r="J14" s="20" t="n">
        <v>2.04793549</v>
      </c>
      <c r="K14" s="18" t="s">
        <v>349</v>
      </c>
      <c r="L14" s="20" t="s">
        <v>349</v>
      </c>
      <c r="M14" s="18" t="n">
        <v>3.04078875</v>
      </c>
      <c r="N14" s="20" t="n">
        <v>0.70898592</v>
      </c>
      <c r="O14" s="18" t="n">
        <v>0</v>
      </c>
      <c r="P14" s="20" t="n">
        <v>0</v>
      </c>
      <c r="Q14" s="18" t="n">
        <v>0</v>
      </c>
      <c r="R14" s="20" t="n">
        <v>0</v>
      </c>
      <c r="S14" s="18" t="n">
        <v>10.31661318</v>
      </c>
      <c r="T14" s="20" t="n">
        <v>1.19852235</v>
      </c>
    </row>
    <row r="15" spans="1:20">
      <c r="A15" s="15" t="s">
        <v>357</v>
      </c>
      <c r="B15" s="17" t="n">
        <v>5882</v>
      </c>
      <c r="C15" s="18">
        <f>(5182.0/B15*100)</f>
        <v/>
      </c>
      <c r="D15" s="19" t="n">
        <v>700</v>
      </c>
      <c r="E15" s="18" t="n">
        <v>38.63266098</v>
      </c>
      <c r="F15" s="20" t="n">
        <v>1.7056655</v>
      </c>
      <c r="G15" s="18" t="n">
        <v>11.98043622</v>
      </c>
      <c r="H15" s="20" t="n">
        <v>1.32539314</v>
      </c>
      <c r="I15" s="18" t="n">
        <v>32.94725814</v>
      </c>
      <c r="J15" s="20" t="n">
        <v>1.85355733</v>
      </c>
      <c r="K15" s="18" t="s">
        <v>349</v>
      </c>
      <c r="L15" s="20" t="s">
        <v>349</v>
      </c>
      <c r="M15" s="18" t="n">
        <v>4.97293583</v>
      </c>
      <c r="N15" s="20" t="n">
        <v>0.8834995</v>
      </c>
      <c r="O15" s="18" t="n">
        <v>0</v>
      </c>
      <c r="P15" s="20" t="n">
        <v>0</v>
      </c>
      <c r="Q15" s="18" t="n">
        <v>0</v>
      </c>
      <c r="R15" s="20" t="n">
        <v>0</v>
      </c>
      <c r="S15" s="18" t="n">
        <v>11.46670882</v>
      </c>
      <c r="T15" s="20" t="n">
        <v>1.19966886</v>
      </c>
    </row>
    <row r="16" spans="1:20">
      <c r="A16" s="15" t="s">
        <v>358</v>
      </c>
      <c r="B16" s="17" t="n">
        <v>6108</v>
      </c>
      <c r="C16" s="18">
        <f>(5366.0/B16*100)</f>
        <v/>
      </c>
      <c r="D16" s="19" t="n">
        <v>742</v>
      </c>
      <c r="E16" s="18" t="n">
        <v>23.81548885</v>
      </c>
      <c r="F16" s="20" t="n">
        <v>1.6638122</v>
      </c>
      <c r="G16" s="18" t="n">
        <v>9.50153143</v>
      </c>
      <c r="H16" s="20" t="n">
        <v>1.01341638</v>
      </c>
      <c r="I16" s="18" t="n">
        <v>41.96213018</v>
      </c>
      <c r="J16" s="20" t="n">
        <v>1.77584454</v>
      </c>
      <c r="K16" s="18" t="s">
        <v>349</v>
      </c>
      <c r="L16" s="20" t="s">
        <v>349</v>
      </c>
      <c r="M16" s="18" t="n">
        <v>7.20775889</v>
      </c>
      <c r="N16" s="20" t="n">
        <v>0.93544128</v>
      </c>
      <c r="O16" s="18" t="n">
        <v>0</v>
      </c>
      <c r="P16" s="20" t="n">
        <v>0</v>
      </c>
      <c r="Q16" s="18" t="n">
        <v>0</v>
      </c>
      <c r="R16" s="20" t="n">
        <v>0</v>
      </c>
      <c r="S16" s="18" t="n">
        <v>17.51309066</v>
      </c>
      <c r="T16" s="20" t="n">
        <v>1.32089808</v>
      </c>
    </row>
    <row r="17" spans="1:20">
      <c r="A17" s="15" t="s">
        <v>359</v>
      </c>
      <c r="B17" s="17" t="n">
        <v>6504</v>
      </c>
      <c r="C17" s="18">
        <f>(5727.0/B17*100)</f>
        <v/>
      </c>
      <c r="D17" s="19" t="n">
        <v>777</v>
      </c>
      <c r="E17" s="18" t="n">
        <v>22.31396391</v>
      </c>
      <c r="F17" s="20" t="n">
        <v>1.8774319</v>
      </c>
      <c r="G17" s="18" t="n">
        <v>13.74961327</v>
      </c>
      <c r="H17" s="20" t="n">
        <v>1.31218719</v>
      </c>
      <c r="I17" s="18" t="n">
        <v>38.83762867</v>
      </c>
      <c r="J17" s="20" t="n">
        <v>2.04615496</v>
      </c>
      <c r="K17" s="18" t="s">
        <v>349</v>
      </c>
      <c r="L17" s="20" t="s">
        <v>349</v>
      </c>
      <c r="M17" s="18" t="n">
        <v>4.20976688</v>
      </c>
      <c r="N17" s="20" t="n">
        <v>0.96398566</v>
      </c>
      <c r="O17" s="18" t="n">
        <v>0</v>
      </c>
      <c r="P17" s="20" t="n">
        <v>0</v>
      </c>
      <c r="Q17" s="18" t="n">
        <v>0</v>
      </c>
      <c r="R17" s="20" t="n">
        <v>0</v>
      </c>
      <c r="S17" s="18" t="n">
        <v>20.88902727</v>
      </c>
      <c r="T17" s="20" t="n">
        <v>1.709826</v>
      </c>
    </row>
    <row r="18" spans="1:20">
      <c r="A18" s="15" t="s">
        <v>360</v>
      </c>
      <c r="B18" s="17" t="n">
        <v>5532</v>
      </c>
      <c r="C18" s="18">
        <f>(4863.0/B18*100)</f>
        <v/>
      </c>
      <c r="D18" s="19" t="n">
        <v>669</v>
      </c>
      <c r="E18" s="18" t="n">
        <v>34.24558278</v>
      </c>
      <c r="F18" s="20" t="n">
        <v>1.94417005</v>
      </c>
      <c r="G18" s="18" t="n">
        <v>9.46179236</v>
      </c>
      <c r="H18" s="20" t="n">
        <v>1.11395654</v>
      </c>
      <c r="I18" s="18" t="n">
        <v>27.44205408</v>
      </c>
      <c r="J18" s="20" t="n">
        <v>2.12064115</v>
      </c>
      <c r="K18" s="18" t="s">
        <v>349</v>
      </c>
      <c r="L18" s="20" t="s">
        <v>349</v>
      </c>
      <c r="M18" s="18" t="n">
        <v>4.78368316</v>
      </c>
      <c r="N18" s="20" t="n">
        <v>1.20266667</v>
      </c>
      <c r="O18" s="18" t="n">
        <v>0</v>
      </c>
      <c r="P18" s="20" t="n">
        <v>0</v>
      </c>
      <c r="Q18" s="18" t="n">
        <v>0</v>
      </c>
      <c r="R18" s="20" t="n">
        <v>0</v>
      </c>
      <c r="S18" s="18" t="n">
        <v>24.06688762</v>
      </c>
      <c r="T18" s="20" t="n">
        <v>1.83501935</v>
      </c>
    </row>
    <row r="19" spans="1:20">
      <c r="A19" s="15" t="s">
        <v>361</v>
      </c>
      <c r="B19" s="17" t="n">
        <v>5658</v>
      </c>
      <c r="C19" s="18">
        <f>(4973.0/B19*100)</f>
        <v/>
      </c>
      <c r="D19" s="19" t="n">
        <v>685</v>
      </c>
      <c r="E19" s="18" t="n">
        <v>30.86799138</v>
      </c>
      <c r="F19" s="20" t="n">
        <v>2.05990456</v>
      </c>
      <c r="G19" s="18" t="n">
        <v>6.18298191</v>
      </c>
      <c r="H19" s="20" t="n">
        <v>0.9840946699999999</v>
      </c>
      <c r="I19" s="18" t="n">
        <v>38.04337639</v>
      </c>
      <c r="J19" s="20" t="n">
        <v>1.67664986</v>
      </c>
      <c r="K19" s="18" t="s">
        <v>349</v>
      </c>
      <c r="L19" s="20" t="s">
        <v>349</v>
      </c>
      <c r="M19" s="18" t="n">
        <v>5.26236691</v>
      </c>
      <c r="N19" s="20" t="n">
        <v>0.93075871</v>
      </c>
      <c r="O19" s="18" t="n">
        <v>0</v>
      </c>
      <c r="P19" s="20" t="n">
        <v>0</v>
      </c>
      <c r="Q19" s="18" t="n">
        <v>0</v>
      </c>
      <c r="R19" s="20" t="n">
        <v>0</v>
      </c>
      <c r="S19" s="18" t="n">
        <v>19.64328341</v>
      </c>
      <c r="T19" s="20" t="n">
        <v>1.55170573</v>
      </c>
    </row>
    <row r="20" spans="1:20">
      <c r="A20" s="15" t="s">
        <v>362</v>
      </c>
      <c r="B20" s="17" t="n">
        <v>3371</v>
      </c>
      <c r="C20" s="18">
        <f>(2957.0/B20*100)</f>
        <v/>
      </c>
      <c r="D20" s="19" t="n">
        <v>414</v>
      </c>
      <c r="E20" s="18" t="n">
        <v>40.48593925</v>
      </c>
      <c r="F20" s="20" t="n">
        <v>2.58517366</v>
      </c>
      <c r="G20" s="18" t="n">
        <v>5.06568579</v>
      </c>
      <c r="H20" s="20" t="n">
        <v>1.02573855</v>
      </c>
      <c r="I20" s="18" t="n">
        <v>33.46452878</v>
      </c>
      <c r="J20" s="20" t="n">
        <v>2.49737818</v>
      </c>
      <c r="K20" s="18" t="s">
        <v>349</v>
      </c>
      <c r="L20" s="20" t="s">
        <v>349</v>
      </c>
      <c r="M20" s="18" t="n">
        <v>3.21598962</v>
      </c>
      <c r="N20" s="20" t="n">
        <v>0.8626575399999999</v>
      </c>
      <c r="O20" s="18" t="n">
        <v>0.37258243</v>
      </c>
      <c r="P20" s="20" t="n">
        <v>0.27224059</v>
      </c>
      <c r="Q20" s="18" t="n">
        <v>0</v>
      </c>
      <c r="R20" s="20" t="n">
        <v>0</v>
      </c>
      <c r="S20" s="18" t="n">
        <v>17.39527414</v>
      </c>
      <c r="T20" s="20" t="n">
        <v>1.86905159</v>
      </c>
    </row>
    <row r="21" spans="1:20">
      <c r="A21" s="15" t="s">
        <v>363</v>
      </c>
      <c r="B21" s="17" t="n">
        <v>5741</v>
      </c>
      <c r="C21" s="18">
        <f>(4760.0/B21*100)</f>
        <v/>
      </c>
      <c r="D21" s="19" t="n">
        <v>981</v>
      </c>
      <c r="E21" s="18" t="n">
        <v>32.42326558</v>
      </c>
      <c r="F21" s="20" t="n">
        <v>1.59351811</v>
      </c>
      <c r="G21" s="18" t="n">
        <v>9.22891869</v>
      </c>
      <c r="H21" s="20" t="n">
        <v>0.86283135</v>
      </c>
      <c r="I21" s="18" t="n">
        <v>43.40746841</v>
      </c>
      <c r="J21" s="20" t="n">
        <v>1.5411287</v>
      </c>
      <c r="K21" s="18" t="s">
        <v>349</v>
      </c>
      <c r="L21" s="20" t="s">
        <v>349</v>
      </c>
      <c r="M21" s="18" t="n">
        <v>2.75885072</v>
      </c>
      <c r="N21" s="20" t="n">
        <v>0.45798911</v>
      </c>
      <c r="O21" s="18" t="n">
        <v>0.12286839</v>
      </c>
      <c r="P21" s="20" t="n">
        <v>0.12321135</v>
      </c>
      <c r="Q21" s="18" t="n">
        <v>0</v>
      </c>
      <c r="R21" s="20" t="n">
        <v>0</v>
      </c>
      <c r="S21" s="18" t="n">
        <v>12.05862821</v>
      </c>
      <c r="T21" s="20" t="n">
        <v>1.23510877</v>
      </c>
    </row>
    <row r="22" spans="1:20">
      <c r="A22" s="15" t="s">
        <v>364</v>
      </c>
      <c r="B22" s="17" t="n">
        <v>6598</v>
      </c>
      <c r="C22" s="18">
        <f>(5754.0/B22*100)</f>
        <v/>
      </c>
      <c r="D22" s="19" t="n">
        <v>844</v>
      </c>
      <c r="E22" s="18" t="n">
        <v>31.30418959</v>
      </c>
      <c r="F22" s="20" t="n">
        <v>1.94425987</v>
      </c>
      <c r="G22" s="18" t="n">
        <v>9.287716659999999</v>
      </c>
      <c r="H22" s="20" t="n">
        <v>1.26699983</v>
      </c>
      <c r="I22" s="18" t="n">
        <v>34.32053747</v>
      </c>
      <c r="J22" s="20" t="n">
        <v>1.81663796</v>
      </c>
      <c r="K22" s="18" t="s">
        <v>349</v>
      </c>
      <c r="L22" s="20" t="s">
        <v>349</v>
      </c>
      <c r="M22" s="18" t="n">
        <v>6.6466003</v>
      </c>
      <c r="N22" s="20" t="n">
        <v>1.11878979</v>
      </c>
      <c r="O22" s="18" t="n">
        <v>0</v>
      </c>
      <c r="P22" s="20" t="n">
        <v>0</v>
      </c>
      <c r="Q22" s="18" t="n">
        <v>0</v>
      </c>
      <c r="R22" s="20" t="n">
        <v>0</v>
      </c>
      <c r="S22" s="18" t="n">
        <v>18.44095598</v>
      </c>
      <c r="T22" s="20" t="n">
        <v>1.67153241</v>
      </c>
    </row>
    <row r="23" spans="1:20">
      <c r="A23" s="15" t="s">
        <v>365</v>
      </c>
      <c r="B23" s="17" t="n">
        <v>11583</v>
      </c>
      <c r="C23" s="18">
        <f>(10181.0/B23*100)</f>
        <v/>
      </c>
      <c r="D23" s="19" t="n">
        <v>1402</v>
      </c>
      <c r="E23" s="18" t="n">
        <v>28.63749603</v>
      </c>
      <c r="F23" s="20" t="n">
        <v>1.86180268</v>
      </c>
      <c r="G23" s="18" t="n">
        <v>16.72008398</v>
      </c>
      <c r="H23" s="20" t="n">
        <v>1.3748931</v>
      </c>
      <c r="I23" s="18" t="n">
        <v>27.1414966</v>
      </c>
      <c r="J23" s="20" t="n">
        <v>1.62343982</v>
      </c>
      <c r="K23" s="18" t="s">
        <v>349</v>
      </c>
      <c r="L23" s="20" t="s">
        <v>349</v>
      </c>
      <c r="M23" s="18" t="n">
        <v>6.22915276</v>
      </c>
      <c r="N23" s="20" t="n">
        <v>0.76628089</v>
      </c>
      <c r="O23" s="18" t="n">
        <v>0.17329051</v>
      </c>
      <c r="P23" s="20" t="n">
        <v>0.18581517</v>
      </c>
      <c r="Q23" s="18" t="n">
        <v>0</v>
      </c>
      <c r="R23" s="20" t="n">
        <v>0</v>
      </c>
      <c r="S23" s="18" t="n">
        <v>21.09848011</v>
      </c>
      <c r="T23" s="20" t="n">
        <v>1.40689353</v>
      </c>
    </row>
    <row r="24" spans="1:20">
      <c r="A24" s="15" t="s">
        <v>366</v>
      </c>
      <c r="B24" s="17" t="n">
        <v>6647</v>
      </c>
      <c r="C24" s="18">
        <f>(5854.0/B24*100)</f>
        <v/>
      </c>
      <c r="D24" s="19" t="n">
        <v>793</v>
      </c>
      <c r="E24" s="18" t="n">
        <v>27.97038339</v>
      </c>
      <c r="F24" s="20" t="n">
        <v>1.79253304</v>
      </c>
      <c r="G24" s="18" t="n">
        <v>17.60179219</v>
      </c>
      <c r="H24" s="20" t="n">
        <v>1.50269677</v>
      </c>
      <c r="I24" s="18" t="n">
        <v>35.67591118</v>
      </c>
      <c r="J24" s="20" t="n">
        <v>1.80024636</v>
      </c>
      <c r="K24" s="18" t="s">
        <v>349</v>
      </c>
      <c r="L24" s="20" t="s">
        <v>349</v>
      </c>
      <c r="M24" s="18" t="n">
        <v>3.70282537</v>
      </c>
      <c r="N24" s="20" t="n">
        <v>0.77658783</v>
      </c>
      <c r="O24" s="18" t="n">
        <v>0</v>
      </c>
      <c r="P24" s="20" t="n">
        <v>0</v>
      </c>
      <c r="Q24" s="18" t="n">
        <v>0</v>
      </c>
      <c r="R24" s="20" t="n">
        <v>0</v>
      </c>
      <c r="S24" s="18" t="n">
        <v>15.04908788</v>
      </c>
      <c r="T24" s="20" t="n">
        <v>1.37668876</v>
      </c>
    </row>
    <row r="25" spans="1:20">
      <c r="A25" s="15" t="s">
        <v>367</v>
      </c>
      <c r="B25" s="17" t="n">
        <v>5581</v>
      </c>
      <c r="C25" s="18">
        <f>(4896.0/B25*100)</f>
        <v/>
      </c>
      <c r="D25" s="19" t="n">
        <v>685</v>
      </c>
      <c r="E25" s="18" t="n">
        <v>22.35640296</v>
      </c>
      <c r="F25" s="20" t="n">
        <v>1.75797615</v>
      </c>
      <c r="G25" s="18" t="n">
        <v>5.35585868</v>
      </c>
      <c r="H25" s="20" t="n">
        <v>0.9027583</v>
      </c>
      <c r="I25" s="18" t="n">
        <v>52.39023891</v>
      </c>
      <c r="J25" s="20" t="n">
        <v>2.31352787</v>
      </c>
      <c r="K25" s="18" t="s">
        <v>349</v>
      </c>
      <c r="L25" s="20" t="s">
        <v>349</v>
      </c>
      <c r="M25" s="18" t="n">
        <v>3.94307533</v>
      </c>
      <c r="N25" s="20" t="n">
        <v>0.83277609</v>
      </c>
      <c r="O25" s="18" t="n">
        <v>0</v>
      </c>
      <c r="P25" s="20" t="n">
        <v>0</v>
      </c>
      <c r="Q25" s="18" t="n">
        <v>0</v>
      </c>
      <c r="R25" s="20" t="n">
        <v>0</v>
      </c>
      <c r="S25" s="18" t="n">
        <v>15.95442412</v>
      </c>
      <c r="T25" s="20" t="n">
        <v>1.59762188</v>
      </c>
    </row>
    <row r="26" spans="1:20">
      <c r="A26" s="15" t="s">
        <v>368</v>
      </c>
      <c r="B26" s="17" t="n">
        <v>4869</v>
      </c>
      <c r="C26" s="18">
        <f>(4281.0/B26*100)</f>
        <v/>
      </c>
      <c r="D26" s="19" t="n">
        <v>588</v>
      </c>
      <c r="E26" s="18" t="n">
        <v>45.71496268</v>
      </c>
      <c r="F26" s="20" t="n">
        <v>2.09611505</v>
      </c>
      <c r="G26" s="18" t="n">
        <v>20.45929196</v>
      </c>
      <c r="H26" s="20" t="n">
        <v>1.86101179</v>
      </c>
      <c r="I26" s="18" t="n">
        <v>16.57369826</v>
      </c>
      <c r="J26" s="20" t="n">
        <v>1.71579245</v>
      </c>
      <c r="K26" s="18" t="s">
        <v>349</v>
      </c>
      <c r="L26" s="20" t="s">
        <v>349</v>
      </c>
      <c r="M26" s="18" t="n">
        <v>3.14769323</v>
      </c>
      <c r="N26" s="20" t="n">
        <v>0.6455196600000001</v>
      </c>
      <c r="O26" s="18" t="n">
        <v>0</v>
      </c>
      <c r="P26" s="20" t="n">
        <v>0</v>
      </c>
      <c r="Q26" s="18" t="n">
        <v>0</v>
      </c>
      <c r="R26" s="20" t="n">
        <v>0</v>
      </c>
      <c r="S26" s="18" t="n">
        <v>14.10435387</v>
      </c>
      <c r="T26" s="20" t="n">
        <v>1.56615262</v>
      </c>
    </row>
    <row r="27" spans="1:20">
      <c r="A27" s="15" t="s">
        <v>369</v>
      </c>
      <c r="B27" s="17" t="n">
        <v>5299</v>
      </c>
      <c r="C27" s="18">
        <f>(4659.0/B27*100)</f>
        <v/>
      </c>
      <c r="D27" s="19" t="n">
        <v>640</v>
      </c>
      <c r="E27" s="18" t="n">
        <v>27.71688969</v>
      </c>
      <c r="F27" s="20" t="n">
        <v>1.76422152</v>
      </c>
      <c r="G27" s="18" t="n">
        <v>16.71376479</v>
      </c>
      <c r="H27" s="20" t="n">
        <v>1.52750137</v>
      </c>
      <c r="I27" s="18" t="n">
        <v>36.1422581</v>
      </c>
      <c r="J27" s="20" t="n">
        <v>2.07544468</v>
      </c>
      <c r="K27" s="18" t="s">
        <v>349</v>
      </c>
      <c r="L27" s="20" t="s">
        <v>349</v>
      </c>
      <c r="M27" s="18" t="n">
        <v>3.82336414</v>
      </c>
      <c r="N27" s="20" t="n">
        <v>0.6991228900000001</v>
      </c>
      <c r="O27" s="18" t="n">
        <v>0.15520665</v>
      </c>
      <c r="P27" s="20" t="n">
        <v>0.15411541</v>
      </c>
      <c r="Q27" s="18" t="n">
        <v>0</v>
      </c>
      <c r="R27" s="20" t="n">
        <v>0</v>
      </c>
      <c r="S27" s="18" t="n">
        <v>15.44851663</v>
      </c>
      <c r="T27" s="20" t="n">
        <v>1.39074942</v>
      </c>
    </row>
    <row r="28" spans="1:20">
      <c r="A28" s="15" t="s">
        <v>370</v>
      </c>
      <c r="B28" s="17" t="n">
        <v>7568</v>
      </c>
      <c r="C28" s="18">
        <f>(6698.0/B28*100)</f>
        <v/>
      </c>
      <c r="D28" s="19" t="n">
        <v>870</v>
      </c>
      <c r="E28" s="18" t="n">
        <v>62.49210469</v>
      </c>
      <c r="F28" s="20" t="n">
        <v>1.60802803</v>
      </c>
      <c r="G28" s="18" t="n">
        <v>6.73446685</v>
      </c>
      <c r="H28" s="20" t="n">
        <v>0.97238991</v>
      </c>
      <c r="I28" s="18" t="n">
        <v>17.20811799</v>
      </c>
      <c r="J28" s="20" t="n">
        <v>1.47260341</v>
      </c>
      <c r="K28" s="18" t="s">
        <v>349</v>
      </c>
      <c r="L28" s="20" t="s">
        <v>349</v>
      </c>
      <c r="M28" s="18" t="n">
        <v>2.53190524</v>
      </c>
      <c r="N28" s="20" t="n">
        <v>0.71590284</v>
      </c>
      <c r="O28" s="18" t="n">
        <v>0</v>
      </c>
      <c r="P28" s="20" t="n">
        <v>0</v>
      </c>
      <c r="Q28" s="18" t="n">
        <v>0</v>
      </c>
      <c r="R28" s="20" t="n">
        <v>0</v>
      </c>
      <c r="S28" s="18" t="n">
        <v>11.03340523</v>
      </c>
      <c r="T28" s="20" t="n">
        <v>1.18691359</v>
      </c>
    </row>
    <row r="29" spans="1:20">
      <c r="A29" s="15" t="s">
        <v>371</v>
      </c>
      <c r="B29" s="17" t="n">
        <v>5385</v>
      </c>
      <c r="C29" s="18">
        <f>(4732.0/B29*100)</f>
        <v/>
      </c>
      <c r="D29" s="19" t="n">
        <v>653</v>
      </c>
      <c r="E29" s="18" t="n">
        <v>31.16848712</v>
      </c>
      <c r="F29" s="20" t="n">
        <v>1.84942197</v>
      </c>
      <c r="G29" s="18" t="n">
        <v>7.48860718</v>
      </c>
      <c r="H29" s="20" t="n">
        <v>1.09823854</v>
      </c>
      <c r="I29" s="18" t="n">
        <v>51.67353142</v>
      </c>
      <c r="J29" s="20" t="n">
        <v>1.72163777</v>
      </c>
      <c r="K29" s="18" t="s">
        <v>349</v>
      </c>
      <c r="L29" s="20" t="s">
        <v>349</v>
      </c>
      <c r="M29" s="18" t="n">
        <v>2.04305746</v>
      </c>
      <c r="N29" s="20" t="n">
        <v>0.6836851</v>
      </c>
      <c r="O29" s="18" t="n">
        <v>0</v>
      </c>
      <c r="P29" s="20" t="n">
        <v>0</v>
      </c>
      <c r="Q29" s="18" t="n">
        <v>0</v>
      </c>
      <c r="R29" s="20" t="n">
        <v>0</v>
      </c>
      <c r="S29" s="18" t="n">
        <v>7.62631683</v>
      </c>
      <c r="T29" s="20" t="n">
        <v>1.00451079</v>
      </c>
    </row>
    <row r="30" spans="1:20">
      <c r="A30" s="15" t="s">
        <v>372</v>
      </c>
      <c r="B30" s="17" t="n">
        <v>4520</v>
      </c>
      <c r="C30" s="18">
        <f>(3979.0/B30*100)</f>
        <v/>
      </c>
      <c r="D30" s="19" t="n">
        <v>541</v>
      </c>
      <c r="E30" s="18" t="n">
        <v>32.86518746</v>
      </c>
      <c r="F30" s="20" t="n">
        <v>2.15886072</v>
      </c>
      <c r="G30" s="18" t="n">
        <v>8.13035741</v>
      </c>
      <c r="H30" s="20" t="n">
        <v>1.06767458</v>
      </c>
      <c r="I30" s="18" t="n">
        <v>38.91543489</v>
      </c>
      <c r="J30" s="20" t="n">
        <v>2.33519869</v>
      </c>
      <c r="K30" s="18" t="s">
        <v>349</v>
      </c>
      <c r="L30" s="20" t="s">
        <v>349</v>
      </c>
      <c r="M30" s="18" t="n">
        <v>3.87840198</v>
      </c>
      <c r="N30" s="20" t="n">
        <v>0.90547606</v>
      </c>
      <c r="O30" s="18" t="n">
        <v>0</v>
      </c>
      <c r="P30" s="20" t="n">
        <v>0</v>
      </c>
      <c r="Q30" s="18" t="n">
        <v>0</v>
      </c>
      <c r="R30" s="20" t="n">
        <v>0</v>
      </c>
      <c r="S30" s="18" t="n">
        <v>16.21061826</v>
      </c>
      <c r="T30" s="20" t="n">
        <v>1.61587201</v>
      </c>
    </row>
    <row r="31" spans="1:20">
      <c r="A31" s="15" t="s">
        <v>373</v>
      </c>
      <c r="B31" s="17" t="n">
        <v>5456</v>
      </c>
      <c r="C31" s="18">
        <f>(4816.0/B31*100)</f>
        <v/>
      </c>
      <c r="D31" s="19" t="n">
        <v>640</v>
      </c>
      <c r="E31" s="18" t="n">
        <v>32.98895152</v>
      </c>
      <c r="F31" s="20" t="n">
        <v>1.94405133</v>
      </c>
      <c r="G31" s="18" t="n">
        <v>11.60191237</v>
      </c>
      <c r="H31" s="20" t="n">
        <v>1.297066</v>
      </c>
      <c r="I31" s="18" t="n">
        <v>37.56815632</v>
      </c>
      <c r="J31" s="20" t="n">
        <v>1.99597526</v>
      </c>
      <c r="K31" s="18" t="s">
        <v>349</v>
      </c>
      <c r="L31" s="20" t="s">
        <v>349</v>
      </c>
      <c r="M31" s="18" t="n">
        <v>6.22921048</v>
      </c>
      <c r="N31" s="20" t="n">
        <v>0.9616563</v>
      </c>
      <c r="O31" s="18" t="n">
        <v>0</v>
      </c>
      <c r="P31" s="20" t="n">
        <v>0</v>
      </c>
      <c r="Q31" s="18" t="n">
        <v>0</v>
      </c>
      <c r="R31" s="20" t="n">
        <v>0</v>
      </c>
      <c r="S31" s="18" t="n">
        <v>11.6117693</v>
      </c>
      <c r="T31" s="20" t="n">
        <v>1.25351885</v>
      </c>
    </row>
    <row r="32" spans="1:20">
      <c r="A32" s="15" t="s">
        <v>374</v>
      </c>
      <c r="B32" s="17" t="n">
        <v>4478</v>
      </c>
      <c r="C32" s="18">
        <f>(3705.0/B32*100)</f>
        <v/>
      </c>
      <c r="D32" s="19" t="n">
        <v>773</v>
      </c>
      <c r="E32" s="18" t="n">
        <v>26.8652806</v>
      </c>
      <c r="F32" s="20" t="n">
        <v>1.441017</v>
      </c>
      <c r="G32" s="18" t="n">
        <v>11.86780562</v>
      </c>
      <c r="H32" s="20" t="n">
        <v>0.99761981</v>
      </c>
      <c r="I32" s="18" t="n">
        <v>41.65391124</v>
      </c>
      <c r="J32" s="20" t="n">
        <v>1.58567277</v>
      </c>
      <c r="K32" s="18" t="s">
        <v>349</v>
      </c>
      <c r="L32" s="20" t="s">
        <v>349</v>
      </c>
      <c r="M32" s="18" t="n">
        <v>4.47515165</v>
      </c>
      <c r="N32" s="20" t="n">
        <v>0.71214635</v>
      </c>
      <c r="O32" s="18" t="n">
        <v>0.54725134</v>
      </c>
      <c r="P32" s="20" t="n">
        <v>0.58065847</v>
      </c>
      <c r="Q32" s="18" t="n">
        <v>0</v>
      </c>
      <c r="R32" s="20" t="n">
        <v>0</v>
      </c>
      <c r="S32" s="18" t="n">
        <v>14.59059957</v>
      </c>
      <c r="T32" s="20" t="n">
        <v>1.22873289</v>
      </c>
    </row>
    <row r="33" spans="1:20">
      <c r="A33" s="15" t="s">
        <v>375</v>
      </c>
      <c r="B33" s="17" t="n">
        <v>7325</v>
      </c>
      <c r="C33" s="18">
        <f>(6477.0/B33*100)</f>
        <v/>
      </c>
      <c r="D33" s="19" t="n">
        <v>848</v>
      </c>
      <c r="E33" s="18" t="n">
        <v>24.54662673</v>
      </c>
      <c r="F33" s="20" t="n">
        <v>1.67151179</v>
      </c>
      <c r="G33" s="18" t="n">
        <v>18.34183609</v>
      </c>
      <c r="H33" s="20" t="n">
        <v>1.6918932</v>
      </c>
      <c r="I33" s="18" t="n">
        <v>33.70880424</v>
      </c>
      <c r="J33" s="20" t="n">
        <v>2.06683464</v>
      </c>
      <c r="K33" s="18" t="s">
        <v>349</v>
      </c>
      <c r="L33" s="20" t="s">
        <v>349</v>
      </c>
      <c r="M33" s="18" t="n">
        <v>4.89477102</v>
      </c>
      <c r="N33" s="20" t="n">
        <v>1.16878664</v>
      </c>
      <c r="O33" s="18" t="n">
        <v>0</v>
      </c>
      <c r="P33" s="20" t="n">
        <v>0</v>
      </c>
      <c r="Q33" s="18" t="n">
        <v>0</v>
      </c>
      <c r="R33" s="20" t="n">
        <v>0</v>
      </c>
      <c r="S33" s="18" t="n">
        <v>18.50796191</v>
      </c>
      <c r="T33" s="20" t="n">
        <v>1.64264054</v>
      </c>
    </row>
    <row r="34" spans="1:20">
      <c r="A34" s="15" t="s">
        <v>376</v>
      </c>
      <c r="B34" s="17" t="n">
        <v>6350</v>
      </c>
      <c r="C34" s="18">
        <f>(5574.0/B34*100)</f>
        <v/>
      </c>
      <c r="D34" s="19" t="n">
        <v>776</v>
      </c>
      <c r="E34" s="18" t="n">
        <v>37.8597449</v>
      </c>
      <c r="F34" s="20" t="n">
        <v>1.91228367</v>
      </c>
      <c r="G34" s="18" t="n">
        <v>23.44324241</v>
      </c>
      <c r="H34" s="20" t="n">
        <v>1.57312591</v>
      </c>
      <c r="I34" s="18" t="n">
        <v>15.5259711</v>
      </c>
      <c r="J34" s="20" t="n">
        <v>1.3144249</v>
      </c>
      <c r="K34" s="18" t="s">
        <v>349</v>
      </c>
      <c r="L34" s="20" t="s">
        <v>349</v>
      </c>
      <c r="M34" s="18" t="n">
        <v>3.80289268</v>
      </c>
      <c r="N34" s="20" t="n">
        <v>0.62987348</v>
      </c>
      <c r="O34" s="18" t="n">
        <v>0</v>
      </c>
      <c r="P34" s="20" t="n">
        <v>0</v>
      </c>
      <c r="Q34" s="18" t="n">
        <v>0</v>
      </c>
      <c r="R34" s="20" t="n">
        <v>0</v>
      </c>
      <c r="S34" s="18" t="n">
        <v>19.36814891</v>
      </c>
      <c r="T34" s="20" t="n">
        <v>1.50876364</v>
      </c>
    </row>
    <row r="35" spans="1:20">
      <c r="A35" s="15" t="s">
        <v>377</v>
      </c>
      <c r="B35" s="17" t="n">
        <v>6406</v>
      </c>
      <c r="C35" s="18">
        <f>(5646.0/B35*100)</f>
        <v/>
      </c>
      <c r="D35" s="19" t="n">
        <v>760</v>
      </c>
      <c r="E35" s="18" t="n">
        <v>24.17482778</v>
      </c>
      <c r="F35" s="20" t="n">
        <v>1.66578876</v>
      </c>
      <c r="G35" s="18" t="n">
        <v>21.45584718</v>
      </c>
      <c r="H35" s="20" t="n">
        <v>1.83417866</v>
      </c>
      <c r="I35" s="18" t="n">
        <v>33.47853963</v>
      </c>
      <c r="J35" s="20" t="n">
        <v>2.17041507</v>
      </c>
      <c r="K35" s="18" t="s">
        <v>349</v>
      </c>
      <c r="L35" s="20" t="s">
        <v>349</v>
      </c>
      <c r="M35" s="18" t="n">
        <v>4.36670524</v>
      </c>
      <c r="N35" s="20" t="n">
        <v>0.92530524</v>
      </c>
      <c r="O35" s="18" t="n">
        <v>0.22518141</v>
      </c>
      <c r="P35" s="20" t="n">
        <v>0.22631468</v>
      </c>
      <c r="Q35" s="18" t="n">
        <v>0</v>
      </c>
      <c r="R35" s="20" t="n">
        <v>0</v>
      </c>
      <c r="S35" s="18" t="n">
        <v>16.29889876</v>
      </c>
      <c r="T35" s="20" t="n">
        <v>1.4684685</v>
      </c>
    </row>
    <row r="36" spans="1:20">
      <c r="A36" s="15" t="s">
        <v>378</v>
      </c>
      <c r="B36" s="17" t="n">
        <v>6736</v>
      </c>
      <c r="C36" s="18">
        <f>(5921.0/B36*100)</f>
        <v/>
      </c>
      <c r="D36" s="19" t="n">
        <v>815</v>
      </c>
      <c r="E36" s="18" t="n">
        <v>39.45052881</v>
      </c>
      <c r="F36" s="20" t="n">
        <v>1.76235808</v>
      </c>
      <c r="G36" s="18" t="n">
        <v>10.75692005</v>
      </c>
      <c r="H36" s="20" t="n">
        <v>1.02180978</v>
      </c>
      <c r="I36" s="18" t="n">
        <v>29.41331844</v>
      </c>
      <c r="J36" s="20" t="n">
        <v>1.37276729</v>
      </c>
      <c r="K36" s="18" t="s">
        <v>349</v>
      </c>
      <c r="L36" s="20" t="s">
        <v>349</v>
      </c>
      <c r="M36" s="18" t="n">
        <v>6.66397272</v>
      </c>
      <c r="N36" s="20" t="n">
        <v>0.93874675</v>
      </c>
      <c r="O36" s="18" t="n">
        <v>0</v>
      </c>
      <c r="P36" s="20" t="n">
        <v>0</v>
      </c>
      <c r="Q36" s="18" t="n">
        <v>0</v>
      </c>
      <c r="R36" s="20" t="n">
        <v>0</v>
      </c>
      <c r="S36" s="18" t="n">
        <v>13.71525998</v>
      </c>
      <c r="T36" s="20" t="n">
        <v>1.2387651</v>
      </c>
    </row>
    <row r="37" spans="1:20">
      <c r="A37" s="15" t="s">
        <v>379</v>
      </c>
      <c r="B37" s="17" t="n">
        <v>5458</v>
      </c>
      <c r="C37" s="18">
        <f>(4821.0/B37*100)</f>
        <v/>
      </c>
      <c r="D37" s="19" t="n">
        <v>637</v>
      </c>
      <c r="E37" s="18" t="n">
        <v>22.90246624</v>
      </c>
      <c r="F37" s="20" t="n">
        <v>1.69453683</v>
      </c>
      <c r="G37" s="18" t="n">
        <v>7.68292008</v>
      </c>
      <c r="H37" s="20" t="n">
        <v>1.18193751</v>
      </c>
      <c r="I37" s="18" t="n">
        <v>41.919363</v>
      </c>
      <c r="J37" s="20" t="n">
        <v>2.33553404</v>
      </c>
      <c r="K37" s="18" t="s">
        <v>349</v>
      </c>
      <c r="L37" s="20" t="s">
        <v>349</v>
      </c>
      <c r="M37" s="18" t="n">
        <v>9.109636500000001</v>
      </c>
      <c r="N37" s="20" t="n">
        <v>1.1731396</v>
      </c>
      <c r="O37" s="18" t="n">
        <v>0</v>
      </c>
      <c r="P37" s="20" t="n">
        <v>0</v>
      </c>
      <c r="Q37" s="18" t="n">
        <v>0</v>
      </c>
      <c r="R37" s="20" t="n">
        <v>0</v>
      </c>
      <c r="S37" s="18" t="n">
        <v>18.38561418</v>
      </c>
      <c r="T37" s="20" t="n">
        <v>1.81305809</v>
      </c>
    </row>
    <row r="38" spans="1:20">
      <c r="A38" s="15" t="s">
        <v>380</v>
      </c>
      <c r="B38" s="17" t="n">
        <v>5860</v>
      </c>
      <c r="C38" s="18">
        <f>(4861.0/B38*100)</f>
        <v/>
      </c>
      <c r="D38" s="19" t="n">
        <v>999</v>
      </c>
      <c r="E38" s="18" t="n">
        <v>20.37709472</v>
      </c>
      <c r="F38" s="20" t="n">
        <v>1.56029594</v>
      </c>
      <c r="G38" s="18" t="n">
        <v>22.02308369</v>
      </c>
      <c r="H38" s="20" t="n">
        <v>1.73152827</v>
      </c>
      <c r="I38" s="18" t="n">
        <v>38.62221743</v>
      </c>
      <c r="J38" s="20" t="n">
        <v>1.94410644</v>
      </c>
      <c r="K38" s="18" t="s">
        <v>349</v>
      </c>
      <c r="L38" s="20" t="s">
        <v>349</v>
      </c>
      <c r="M38" s="18" t="n">
        <v>2.90457657</v>
      </c>
      <c r="N38" s="20" t="n">
        <v>0.65965834</v>
      </c>
      <c r="O38" s="18" t="n">
        <v>0</v>
      </c>
      <c r="P38" s="20" t="n">
        <v>0</v>
      </c>
      <c r="Q38" s="18" t="n">
        <v>0</v>
      </c>
      <c r="R38" s="20" t="n">
        <v>0</v>
      </c>
      <c r="S38" s="18" t="n">
        <v>16.07302759</v>
      </c>
      <c r="T38" s="20" t="n">
        <v>1.4190792</v>
      </c>
    </row>
    <row r="39" spans="1:20">
      <c r="A39" s="15" t="s">
        <v>381</v>
      </c>
      <c r="B39" s="17" t="n">
        <v>5895</v>
      </c>
      <c r="C39" s="18">
        <f>(5183.0/B39*100)</f>
        <v/>
      </c>
      <c r="D39" s="19" t="n">
        <v>712</v>
      </c>
      <c r="E39" s="18" t="n">
        <v>43.23000608</v>
      </c>
      <c r="F39" s="20" t="n">
        <v>2.07117735</v>
      </c>
      <c r="G39" s="18" t="n">
        <v>8.51423585</v>
      </c>
      <c r="H39" s="20" t="n">
        <v>1.05947768</v>
      </c>
      <c r="I39" s="18" t="n">
        <v>19.26136057</v>
      </c>
      <c r="J39" s="20" t="n">
        <v>2.06441351</v>
      </c>
      <c r="K39" s="18" t="s">
        <v>349</v>
      </c>
      <c r="L39" s="20" t="s">
        <v>349</v>
      </c>
      <c r="M39" s="18" t="n">
        <v>2.75823882</v>
      </c>
      <c r="N39" s="20" t="n">
        <v>0.58316454</v>
      </c>
      <c r="O39" s="18" t="n">
        <v>0</v>
      </c>
      <c r="P39" s="20" t="n">
        <v>0</v>
      </c>
      <c r="Q39" s="18" t="n">
        <v>0</v>
      </c>
      <c r="R39" s="20" t="n">
        <v>0</v>
      </c>
      <c r="S39" s="18" t="n">
        <v>26.23615868</v>
      </c>
      <c r="T39" s="20" t="n">
        <v>1.63294223</v>
      </c>
    </row>
    <row r="40" spans="1:20">
      <c r="A40" s="15" t="s">
        <v>382</v>
      </c>
      <c r="B40" s="17" t="n">
        <v>14157</v>
      </c>
      <c r="C40" s="18">
        <f>(12411.0/B40*100)</f>
        <v/>
      </c>
      <c r="D40" s="19" t="n">
        <v>1746</v>
      </c>
      <c r="E40" s="18" t="n">
        <v>31.51209914</v>
      </c>
      <c r="F40" s="20" t="n">
        <v>1.63648563</v>
      </c>
      <c r="G40" s="18" t="n">
        <v>8.69005812</v>
      </c>
      <c r="H40" s="20" t="n">
        <v>0.86762795</v>
      </c>
      <c r="I40" s="18" t="n">
        <v>41.68840097</v>
      </c>
      <c r="J40" s="20" t="n">
        <v>1.75928559</v>
      </c>
      <c r="K40" s="18" t="s">
        <v>349</v>
      </c>
      <c r="L40" s="20" t="s">
        <v>349</v>
      </c>
      <c r="M40" s="18" t="n">
        <v>3.60723475</v>
      </c>
      <c r="N40" s="20" t="n">
        <v>0.59125691</v>
      </c>
      <c r="O40" s="18" t="n">
        <v>0.27066183</v>
      </c>
      <c r="P40" s="20" t="n">
        <v>0.20926982</v>
      </c>
      <c r="Q40" s="18" t="n">
        <v>0</v>
      </c>
      <c r="R40" s="20" t="n">
        <v>0</v>
      </c>
      <c r="S40" s="18" t="n">
        <v>14.23154519</v>
      </c>
      <c r="T40" s="20" t="n">
        <v>1.33053637</v>
      </c>
    </row>
    <row r="41" spans="1:20">
      <c r="A41" s="15" t="s">
        <v>383</v>
      </c>
      <c r="B41" s="17" t="n">
        <v>5712</v>
      </c>
      <c r="C41" s="18">
        <f>(5025.0/B41*100)</f>
        <v/>
      </c>
      <c r="D41" s="19" t="n">
        <v>687</v>
      </c>
      <c r="E41" s="18" t="n">
        <v>48.74102376</v>
      </c>
      <c r="F41" s="20" t="n">
        <v>1.88538682</v>
      </c>
      <c r="G41" s="18" t="n">
        <v>9.32152146</v>
      </c>
      <c r="H41" s="20" t="n">
        <v>1.04671785</v>
      </c>
      <c r="I41" s="18" t="n">
        <v>35.38259534</v>
      </c>
      <c r="J41" s="20" t="n">
        <v>2.06427983</v>
      </c>
      <c r="K41" s="18" t="s">
        <v>349</v>
      </c>
      <c r="L41" s="20" t="s">
        <v>349</v>
      </c>
      <c r="M41" s="18" t="n">
        <v>2.31357419</v>
      </c>
      <c r="N41" s="20" t="n">
        <v>0.71843047</v>
      </c>
      <c r="O41" s="18" t="n">
        <v>0</v>
      </c>
      <c r="P41" s="20" t="n">
        <v>0</v>
      </c>
      <c r="Q41" s="18" t="n">
        <v>0</v>
      </c>
      <c r="R41" s="20" t="n">
        <v>0</v>
      </c>
      <c r="S41" s="18" t="n">
        <v>4.24128524</v>
      </c>
      <c r="T41" s="20" t="n">
        <v>0.69285092</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23141</v>
      </c>
      <c r="C46" s="18">
        <f>(20777.0/B46*100)</f>
        <v/>
      </c>
      <c r="D46" s="19" t="n">
        <v>2364</v>
      </c>
      <c r="E46" s="18" t="n">
        <v>51.69339081</v>
      </c>
      <c r="F46" s="20" t="n">
        <v>1.38358709</v>
      </c>
      <c r="G46" s="18" t="n">
        <v>2.711039</v>
      </c>
      <c r="H46" s="20" t="n">
        <v>0.36952441</v>
      </c>
      <c r="I46" s="18" t="n">
        <v>9.489748609999999</v>
      </c>
      <c r="J46" s="20" t="n">
        <v>1.11422054</v>
      </c>
      <c r="K46" s="18" t="s">
        <v>349</v>
      </c>
      <c r="L46" s="20" t="s">
        <v>349</v>
      </c>
      <c r="M46" s="18" t="n">
        <v>10.45245814</v>
      </c>
      <c r="N46" s="20" t="n">
        <v>0.88056976</v>
      </c>
      <c r="O46" s="18" t="n">
        <v>0.07901724</v>
      </c>
      <c r="P46" s="20" t="n">
        <v>0.0759349</v>
      </c>
      <c r="Q46" s="18" t="n">
        <v>0</v>
      </c>
      <c r="R46" s="20" t="n">
        <v>0</v>
      </c>
      <c r="S46" s="18" t="n">
        <v>25.57434621</v>
      </c>
      <c r="T46" s="20" t="n">
        <v>1.2382267</v>
      </c>
    </row>
    <row r="47" spans="1:20">
      <c r="A47" s="15" t="s">
        <v>389</v>
      </c>
      <c r="B47" s="17" t="n">
        <v>5928</v>
      </c>
      <c r="C47" s="18">
        <f>(5201.0/B47*100)</f>
        <v/>
      </c>
      <c r="D47" s="19" t="n">
        <v>727</v>
      </c>
      <c r="E47" s="18" t="n">
        <v>26.31293689</v>
      </c>
      <c r="F47" s="20" t="n">
        <v>1.81753211</v>
      </c>
      <c r="G47" s="18" t="n">
        <v>14.61449477</v>
      </c>
      <c r="H47" s="20" t="n">
        <v>1.3500055</v>
      </c>
      <c r="I47" s="18" t="n">
        <v>26.1988403</v>
      </c>
      <c r="J47" s="20" t="n">
        <v>1.87390943</v>
      </c>
      <c r="K47" s="18" t="s">
        <v>349</v>
      </c>
      <c r="L47" s="20" t="s">
        <v>349</v>
      </c>
      <c r="M47" s="18" t="n">
        <v>6.17597647</v>
      </c>
      <c r="N47" s="20" t="n">
        <v>0.94850596</v>
      </c>
      <c r="O47" s="18" t="n">
        <v>0</v>
      </c>
      <c r="P47" s="20" t="n">
        <v>0</v>
      </c>
      <c r="Q47" s="18" t="n">
        <v>0</v>
      </c>
      <c r="R47" s="20" t="n">
        <v>0</v>
      </c>
      <c r="S47" s="18" t="n">
        <v>26.69775157</v>
      </c>
      <c r="T47" s="20" t="n">
        <v>1.99410485</v>
      </c>
    </row>
    <row r="48" spans="1:20">
      <c r="A48" s="15" t="s">
        <v>390</v>
      </c>
      <c r="B48" s="17" t="n">
        <v>9841</v>
      </c>
      <c r="C48" s="18">
        <f>(8665.0/B48*100)</f>
        <v/>
      </c>
      <c r="D48" s="19" t="n">
        <v>1176</v>
      </c>
      <c r="E48" s="18" t="n">
        <v>19.54092272</v>
      </c>
      <c r="F48" s="20" t="n">
        <v>1.58362794</v>
      </c>
      <c r="G48" s="18" t="n">
        <v>16.93111854</v>
      </c>
      <c r="H48" s="20" t="n">
        <v>1.45116563</v>
      </c>
      <c r="I48" s="18" t="n">
        <v>53.79574728</v>
      </c>
      <c r="J48" s="20" t="n">
        <v>2.35376881</v>
      </c>
      <c r="K48" s="18" t="s">
        <v>349</v>
      </c>
      <c r="L48" s="20" t="s">
        <v>349</v>
      </c>
      <c r="M48" s="18" t="n">
        <v>1.51171989</v>
      </c>
      <c r="N48" s="20" t="n">
        <v>0.54334792</v>
      </c>
      <c r="O48" s="18" t="n">
        <v>0.11832837</v>
      </c>
      <c r="P48" s="20" t="n">
        <v>0.08286465</v>
      </c>
      <c r="Q48" s="18" t="n">
        <v>0</v>
      </c>
      <c r="R48" s="20" t="n">
        <v>0</v>
      </c>
      <c r="S48" s="18" t="n">
        <v>8.102163210000001</v>
      </c>
      <c r="T48" s="20" t="n">
        <v>0.92440616</v>
      </c>
    </row>
    <row r="49" spans="1:20">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11795</v>
      </c>
      <c r="C50" s="18">
        <f>(10413.0/B50*100)</f>
        <v/>
      </c>
      <c r="D50" s="19" t="n">
        <v>1382</v>
      </c>
      <c r="E50" s="18" t="n">
        <v>62.22468133</v>
      </c>
      <c r="F50" s="20" t="n">
        <v>1.58039176</v>
      </c>
      <c r="G50" s="18" t="n">
        <v>7.33559107</v>
      </c>
      <c r="H50" s="20" t="n">
        <v>0.90449263</v>
      </c>
      <c r="I50" s="18" t="n">
        <v>8.60031335</v>
      </c>
      <c r="J50" s="20" t="n">
        <v>0.96991843</v>
      </c>
      <c r="K50" s="18" t="s">
        <v>349</v>
      </c>
      <c r="L50" s="20" t="s">
        <v>349</v>
      </c>
      <c r="M50" s="18" t="n">
        <v>4.01675286</v>
      </c>
      <c r="N50" s="20" t="n">
        <v>0.99766337</v>
      </c>
      <c r="O50" s="18" t="n">
        <v>0.77680335</v>
      </c>
      <c r="P50" s="20" t="n">
        <v>0.3025921</v>
      </c>
      <c r="Q50" s="18" t="n">
        <v>0</v>
      </c>
      <c r="R50" s="20" t="n">
        <v>0</v>
      </c>
      <c r="S50" s="18" t="n">
        <v>17.04585804</v>
      </c>
      <c r="T50" s="20" t="n">
        <v>1.20643404</v>
      </c>
    </row>
    <row r="51" spans="1:20">
      <c r="A51" s="15" t="s">
        <v>393</v>
      </c>
      <c r="B51" s="17" t="n">
        <v>6866</v>
      </c>
      <c r="C51" s="18">
        <f>(6152.0/B51*100)</f>
        <v/>
      </c>
      <c r="D51" s="19" t="n">
        <v>714</v>
      </c>
      <c r="E51" s="18" t="n">
        <v>54.89872844</v>
      </c>
      <c r="F51" s="20" t="n">
        <v>1.95063075</v>
      </c>
      <c r="G51" s="18" t="n">
        <v>10.61125394</v>
      </c>
      <c r="H51" s="20" t="n">
        <v>1.09302832</v>
      </c>
      <c r="I51" s="18" t="n">
        <v>7.31912707</v>
      </c>
      <c r="J51" s="20" t="n">
        <v>1.00311339</v>
      </c>
      <c r="K51" s="18" t="s">
        <v>349</v>
      </c>
      <c r="L51" s="20" t="s">
        <v>349</v>
      </c>
      <c r="M51" s="18" t="n">
        <v>3.92029693</v>
      </c>
      <c r="N51" s="20" t="n">
        <v>0.96821091</v>
      </c>
      <c r="O51" s="18" t="n">
        <v>0</v>
      </c>
      <c r="P51" s="20" t="n">
        <v>0</v>
      </c>
      <c r="Q51" s="18" t="n">
        <v>0</v>
      </c>
      <c r="R51" s="20" t="n">
        <v>0</v>
      </c>
      <c r="S51" s="18" t="n">
        <v>23.25059363</v>
      </c>
      <c r="T51" s="20" t="n">
        <v>1.82386659</v>
      </c>
    </row>
    <row r="52" spans="1:20">
      <c r="A52" s="15" t="s">
        <v>394</v>
      </c>
      <c r="B52" s="17" t="n">
        <v>5809</v>
      </c>
      <c r="C52" s="18">
        <f>(5111.0/B52*100)</f>
        <v/>
      </c>
      <c r="D52" s="19" t="n">
        <v>698</v>
      </c>
      <c r="E52" s="18" t="n">
        <v>26.2698519</v>
      </c>
      <c r="F52" s="20" t="n">
        <v>1.73281551</v>
      </c>
      <c r="G52" s="18" t="n">
        <v>20.84596991</v>
      </c>
      <c r="H52" s="20" t="n">
        <v>1.59977741</v>
      </c>
      <c r="I52" s="18" t="n">
        <v>25.08661158</v>
      </c>
      <c r="J52" s="20" t="n">
        <v>1.77407084</v>
      </c>
      <c r="K52" s="18" t="s">
        <v>349</v>
      </c>
      <c r="L52" s="20" t="s">
        <v>349</v>
      </c>
      <c r="M52" s="18" t="n">
        <v>4.16842331</v>
      </c>
      <c r="N52" s="20" t="n">
        <v>0.80863281</v>
      </c>
      <c r="O52" s="18" t="n">
        <v>0</v>
      </c>
      <c r="P52" s="20" t="n">
        <v>0</v>
      </c>
      <c r="Q52" s="18" t="n">
        <v>0</v>
      </c>
      <c r="R52" s="20" t="n">
        <v>0</v>
      </c>
      <c r="S52" s="18" t="n">
        <v>23.6291433</v>
      </c>
      <c r="T52" s="20" t="n">
        <v>1.6302509</v>
      </c>
    </row>
    <row r="53" spans="1:20">
      <c r="A53" s="15" t="s">
        <v>395</v>
      </c>
      <c r="B53" s="17" t="n">
        <v>5571</v>
      </c>
      <c r="C53" s="18">
        <f>(4914.0/B53*100)</f>
        <v/>
      </c>
      <c r="D53" s="19" t="n">
        <v>657</v>
      </c>
      <c r="E53" s="18" t="n">
        <v>31.98946147</v>
      </c>
      <c r="F53" s="20" t="n">
        <v>1.86813973</v>
      </c>
      <c r="G53" s="18" t="n">
        <v>13.41065362</v>
      </c>
      <c r="H53" s="20" t="n">
        <v>1.24995177</v>
      </c>
      <c r="I53" s="18" t="n">
        <v>21.04254299</v>
      </c>
      <c r="J53" s="20" t="n">
        <v>1.75780236</v>
      </c>
      <c r="K53" s="18" t="s">
        <v>349</v>
      </c>
      <c r="L53" s="20" t="s">
        <v>349</v>
      </c>
      <c r="M53" s="18" t="n">
        <v>5.1875941</v>
      </c>
      <c r="N53" s="20" t="n">
        <v>1.09942108</v>
      </c>
      <c r="O53" s="18" t="n">
        <v>0</v>
      </c>
      <c r="P53" s="20" t="n">
        <v>0</v>
      </c>
      <c r="Q53" s="18" t="n">
        <v>0</v>
      </c>
      <c r="R53" s="20" t="n">
        <v>0</v>
      </c>
      <c r="S53" s="18" t="n">
        <v>28.36974781</v>
      </c>
      <c r="T53" s="20" t="n">
        <v>1.67173745</v>
      </c>
    </row>
    <row r="54" spans="1:20">
      <c r="A54" s="15" t="s">
        <v>396</v>
      </c>
      <c r="B54" s="17" t="n">
        <v>4740</v>
      </c>
      <c r="C54" s="18">
        <f>(3950.0/B54*100)</f>
        <v/>
      </c>
      <c r="D54" s="19" t="n">
        <v>790</v>
      </c>
      <c r="E54" s="18" t="n">
        <v>41.13076696</v>
      </c>
      <c r="F54" s="20" t="n">
        <v>2.14130567</v>
      </c>
      <c r="G54" s="18" t="n">
        <v>8.114549869999999</v>
      </c>
      <c r="H54" s="20" t="n">
        <v>0.97923711</v>
      </c>
      <c r="I54" s="18" t="n">
        <v>3.55357907</v>
      </c>
      <c r="J54" s="20" t="n">
        <v>0.7971071</v>
      </c>
      <c r="K54" s="18" t="s">
        <v>349</v>
      </c>
      <c r="L54" s="20" t="s">
        <v>349</v>
      </c>
      <c r="M54" s="18" t="n">
        <v>18.11907104</v>
      </c>
      <c r="N54" s="20" t="n">
        <v>1.64157861</v>
      </c>
      <c r="O54" s="18" t="n">
        <v>0.7789288599999999</v>
      </c>
      <c r="P54" s="20" t="n">
        <v>0.64197502</v>
      </c>
      <c r="Q54" s="18" t="n">
        <v>0</v>
      </c>
      <c r="R54" s="20" t="n">
        <v>0</v>
      </c>
      <c r="S54" s="18" t="n">
        <v>28.30310419</v>
      </c>
      <c r="T54" s="20" t="n">
        <v>1.93504018</v>
      </c>
    </row>
    <row r="55" spans="1:20">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5359</v>
      </c>
      <c r="C56" s="18">
        <f>(4705.0/B56*100)</f>
        <v/>
      </c>
      <c r="D56" s="19" t="n">
        <v>654</v>
      </c>
      <c r="E56" s="18" t="n">
        <v>16.27985541</v>
      </c>
      <c r="F56" s="20" t="n">
        <v>1.40360065</v>
      </c>
      <c r="G56" s="18" t="n">
        <v>11.09022363</v>
      </c>
      <c r="H56" s="20" t="n">
        <v>1.14239618</v>
      </c>
      <c r="I56" s="18" t="n">
        <v>64.427774</v>
      </c>
      <c r="J56" s="20" t="n">
        <v>2.08979331</v>
      </c>
      <c r="K56" s="18" t="s">
        <v>349</v>
      </c>
      <c r="L56" s="20" t="s">
        <v>349</v>
      </c>
      <c r="M56" s="18" t="n">
        <v>1.57824946</v>
      </c>
      <c r="N56" s="20" t="n">
        <v>0.63712906</v>
      </c>
      <c r="O56" s="18" t="n">
        <v>0.29497786</v>
      </c>
      <c r="P56" s="20" t="n">
        <v>0.20639302</v>
      </c>
      <c r="Q56" s="18" t="n">
        <v>0</v>
      </c>
      <c r="R56" s="20" t="n">
        <v>0</v>
      </c>
      <c r="S56" s="18" t="n">
        <v>6.32891964</v>
      </c>
      <c r="T56" s="20" t="n">
        <v>0.8193638600000001</v>
      </c>
    </row>
    <row r="57" spans="1:20">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6525</v>
      </c>
      <c r="C61" s="18">
        <f>(5734.0/B61*100)</f>
        <v/>
      </c>
      <c r="D61" s="19" t="n">
        <v>791</v>
      </c>
      <c r="E61" s="18" t="n">
        <v>35.20500086</v>
      </c>
      <c r="F61" s="20" t="n">
        <v>2.04486114</v>
      </c>
      <c r="G61" s="18" t="n">
        <v>11.65544066</v>
      </c>
      <c r="H61" s="20" t="n">
        <v>1.30686596</v>
      </c>
      <c r="I61" s="18" t="n">
        <v>29.14503782</v>
      </c>
      <c r="J61" s="20" t="n">
        <v>1.99230634</v>
      </c>
      <c r="K61" s="18" t="s">
        <v>349</v>
      </c>
      <c r="L61" s="20" t="s">
        <v>349</v>
      </c>
      <c r="M61" s="18" t="n">
        <v>3.75263779</v>
      </c>
      <c r="N61" s="20" t="n">
        <v>0.75933197</v>
      </c>
      <c r="O61" s="18" t="n">
        <v>0</v>
      </c>
      <c r="P61" s="20" t="n">
        <v>0</v>
      </c>
      <c r="Q61" s="18" t="n">
        <v>0</v>
      </c>
      <c r="R61" s="20" t="n">
        <v>0</v>
      </c>
      <c r="S61" s="18" t="n">
        <v>20.24188288</v>
      </c>
      <c r="T61" s="20" t="n">
        <v>1.7405983</v>
      </c>
    </row>
    <row r="62" spans="1:20">
      <c r="A62" s="15" t="s">
        <v>404</v>
      </c>
      <c r="B62" s="17" t="n">
        <v>4476</v>
      </c>
      <c r="C62" s="18">
        <f>(3934.0/B62*100)</f>
        <v/>
      </c>
      <c r="D62" s="19" t="n">
        <v>542</v>
      </c>
      <c r="E62" s="18" t="n">
        <v>30.68528751</v>
      </c>
      <c r="F62" s="20" t="n">
        <v>2.01975851</v>
      </c>
      <c r="G62" s="18" t="n">
        <v>7.91268082</v>
      </c>
      <c r="H62" s="20" t="n">
        <v>1.00939219</v>
      </c>
      <c r="I62" s="18" t="n">
        <v>56.04088145</v>
      </c>
      <c r="J62" s="20" t="n">
        <v>1.91471058</v>
      </c>
      <c r="K62" s="18" t="s">
        <v>349</v>
      </c>
      <c r="L62" s="20" t="s">
        <v>349</v>
      </c>
      <c r="M62" s="18" t="n">
        <v>0.18525351</v>
      </c>
      <c r="N62" s="20" t="n">
        <v>0.18467623</v>
      </c>
      <c r="O62" s="18" t="n">
        <v>0.18525351</v>
      </c>
      <c r="P62" s="20" t="n">
        <v>0.1846831</v>
      </c>
      <c r="Q62" s="18" t="n">
        <v>0</v>
      </c>
      <c r="R62" s="20" t="n">
        <v>0</v>
      </c>
      <c r="S62" s="18" t="n">
        <v>4.9906432</v>
      </c>
      <c r="T62" s="20" t="n">
        <v>0.89720085</v>
      </c>
    </row>
    <row r="63" spans="1:20">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5665</v>
      </c>
      <c r="C66" s="18">
        <f>(4978.0/B66*100)</f>
        <v/>
      </c>
      <c r="D66" s="19" t="n">
        <v>687</v>
      </c>
      <c r="E66" s="18" t="n">
        <v>28.57160555</v>
      </c>
      <c r="F66" s="20" t="n">
        <v>1.54476183</v>
      </c>
      <c r="G66" s="18" t="n">
        <v>9.25665162</v>
      </c>
      <c r="H66" s="20" t="n">
        <v>1.05722274</v>
      </c>
      <c r="I66" s="18" t="n">
        <v>15.78111406</v>
      </c>
      <c r="J66" s="20" t="n">
        <v>1.14639775</v>
      </c>
      <c r="K66" s="18" t="s">
        <v>349</v>
      </c>
      <c r="L66" s="20" t="s">
        <v>349</v>
      </c>
      <c r="M66" s="18" t="n">
        <v>13.5580949</v>
      </c>
      <c r="N66" s="20" t="n">
        <v>1.11540902</v>
      </c>
      <c r="O66" s="18" t="n">
        <v>0.29515247</v>
      </c>
      <c r="P66" s="20" t="n">
        <v>0.21029348</v>
      </c>
      <c r="Q66" s="18" t="n">
        <v>0</v>
      </c>
      <c r="R66" s="20" t="n">
        <v>0</v>
      </c>
      <c r="S66" s="18" t="n">
        <v>32.53738139</v>
      </c>
      <c r="T66" s="20" t="n">
        <v>1.96873913</v>
      </c>
    </row>
    <row r="67" spans="1:20">
      <c r="A67" s="15" t="s">
        <v>409</v>
      </c>
      <c r="B67" s="17" t="n">
        <v>6971</v>
      </c>
      <c r="C67" s="18">
        <f>(6227.0/B67*100)</f>
        <v/>
      </c>
      <c r="D67" s="19" t="n">
        <v>744</v>
      </c>
      <c r="E67" s="18" t="n">
        <v>54.83607161</v>
      </c>
      <c r="F67" s="20" t="n">
        <v>1.90082341</v>
      </c>
      <c r="G67" s="18" t="n">
        <v>5.45709999</v>
      </c>
      <c r="H67" s="20" t="n">
        <v>0.7473026</v>
      </c>
      <c r="I67" s="18" t="n">
        <v>10.21954258</v>
      </c>
      <c r="J67" s="20" t="n">
        <v>1.1232869</v>
      </c>
      <c r="K67" s="18" t="s">
        <v>349</v>
      </c>
      <c r="L67" s="20" t="s">
        <v>349</v>
      </c>
      <c r="M67" s="18" t="n">
        <v>5.05065286</v>
      </c>
      <c r="N67" s="20" t="n">
        <v>0.77229246</v>
      </c>
      <c r="O67" s="18" t="n">
        <v>0.10112803</v>
      </c>
      <c r="P67" s="20" t="n">
        <v>0.10145572</v>
      </c>
      <c r="Q67" s="18" t="n">
        <v>0</v>
      </c>
      <c r="R67" s="20" t="n">
        <v>0</v>
      </c>
      <c r="S67" s="18" t="n">
        <v>24.33550494</v>
      </c>
      <c r="T67" s="20" t="n">
        <v>1.7658527</v>
      </c>
    </row>
    <row r="68" spans="1:20">
      <c r="A68" s="15" t="s">
        <v>410</v>
      </c>
      <c r="B68" s="17" t="n">
        <v>12083</v>
      </c>
      <c r="C68" s="18">
        <f>(10083.0/B68*100)</f>
        <v/>
      </c>
      <c r="D68" s="19" t="n">
        <v>2000</v>
      </c>
      <c r="E68" s="18" t="n">
        <v>47.06703377</v>
      </c>
      <c r="F68" s="20" t="n">
        <v>0.92916957</v>
      </c>
      <c r="G68" s="18" t="n">
        <v>10.26090014</v>
      </c>
      <c r="H68" s="20" t="n">
        <v>0.71487204</v>
      </c>
      <c r="I68" s="18" t="n">
        <v>17.82155402</v>
      </c>
      <c r="J68" s="20" t="n">
        <v>0.97458672</v>
      </c>
      <c r="K68" s="18" t="s">
        <v>349</v>
      </c>
      <c r="L68" s="20" t="s">
        <v>349</v>
      </c>
      <c r="M68" s="18" t="n">
        <v>6.1040794</v>
      </c>
      <c r="N68" s="20" t="n">
        <v>0.53454444</v>
      </c>
      <c r="O68" s="18" t="n">
        <v>0</v>
      </c>
      <c r="P68" s="20" t="n">
        <v>0</v>
      </c>
      <c r="Q68" s="18" t="n">
        <v>0</v>
      </c>
      <c r="R68" s="20" t="n">
        <v>0</v>
      </c>
      <c r="S68" s="18" t="n">
        <v>18.74643267</v>
      </c>
      <c r="T68" s="20" t="n">
        <v>0.96942794</v>
      </c>
    </row>
    <row r="69" spans="1:20">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6036</v>
      </c>
      <c r="C70" s="18">
        <f>(5333.0/B70*100)</f>
        <v/>
      </c>
      <c r="D70" s="19" t="n">
        <v>703</v>
      </c>
      <c r="E70" s="18" t="n">
        <v>25.51496364</v>
      </c>
      <c r="F70" s="20" t="n">
        <v>2.21467915</v>
      </c>
      <c r="G70" s="18" t="n">
        <v>26.06089541</v>
      </c>
      <c r="H70" s="20" t="n">
        <v>1.52289083</v>
      </c>
      <c r="I70" s="18" t="n">
        <v>26.04654841</v>
      </c>
      <c r="J70" s="20" t="n">
        <v>1.89668347</v>
      </c>
      <c r="K70" s="18" t="s">
        <v>349</v>
      </c>
      <c r="L70" s="20" t="s">
        <v>349</v>
      </c>
      <c r="M70" s="18" t="n">
        <v>3.30820801</v>
      </c>
      <c r="N70" s="20" t="n">
        <v>0.62426152</v>
      </c>
      <c r="O70" s="18" t="n">
        <v>1.00080679</v>
      </c>
      <c r="P70" s="20" t="n">
        <v>0.33063523</v>
      </c>
      <c r="Q70" s="18" t="n">
        <v>0</v>
      </c>
      <c r="R70" s="20" t="n">
        <v>0</v>
      </c>
      <c r="S70" s="18" t="n">
        <v>18.06857775</v>
      </c>
      <c r="T70" s="20" t="n">
        <v>2.01220077</v>
      </c>
    </row>
    <row r="71" spans="1:20">
      <c r="A71" s="15" t="s">
        <v>413</v>
      </c>
      <c r="B71" s="17" t="n">
        <v>6115</v>
      </c>
      <c r="C71" s="18">
        <f>(5351.0/B71*100)</f>
        <v/>
      </c>
      <c r="D71" s="19" t="n">
        <v>764</v>
      </c>
      <c r="E71" s="18" t="n">
        <v>15.15215899</v>
      </c>
      <c r="F71" s="20" t="n">
        <v>1.16177555</v>
      </c>
      <c r="G71" s="18" t="n">
        <v>17.95433917</v>
      </c>
      <c r="H71" s="20" t="n">
        <v>1.39610117</v>
      </c>
      <c r="I71" s="18" t="n">
        <v>60.41156631</v>
      </c>
      <c r="J71" s="20" t="n">
        <v>1.66634224</v>
      </c>
      <c r="K71" s="18" t="s">
        <v>349</v>
      </c>
      <c r="L71" s="20" t="s">
        <v>349</v>
      </c>
      <c r="M71" s="18" t="n">
        <v>1.01841885</v>
      </c>
      <c r="N71" s="20" t="n">
        <v>0.43486149</v>
      </c>
      <c r="O71" s="18" t="n">
        <v>0</v>
      </c>
      <c r="P71" s="20" t="n">
        <v>0</v>
      </c>
      <c r="Q71" s="18" t="n">
        <v>0</v>
      </c>
      <c r="R71" s="20" t="n">
        <v>0</v>
      </c>
      <c r="S71" s="18" t="n">
        <v>5.46351667</v>
      </c>
      <c r="T71" s="20" t="n">
        <v>0.8289617500000001</v>
      </c>
    </row>
    <row r="72" spans="1:20">
      <c r="A72" s="15" t="s">
        <v>414</v>
      </c>
      <c r="B72" s="17" t="n">
        <v>7708</v>
      </c>
      <c r="C72" s="18">
        <f>(6749.0/B72*100)</f>
        <v/>
      </c>
      <c r="D72" s="19" t="n">
        <v>959</v>
      </c>
      <c r="E72" s="18" t="n">
        <v>22.84339027</v>
      </c>
      <c r="F72" s="20" t="n">
        <v>1.30446149</v>
      </c>
      <c r="G72" s="18" t="n">
        <v>7.97438327</v>
      </c>
      <c r="H72" s="20" t="n">
        <v>0.90143671</v>
      </c>
      <c r="I72" s="18" t="n">
        <v>56.96860595</v>
      </c>
      <c r="J72" s="20" t="n">
        <v>1.65926514</v>
      </c>
      <c r="K72" s="18" t="s">
        <v>349</v>
      </c>
      <c r="L72" s="20" t="s">
        <v>349</v>
      </c>
      <c r="M72" s="18" t="n">
        <v>2.06407128</v>
      </c>
      <c r="N72" s="20" t="n">
        <v>0.5121539899999999</v>
      </c>
      <c r="O72" s="18" t="n">
        <v>0</v>
      </c>
      <c r="P72" s="20" t="n">
        <v>0</v>
      </c>
      <c r="Q72" s="18" t="n">
        <v>0</v>
      </c>
      <c r="R72" s="20" t="n">
        <v>0</v>
      </c>
      <c r="S72" s="18" t="n">
        <v>10.14954924</v>
      </c>
      <c r="T72" s="20" t="n">
        <v>0.92338362</v>
      </c>
    </row>
    <row r="73" spans="1:20">
      <c r="A73" s="15" t="s">
        <v>415</v>
      </c>
      <c r="B73" s="17" t="n">
        <v>8249</v>
      </c>
      <c r="C73" s="18">
        <f>(7290.0/B73*100)</f>
        <v/>
      </c>
      <c r="D73" s="19" t="n">
        <v>959</v>
      </c>
      <c r="E73" s="18" t="n">
        <v>72.30954250000001</v>
      </c>
      <c r="F73" s="20" t="n">
        <v>1.85346201</v>
      </c>
      <c r="G73" s="18" t="n">
        <v>7.37236008</v>
      </c>
      <c r="H73" s="20" t="n">
        <v>1.07865387</v>
      </c>
      <c r="I73" s="18" t="n">
        <v>14.56204862</v>
      </c>
      <c r="J73" s="20" t="n">
        <v>1.41952605</v>
      </c>
      <c r="K73" s="18" t="s">
        <v>349</v>
      </c>
      <c r="L73" s="20" t="s">
        <v>349</v>
      </c>
      <c r="M73" s="18" t="n">
        <v>1.02630633</v>
      </c>
      <c r="N73" s="20" t="n">
        <v>0.51653259</v>
      </c>
      <c r="O73" s="18" t="n">
        <v>0.44840734</v>
      </c>
      <c r="P73" s="20" t="n">
        <v>0.30757698</v>
      </c>
      <c r="Q73" s="18" t="n">
        <v>0</v>
      </c>
      <c r="R73" s="20" t="n">
        <v>0</v>
      </c>
      <c r="S73" s="18" t="n">
        <v>4.28133513</v>
      </c>
      <c r="T73" s="20" t="n">
        <v>0.79580681</v>
      </c>
    </row>
    <row r="74" spans="1:20">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5375</v>
      </c>
      <c r="C75" s="18">
        <f>(4753.0/B75*100)</f>
        <v/>
      </c>
      <c r="D75" s="19" t="n">
        <v>622</v>
      </c>
      <c r="E75" s="18" t="n">
        <v>36.38039103</v>
      </c>
      <c r="F75" s="20" t="n">
        <v>2.01499372</v>
      </c>
      <c r="G75" s="18" t="n">
        <v>7.05054736</v>
      </c>
      <c r="H75" s="20" t="n">
        <v>1.01359929</v>
      </c>
      <c r="I75" s="18" t="n">
        <v>5.89898227</v>
      </c>
      <c r="J75" s="20" t="n">
        <v>0.99407733</v>
      </c>
      <c r="K75" s="18" t="s">
        <v>349</v>
      </c>
      <c r="L75" s="20" t="s">
        <v>349</v>
      </c>
      <c r="M75" s="18" t="n">
        <v>8.798280460000001</v>
      </c>
      <c r="N75" s="20" t="n">
        <v>1.23897178</v>
      </c>
      <c r="O75" s="18" t="n">
        <v>0.31551615</v>
      </c>
      <c r="P75" s="20" t="n">
        <v>0.23486618</v>
      </c>
      <c r="Q75" s="18" t="n">
        <v>0</v>
      </c>
      <c r="R75" s="20" t="n">
        <v>0</v>
      </c>
      <c r="S75" s="18" t="n">
        <v>41.55628273</v>
      </c>
      <c r="T75" s="20" t="n">
        <v>2.08613037</v>
      </c>
    </row>
    <row r="76" spans="1:20">
      <c r="A76" s="15" t="s">
        <v>418</v>
      </c>
      <c r="B76" s="17" t="n">
        <v>14167</v>
      </c>
      <c r="C76" s="18">
        <f>(12432.0/B76*100)</f>
        <v/>
      </c>
      <c r="D76" s="19" t="n">
        <v>1735</v>
      </c>
      <c r="E76" s="18" t="n">
        <v>52.66190695</v>
      </c>
      <c r="F76" s="20" t="n">
        <v>1.78074539</v>
      </c>
      <c r="G76" s="18" t="n">
        <v>10.92124612</v>
      </c>
      <c r="H76" s="20" t="n">
        <v>0.97314069</v>
      </c>
      <c r="I76" s="18" t="n">
        <v>22.45767902</v>
      </c>
      <c r="J76" s="20" t="n">
        <v>1.20188781</v>
      </c>
      <c r="K76" s="18" t="s">
        <v>349</v>
      </c>
      <c r="L76" s="20" t="s">
        <v>349</v>
      </c>
      <c r="M76" s="18" t="n">
        <v>3.3358852</v>
      </c>
      <c r="N76" s="20" t="n">
        <v>0.5738712500000001</v>
      </c>
      <c r="O76" s="18" t="n">
        <v>0.07202714</v>
      </c>
      <c r="P76" s="20" t="n">
        <v>0.05196777</v>
      </c>
      <c r="Q76" s="18" t="n">
        <v>0</v>
      </c>
      <c r="R76" s="20" t="n">
        <v>0</v>
      </c>
      <c r="S76" s="18" t="n">
        <v>10.55125558</v>
      </c>
      <c r="T76" s="20" t="n">
        <v>1.05195065</v>
      </c>
    </row>
    <row r="77" spans="1:20">
      <c r="A77" s="15" t="s">
        <v>419</v>
      </c>
      <c r="B77" s="17" t="n">
        <v>6062</v>
      </c>
      <c r="C77" s="18">
        <f>(5334.0/B77*100)</f>
        <v/>
      </c>
      <c r="D77" s="19" t="n">
        <v>728</v>
      </c>
      <c r="E77" s="18" t="n">
        <v>39.83364647</v>
      </c>
      <c r="F77" s="20" t="n">
        <v>1.99587442</v>
      </c>
      <c r="G77" s="18" t="n">
        <v>10.39082578</v>
      </c>
      <c r="H77" s="20" t="n">
        <v>1.02508193</v>
      </c>
      <c r="I77" s="18" t="n">
        <v>11.44519015</v>
      </c>
      <c r="J77" s="20" t="n">
        <v>1.05553378</v>
      </c>
      <c r="K77" s="18" t="s">
        <v>349</v>
      </c>
      <c r="L77" s="20" t="s">
        <v>349</v>
      </c>
      <c r="M77" s="18" t="n">
        <v>10.37906655</v>
      </c>
      <c r="N77" s="20" t="n">
        <v>1.33046442</v>
      </c>
      <c r="O77" s="18" t="n">
        <v>1.21996366</v>
      </c>
      <c r="P77" s="20" t="n">
        <v>0.35875492</v>
      </c>
      <c r="Q77" s="18" t="n">
        <v>0</v>
      </c>
      <c r="R77" s="20" t="n">
        <v>0</v>
      </c>
      <c r="S77" s="18" t="n">
        <v>26.73130739</v>
      </c>
      <c r="T77" s="20" t="n">
        <v>1.66600741</v>
      </c>
    </row>
    <row r="78" spans="1:20">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(7777.0/B81*100)</f>
        <v/>
      </c>
      <c r="D81" s="19" t="n">
        <v>1084</v>
      </c>
      <c r="E81" s="18" t="n">
        <v>55.26002578</v>
      </c>
      <c r="F81" s="20" t="n">
        <v>2.09893405</v>
      </c>
      <c r="G81" s="18" t="n">
        <v>23.8138779</v>
      </c>
      <c r="H81" s="20" t="n">
        <v>1.60963659</v>
      </c>
      <c r="I81" s="18" t="n">
        <v>13.26180509</v>
      </c>
      <c r="J81" s="20" t="n">
        <v>1.55946422</v>
      </c>
      <c r="K81" s="18" t="s">
        <v>349</v>
      </c>
      <c r="L81" s="20" t="s">
        <v>349</v>
      </c>
      <c r="M81" s="18" t="n">
        <v>1.10781839</v>
      </c>
      <c r="N81" s="20" t="n">
        <v>0.3741902</v>
      </c>
      <c r="O81" s="18" t="n">
        <v>0</v>
      </c>
      <c r="P81" s="20" t="n">
        <v>0</v>
      </c>
      <c r="Q81" s="18" t="n">
        <v>0</v>
      </c>
      <c r="R81" s="20" t="n">
        <v>0</v>
      </c>
      <c r="S81" s="18" t="n">
        <v>6.55647284</v>
      </c>
      <c r="T81" s="20" t="n">
        <v>1.1172692</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(12813.0/B7*100)</f>
        <v/>
      </c>
      <c r="D7" s="19" t="n">
        <v>1717</v>
      </c>
      <c r="E7" s="18" t="n">
        <v>83.80488977</v>
      </c>
      <c r="F7" s="20" t="n">
        <v>1.10688469</v>
      </c>
      <c r="G7" s="18" t="n">
        <v>11.02895977</v>
      </c>
      <c r="H7" s="20" t="n">
        <v>0.92871277</v>
      </c>
      <c r="I7" s="18" t="s">
        <v>349</v>
      </c>
      <c r="J7" s="20" t="s">
        <v>349</v>
      </c>
      <c r="K7" s="18" t="n">
        <v>5.15854156</v>
      </c>
      <c r="L7" s="20" t="n">
        <v>0.57818433</v>
      </c>
      <c r="M7" s="18" t="n">
        <v>0.00760889</v>
      </c>
      <c r="N7" s="20" t="n">
        <v>0.00763721</v>
      </c>
      <c r="O7" s="18" t="n">
        <v>0</v>
      </c>
      <c r="P7" s="20" t="n">
        <v>0</v>
      </c>
      <c r="Q7" s="18" t="n">
        <v>0</v>
      </c>
      <c r="R7" s="20" t="n">
        <v>0</v>
      </c>
    </row>
    <row r="8" spans="1:18">
      <c r="A8" s="15" t="s">
        <v>350</v>
      </c>
      <c r="B8" s="17" t="n">
        <v>7007</v>
      </c>
      <c r="C8" s="18">
        <f>(6125.0/B8*100)</f>
        <v/>
      </c>
      <c r="D8" s="19" t="n">
        <v>882</v>
      </c>
      <c r="E8" s="18" t="n">
        <v>76.78999211999999</v>
      </c>
      <c r="F8" s="20" t="n">
        <v>1.41226908</v>
      </c>
      <c r="G8" s="18" t="n">
        <v>13.76916981</v>
      </c>
      <c r="H8" s="20" t="n">
        <v>1.06790136</v>
      </c>
      <c r="I8" s="18" t="s">
        <v>349</v>
      </c>
      <c r="J8" s="20" t="s">
        <v>349</v>
      </c>
      <c r="K8" s="18" t="n">
        <v>9.440838080000001</v>
      </c>
      <c r="L8" s="20" t="n">
        <v>0.95457669</v>
      </c>
      <c r="M8" s="18" t="n">
        <v>0</v>
      </c>
      <c r="N8" s="20" t="n">
        <v>0</v>
      </c>
      <c r="O8" s="18" t="n">
        <v>0</v>
      </c>
      <c r="P8" s="20" t="n">
        <v>0</v>
      </c>
      <c r="Q8" s="18" t="n">
        <v>0</v>
      </c>
      <c r="R8" s="20" t="n">
        <v>0</v>
      </c>
    </row>
    <row r="9" spans="1:18">
      <c r="A9" s="15" t="s">
        <v>351</v>
      </c>
      <c r="B9" s="17" t="n">
        <v>9651</v>
      </c>
      <c r="C9" s="18">
        <f>(8531.0/B9*100)</f>
        <v/>
      </c>
      <c r="D9" s="19" t="n">
        <v>1120</v>
      </c>
      <c r="E9" s="18" t="n">
        <v>80.39741425</v>
      </c>
      <c r="F9" s="20" t="n">
        <v>1.34836017</v>
      </c>
      <c r="G9" s="18" t="n">
        <v>12.41776259</v>
      </c>
      <c r="H9" s="20" t="n">
        <v>0.95098443</v>
      </c>
      <c r="I9" s="18" t="s">
        <v>349</v>
      </c>
      <c r="J9" s="20" t="s">
        <v>349</v>
      </c>
      <c r="K9" s="18" t="n">
        <v>7.11658819</v>
      </c>
      <c r="L9" s="20" t="n">
        <v>0.85177505</v>
      </c>
      <c r="M9" s="18" t="n">
        <v>0.06823498</v>
      </c>
      <c r="N9" s="20" t="n">
        <v>0.06891638999999999</v>
      </c>
      <c r="O9" s="18" t="n">
        <v>0</v>
      </c>
      <c r="P9" s="20" t="n">
        <v>0</v>
      </c>
      <c r="Q9" s="18" t="n">
        <v>0</v>
      </c>
      <c r="R9" s="20" t="n">
        <v>0</v>
      </c>
    </row>
    <row r="10" spans="1:18">
      <c r="A10" s="15" t="s">
        <v>352</v>
      </c>
      <c r="B10" s="17" t="n">
        <v>20058</v>
      </c>
      <c r="C10" s="18">
        <f>(17604.0/B10*100)</f>
        <v/>
      </c>
      <c r="D10" s="19" t="n">
        <v>2454</v>
      </c>
      <c r="E10" s="18" t="n">
        <v>78.96376300999999</v>
      </c>
      <c r="F10" s="20" t="n">
        <v>1.24851472</v>
      </c>
      <c r="G10" s="18" t="n">
        <v>16.07451559</v>
      </c>
      <c r="H10" s="20" t="n">
        <v>1.12411704</v>
      </c>
      <c r="I10" s="18" t="s">
        <v>349</v>
      </c>
      <c r="J10" s="20" t="s">
        <v>349</v>
      </c>
      <c r="K10" s="18" t="n">
        <v>4.91103218</v>
      </c>
      <c r="L10" s="20" t="n">
        <v>0.6067837699999999</v>
      </c>
      <c r="M10" s="18" t="n">
        <v>0.05068922</v>
      </c>
      <c r="N10" s="20" t="n">
        <v>0.02406334</v>
      </c>
      <c r="O10" s="18" t="n">
        <v>0</v>
      </c>
      <c r="P10" s="20" t="n">
        <v>0</v>
      </c>
      <c r="Q10" s="18" t="n">
        <v>0</v>
      </c>
      <c r="R10" s="20" t="n">
        <v>0</v>
      </c>
    </row>
    <row r="11" spans="1:18">
      <c r="A11" s="15" t="s">
        <v>353</v>
      </c>
      <c r="B11" s="17" t="n">
        <v>7053</v>
      </c>
      <c r="C11" s="18">
        <f>(6205.0/B11*100)</f>
        <v/>
      </c>
      <c r="D11" s="19" t="n">
        <v>848</v>
      </c>
      <c r="E11" s="18" t="n">
        <v>80.01536566</v>
      </c>
      <c r="F11" s="20" t="n">
        <v>1.67405675</v>
      </c>
      <c r="G11" s="18" t="n">
        <v>4.19644807</v>
      </c>
      <c r="H11" s="20" t="n">
        <v>0.80496637</v>
      </c>
      <c r="I11" s="18" t="s">
        <v>349</v>
      </c>
      <c r="J11" s="20" t="s">
        <v>349</v>
      </c>
      <c r="K11" s="18" t="n">
        <v>15.78818627</v>
      </c>
      <c r="L11" s="20" t="n">
        <v>1.44942305</v>
      </c>
      <c r="M11" s="18" t="n">
        <v>0</v>
      </c>
      <c r="N11" s="20" t="n">
        <v>0</v>
      </c>
      <c r="O11" s="18" t="n">
        <v>0</v>
      </c>
      <c r="P11" s="20" t="n">
        <v>0</v>
      </c>
      <c r="Q11" s="18" t="n">
        <v>0</v>
      </c>
      <c r="R11" s="20" t="n">
        <v>0</v>
      </c>
    </row>
    <row r="12" spans="1:18">
      <c r="A12" s="15" t="s">
        <v>354</v>
      </c>
      <c r="B12" s="17" t="n">
        <v>6894</v>
      </c>
      <c r="C12" s="18">
        <f>(6064.0/B12*100)</f>
        <v/>
      </c>
      <c r="D12" s="19" t="n">
        <v>830</v>
      </c>
      <c r="E12" s="18" t="n">
        <v>80.42259926</v>
      </c>
      <c r="F12" s="20" t="n">
        <v>1.56697767</v>
      </c>
      <c r="G12" s="18" t="n">
        <v>11.64988556</v>
      </c>
      <c r="H12" s="20" t="n">
        <v>1.31162171</v>
      </c>
      <c r="I12" s="18" t="s">
        <v>349</v>
      </c>
      <c r="J12" s="20" t="s">
        <v>349</v>
      </c>
      <c r="K12" s="18" t="n">
        <v>7.82941088</v>
      </c>
      <c r="L12" s="20" t="n">
        <v>1.2828017</v>
      </c>
      <c r="M12" s="18" t="n">
        <v>0.09810429</v>
      </c>
      <c r="N12" s="20" t="n">
        <v>0.09972336</v>
      </c>
      <c r="O12" s="18" t="n">
        <v>0</v>
      </c>
      <c r="P12" s="20" t="n">
        <v>0</v>
      </c>
      <c r="Q12" s="18" t="n">
        <v>0</v>
      </c>
      <c r="R12" s="20" t="n">
        <v>0</v>
      </c>
    </row>
    <row r="13" spans="1:18">
      <c r="A13" s="15" t="s">
        <v>355</v>
      </c>
      <c r="B13" s="17" t="n">
        <v>7161</v>
      </c>
      <c r="C13" s="18">
        <f>(6334.0/B13*100)</f>
        <v/>
      </c>
      <c r="D13" s="19" t="n">
        <v>827</v>
      </c>
      <c r="E13" s="18" t="n">
        <v>81.07301888000001</v>
      </c>
      <c r="F13" s="20" t="n">
        <v>1.78451341</v>
      </c>
      <c r="G13" s="18" t="n">
        <v>12.73939804</v>
      </c>
      <c r="H13" s="20" t="n">
        <v>1.30932828</v>
      </c>
      <c r="I13" s="18" t="s">
        <v>349</v>
      </c>
      <c r="J13" s="20" t="s">
        <v>349</v>
      </c>
      <c r="K13" s="18" t="n">
        <v>6.07581101</v>
      </c>
      <c r="L13" s="20" t="n">
        <v>1.02335097</v>
      </c>
      <c r="M13" s="18" t="n">
        <v>0.11177207</v>
      </c>
      <c r="N13" s="20" t="n">
        <v>0.11341473</v>
      </c>
      <c r="O13" s="18" t="n">
        <v>0</v>
      </c>
      <c r="P13" s="20" t="n">
        <v>0</v>
      </c>
      <c r="Q13" s="18" t="n">
        <v>0</v>
      </c>
      <c r="R13" s="20" t="n">
        <v>0</v>
      </c>
    </row>
    <row r="14" spans="1:18">
      <c r="A14" s="15" t="s">
        <v>356</v>
      </c>
      <c r="B14" s="17" t="n">
        <v>5587</v>
      </c>
      <c r="C14" s="18">
        <f>(4918.0/B14*100)</f>
        <v/>
      </c>
      <c r="D14" s="19" t="n">
        <v>669</v>
      </c>
      <c r="E14" s="18" t="n">
        <v>75.80124153</v>
      </c>
      <c r="F14" s="20" t="n">
        <v>1.91797401</v>
      </c>
      <c r="G14" s="18" t="n">
        <v>18.27048183</v>
      </c>
      <c r="H14" s="20" t="n">
        <v>1.65878754</v>
      </c>
      <c r="I14" s="18" t="s">
        <v>349</v>
      </c>
      <c r="J14" s="20" t="s">
        <v>349</v>
      </c>
      <c r="K14" s="18" t="n">
        <v>5.92827664</v>
      </c>
      <c r="L14" s="20" t="n">
        <v>1.02277143</v>
      </c>
      <c r="M14" s="18" t="n">
        <v>0</v>
      </c>
      <c r="N14" s="20" t="n">
        <v>0</v>
      </c>
      <c r="O14" s="18" t="n">
        <v>0</v>
      </c>
      <c r="P14" s="20" t="n">
        <v>0</v>
      </c>
      <c r="Q14" s="18" t="n">
        <v>0</v>
      </c>
      <c r="R14" s="20" t="n">
        <v>0</v>
      </c>
    </row>
    <row r="15" spans="1:18">
      <c r="A15" s="15" t="s">
        <v>357</v>
      </c>
      <c r="B15" s="17" t="n">
        <v>5882</v>
      </c>
      <c r="C15" s="18">
        <f>(5184.0/B15*100)</f>
        <v/>
      </c>
      <c r="D15" s="19" t="n">
        <v>698</v>
      </c>
      <c r="E15" s="18" t="n">
        <v>76.49424157</v>
      </c>
      <c r="F15" s="20" t="n">
        <v>1.85825987</v>
      </c>
      <c r="G15" s="18" t="n">
        <v>13.74831741</v>
      </c>
      <c r="H15" s="20" t="n">
        <v>1.49214058</v>
      </c>
      <c r="I15" s="18" t="s">
        <v>349</v>
      </c>
      <c r="J15" s="20" t="s">
        <v>349</v>
      </c>
      <c r="K15" s="18" t="n">
        <v>9.757441030000001</v>
      </c>
      <c r="L15" s="20" t="n">
        <v>1.3541886</v>
      </c>
      <c r="M15" s="18" t="n">
        <v>0</v>
      </c>
      <c r="N15" s="20" t="n">
        <v>0</v>
      </c>
      <c r="O15" s="18" t="n">
        <v>0</v>
      </c>
      <c r="P15" s="20" t="n">
        <v>0</v>
      </c>
      <c r="Q15" s="18" t="n">
        <v>0</v>
      </c>
      <c r="R15" s="20" t="n">
        <v>0</v>
      </c>
    </row>
    <row r="16" spans="1:18">
      <c r="A16" s="15" t="s">
        <v>358</v>
      </c>
      <c r="B16" s="17" t="n">
        <v>6108</v>
      </c>
      <c r="C16" s="18">
        <f>(5368.0/B16*100)</f>
        <v/>
      </c>
      <c r="D16" s="19" t="n">
        <v>740</v>
      </c>
      <c r="E16" s="18" t="n">
        <v>76.864946</v>
      </c>
      <c r="F16" s="20" t="n">
        <v>1.54688362</v>
      </c>
      <c r="G16" s="18" t="n">
        <v>9.436224259999999</v>
      </c>
      <c r="H16" s="20" t="n">
        <v>1.0557645</v>
      </c>
      <c r="I16" s="18" t="s">
        <v>349</v>
      </c>
      <c r="J16" s="20" t="s">
        <v>349</v>
      </c>
      <c r="K16" s="18" t="n">
        <v>13.69882975</v>
      </c>
      <c r="L16" s="20" t="n">
        <v>1.31325048</v>
      </c>
      <c r="M16" s="18" t="n">
        <v>0</v>
      </c>
      <c r="N16" s="20" t="n">
        <v>0</v>
      </c>
      <c r="O16" s="18" t="n">
        <v>0</v>
      </c>
      <c r="P16" s="20" t="n">
        <v>0</v>
      </c>
      <c r="Q16" s="18" t="n">
        <v>0</v>
      </c>
      <c r="R16" s="20" t="n">
        <v>0</v>
      </c>
    </row>
    <row r="17" spans="1:18">
      <c r="A17" s="15" t="s">
        <v>359</v>
      </c>
      <c r="B17" s="17" t="n">
        <v>6504</v>
      </c>
      <c r="C17" s="18">
        <f>(5730.0/B17*100)</f>
        <v/>
      </c>
      <c r="D17" s="19" t="n">
        <v>774</v>
      </c>
      <c r="E17" s="18" t="n">
        <v>78.35788678999999</v>
      </c>
      <c r="F17" s="20" t="n">
        <v>1.34371012</v>
      </c>
      <c r="G17" s="18" t="n">
        <v>12.49855985</v>
      </c>
      <c r="H17" s="20" t="n">
        <v>1.2512306</v>
      </c>
      <c r="I17" s="18" t="s">
        <v>349</v>
      </c>
      <c r="J17" s="20" t="s">
        <v>349</v>
      </c>
      <c r="K17" s="18" t="n">
        <v>9.14355336</v>
      </c>
      <c r="L17" s="20" t="n">
        <v>0.97478625</v>
      </c>
      <c r="M17" s="18" t="n">
        <v>0</v>
      </c>
      <c r="N17" s="20" t="n">
        <v>0</v>
      </c>
      <c r="O17" s="18" t="n">
        <v>0</v>
      </c>
      <c r="P17" s="20" t="n">
        <v>0</v>
      </c>
      <c r="Q17" s="18" t="n">
        <v>0</v>
      </c>
      <c r="R17" s="20" t="n">
        <v>0</v>
      </c>
    </row>
    <row r="18" spans="1:18">
      <c r="A18" s="15" t="s">
        <v>360</v>
      </c>
      <c r="B18" s="17" t="n">
        <v>5532</v>
      </c>
      <c r="C18" s="18">
        <f>(4864.0/B18*100)</f>
        <v/>
      </c>
      <c r="D18" s="19" t="n">
        <v>668</v>
      </c>
      <c r="E18" s="18" t="n">
        <v>86.9623661</v>
      </c>
      <c r="F18" s="20" t="n">
        <v>1.34139549</v>
      </c>
      <c r="G18" s="18" t="n">
        <v>5.58610893</v>
      </c>
      <c r="H18" s="20" t="n">
        <v>0.8722368700000001</v>
      </c>
      <c r="I18" s="18" t="s">
        <v>349</v>
      </c>
      <c r="J18" s="20" t="s">
        <v>349</v>
      </c>
      <c r="K18" s="18" t="n">
        <v>7.45152497</v>
      </c>
      <c r="L18" s="20" t="n">
        <v>1.26790905</v>
      </c>
      <c r="M18" s="18" t="n">
        <v>0</v>
      </c>
      <c r="N18" s="20" t="n">
        <v>0</v>
      </c>
      <c r="O18" s="18" t="n">
        <v>0</v>
      </c>
      <c r="P18" s="20" t="n">
        <v>0</v>
      </c>
      <c r="Q18" s="18" t="n">
        <v>0</v>
      </c>
      <c r="R18" s="20" t="n">
        <v>0</v>
      </c>
    </row>
    <row r="19" spans="1:18">
      <c r="A19" s="15" t="s">
        <v>361</v>
      </c>
      <c r="B19" s="17" t="n">
        <v>5658</v>
      </c>
      <c r="C19" s="18">
        <f>(4976.0/B19*100)</f>
        <v/>
      </c>
      <c r="D19" s="19" t="n">
        <v>682</v>
      </c>
      <c r="E19" s="18" t="n">
        <v>85.5130013</v>
      </c>
      <c r="F19" s="20" t="n">
        <v>1.27886123</v>
      </c>
      <c r="G19" s="18" t="n">
        <v>6.58128224</v>
      </c>
      <c r="H19" s="20" t="n">
        <v>0.9233086700000001</v>
      </c>
      <c r="I19" s="18" t="s">
        <v>349</v>
      </c>
      <c r="J19" s="20" t="s">
        <v>349</v>
      </c>
      <c r="K19" s="18" t="n">
        <v>7.90571646</v>
      </c>
      <c r="L19" s="20" t="n">
        <v>1.08724326</v>
      </c>
      <c r="M19" s="18" t="n">
        <v>0</v>
      </c>
      <c r="N19" s="20" t="n">
        <v>0</v>
      </c>
      <c r="O19" s="18" t="n">
        <v>0</v>
      </c>
      <c r="P19" s="20" t="n">
        <v>0</v>
      </c>
      <c r="Q19" s="18" t="n">
        <v>0</v>
      </c>
      <c r="R19" s="20" t="n">
        <v>0</v>
      </c>
    </row>
    <row r="20" spans="1:18">
      <c r="A20" s="15" t="s">
        <v>362</v>
      </c>
      <c r="B20" s="17" t="n">
        <v>3371</v>
      </c>
      <c r="C20" s="18">
        <f>(2961.0/B20*100)</f>
        <v/>
      </c>
      <c r="D20" s="19" t="n">
        <v>410</v>
      </c>
      <c r="E20" s="18" t="n">
        <v>85.42554961</v>
      </c>
      <c r="F20" s="20" t="n">
        <v>1.6496835</v>
      </c>
      <c r="G20" s="18" t="n">
        <v>8.509878049999999</v>
      </c>
      <c r="H20" s="20" t="n">
        <v>1.44410845</v>
      </c>
      <c r="I20" s="18" t="s">
        <v>349</v>
      </c>
      <c r="J20" s="20" t="s">
        <v>349</v>
      </c>
      <c r="K20" s="18" t="n">
        <v>5.68849921</v>
      </c>
      <c r="L20" s="20" t="n">
        <v>1.0769155</v>
      </c>
      <c r="M20" s="18" t="n">
        <v>0.37607313</v>
      </c>
      <c r="N20" s="20" t="n">
        <v>0.27476973</v>
      </c>
      <c r="O20" s="18" t="n">
        <v>0</v>
      </c>
      <c r="P20" s="20" t="n">
        <v>0</v>
      </c>
      <c r="Q20" s="18" t="n">
        <v>0</v>
      </c>
      <c r="R20" s="20" t="n">
        <v>0</v>
      </c>
    </row>
    <row r="21" spans="1:18">
      <c r="A21" s="15" t="s">
        <v>363</v>
      </c>
      <c r="B21" s="17" t="n">
        <v>5741</v>
      </c>
      <c r="C21" s="18">
        <f>(4762.0/B21*100)</f>
        <v/>
      </c>
      <c r="D21" s="19" t="n">
        <v>979</v>
      </c>
      <c r="E21" s="18" t="n">
        <v>85.47581907999999</v>
      </c>
      <c r="F21" s="20" t="n">
        <v>1.06372398</v>
      </c>
      <c r="G21" s="18" t="n">
        <v>10.19302932</v>
      </c>
      <c r="H21" s="20" t="n">
        <v>0.99214711</v>
      </c>
      <c r="I21" s="18" t="s">
        <v>349</v>
      </c>
      <c r="J21" s="20" t="s">
        <v>349</v>
      </c>
      <c r="K21" s="18" t="n">
        <v>4.20801186</v>
      </c>
      <c r="L21" s="20" t="n">
        <v>0.57722875</v>
      </c>
      <c r="M21" s="18" t="n">
        <v>0.12313973</v>
      </c>
      <c r="N21" s="20" t="n">
        <v>0.12348607</v>
      </c>
      <c r="O21" s="18" t="n">
        <v>0</v>
      </c>
      <c r="P21" s="20" t="n">
        <v>0</v>
      </c>
      <c r="Q21" s="18" t="n">
        <v>0</v>
      </c>
      <c r="R21" s="20" t="n">
        <v>0</v>
      </c>
    </row>
    <row r="22" spans="1:18">
      <c r="A22" s="15" t="s">
        <v>364</v>
      </c>
      <c r="B22" s="17" t="n">
        <v>6598</v>
      </c>
      <c r="C22" s="18">
        <f>(5761.0/B22*100)</f>
        <v/>
      </c>
      <c r="D22" s="19" t="n">
        <v>837</v>
      </c>
      <c r="E22" s="18" t="n">
        <v>82.9536135</v>
      </c>
      <c r="F22" s="20" t="n">
        <v>1.45698094</v>
      </c>
      <c r="G22" s="18" t="n">
        <v>6.65371386</v>
      </c>
      <c r="H22" s="20" t="n">
        <v>0.99827727</v>
      </c>
      <c r="I22" s="18" t="s">
        <v>349</v>
      </c>
      <c r="J22" s="20" t="s">
        <v>349</v>
      </c>
      <c r="K22" s="18" t="n">
        <v>10.39267264</v>
      </c>
      <c r="L22" s="20" t="n">
        <v>1.18528594</v>
      </c>
      <c r="M22" s="18" t="n">
        <v>0</v>
      </c>
      <c r="N22" s="20" t="n">
        <v>0</v>
      </c>
      <c r="O22" s="18" t="n">
        <v>0</v>
      </c>
      <c r="P22" s="20" t="n">
        <v>0</v>
      </c>
      <c r="Q22" s="18" t="n">
        <v>0</v>
      </c>
      <c r="R22" s="20" t="n">
        <v>0</v>
      </c>
    </row>
    <row r="23" spans="1:18">
      <c r="A23" s="15" t="s">
        <v>365</v>
      </c>
      <c r="B23" s="17" t="n">
        <v>11583</v>
      </c>
      <c r="C23" s="18">
        <f>(10190.0/B23*100)</f>
        <v/>
      </c>
      <c r="D23" s="19" t="n">
        <v>1393</v>
      </c>
      <c r="E23" s="18" t="n">
        <v>79.76400446</v>
      </c>
      <c r="F23" s="20" t="n">
        <v>1.3332349</v>
      </c>
      <c r="G23" s="18" t="n">
        <v>9.82167068</v>
      </c>
      <c r="H23" s="20" t="n">
        <v>0.98601789</v>
      </c>
      <c r="I23" s="18" t="s">
        <v>349</v>
      </c>
      <c r="J23" s="20" t="s">
        <v>349</v>
      </c>
      <c r="K23" s="18" t="n">
        <v>10.23984466</v>
      </c>
      <c r="L23" s="20" t="n">
        <v>1.0757966</v>
      </c>
      <c r="M23" s="18" t="n">
        <v>0.1744802</v>
      </c>
      <c r="N23" s="20" t="n">
        <v>0.18705888</v>
      </c>
      <c r="O23" s="18" t="n">
        <v>0</v>
      </c>
      <c r="P23" s="20" t="n">
        <v>0</v>
      </c>
      <c r="Q23" s="18" t="n">
        <v>0</v>
      </c>
      <c r="R23" s="20" t="n">
        <v>0</v>
      </c>
    </row>
    <row r="24" spans="1:18">
      <c r="A24" s="15" t="s">
        <v>366</v>
      </c>
      <c r="B24" s="17" t="n">
        <v>6647</v>
      </c>
      <c r="C24" s="18">
        <f>(5854.0/B24*100)</f>
        <v/>
      </c>
      <c r="D24" s="19" t="n">
        <v>793</v>
      </c>
      <c r="E24" s="18" t="n">
        <v>83.09129278</v>
      </c>
      <c r="F24" s="20" t="n">
        <v>1.19370683</v>
      </c>
      <c r="G24" s="18" t="n">
        <v>11.6319742</v>
      </c>
      <c r="H24" s="20" t="n">
        <v>1.08375487</v>
      </c>
      <c r="I24" s="18" t="s">
        <v>349</v>
      </c>
      <c r="J24" s="20" t="s">
        <v>349</v>
      </c>
      <c r="K24" s="18" t="n">
        <v>5.27673303</v>
      </c>
      <c r="L24" s="20" t="n">
        <v>0.89188047</v>
      </c>
      <c r="M24" s="18" t="n">
        <v>0</v>
      </c>
      <c r="N24" s="20" t="n">
        <v>0</v>
      </c>
      <c r="O24" s="18" t="n">
        <v>0</v>
      </c>
      <c r="P24" s="20" t="n">
        <v>0</v>
      </c>
      <c r="Q24" s="18" t="n">
        <v>0</v>
      </c>
      <c r="R24" s="20" t="n">
        <v>0</v>
      </c>
    </row>
    <row r="25" spans="1:18">
      <c r="A25" s="15" t="s">
        <v>367</v>
      </c>
      <c r="B25" s="17" t="n">
        <v>5581</v>
      </c>
      <c r="C25" s="18">
        <f>(4896.0/B25*100)</f>
        <v/>
      </c>
      <c r="D25" s="19" t="n">
        <v>685</v>
      </c>
      <c r="E25" s="18" t="n">
        <v>83.00302455000001</v>
      </c>
      <c r="F25" s="20" t="n">
        <v>1.44729718</v>
      </c>
      <c r="G25" s="18" t="n">
        <v>11.58406585</v>
      </c>
      <c r="H25" s="20" t="n">
        <v>1.23832406</v>
      </c>
      <c r="I25" s="18" t="s">
        <v>349</v>
      </c>
      <c r="J25" s="20" t="s">
        <v>349</v>
      </c>
      <c r="K25" s="18" t="n">
        <v>5.41290961</v>
      </c>
      <c r="L25" s="20" t="n">
        <v>0.9719580799999999</v>
      </c>
      <c r="M25" s="18" t="n">
        <v>0</v>
      </c>
      <c r="N25" s="20" t="n">
        <v>0</v>
      </c>
      <c r="O25" s="18" t="n">
        <v>0</v>
      </c>
      <c r="P25" s="20" t="n">
        <v>0</v>
      </c>
      <c r="Q25" s="18" t="n">
        <v>0</v>
      </c>
      <c r="R25" s="20" t="n">
        <v>0</v>
      </c>
    </row>
    <row r="26" spans="1:18">
      <c r="A26" s="15" t="s">
        <v>368</v>
      </c>
      <c r="B26" s="17" t="n">
        <v>4869</v>
      </c>
      <c r="C26" s="18">
        <f>(4281.0/B26*100)</f>
        <v/>
      </c>
      <c r="D26" s="19" t="n">
        <v>588</v>
      </c>
      <c r="E26" s="18" t="n">
        <v>88.85131477</v>
      </c>
      <c r="F26" s="20" t="n">
        <v>1.36870646</v>
      </c>
      <c r="G26" s="18" t="n">
        <v>4.9546452</v>
      </c>
      <c r="H26" s="20" t="n">
        <v>0.93340557</v>
      </c>
      <c r="I26" s="18" t="s">
        <v>349</v>
      </c>
      <c r="J26" s="20" t="s">
        <v>349</v>
      </c>
      <c r="K26" s="18" t="n">
        <v>6.19404003</v>
      </c>
      <c r="L26" s="20" t="n">
        <v>0.958943</v>
      </c>
      <c r="M26" s="18" t="n">
        <v>0</v>
      </c>
      <c r="N26" s="20" t="n">
        <v>0</v>
      </c>
      <c r="O26" s="18" t="n">
        <v>0</v>
      </c>
      <c r="P26" s="20" t="n">
        <v>0</v>
      </c>
      <c r="Q26" s="18" t="n">
        <v>0</v>
      </c>
      <c r="R26" s="20" t="n">
        <v>0</v>
      </c>
    </row>
    <row r="27" spans="1:18">
      <c r="A27" s="15" t="s">
        <v>369</v>
      </c>
      <c r="B27" s="17" t="n">
        <v>5299</v>
      </c>
      <c r="C27" s="18">
        <f>(4665.0/B27*100)</f>
        <v/>
      </c>
      <c r="D27" s="19" t="n">
        <v>634</v>
      </c>
      <c r="E27" s="18" t="n">
        <v>82.46329319</v>
      </c>
      <c r="F27" s="20" t="n">
        <v>1.48625401</v>
      </c>
      <c r="G27" s="18" t="n">
        <v>9.55280087</v>
      </c>
      <c r="H27" s="20" t="n">
        <v>1.06383356</v>
      </c>
      <c r="I27" s="18" t="s">
        <v>349</v>
      </c>
      <c r="J27" s="20" t="s">
        <v>349</v>
      </c>
      <c r="K27" s="18" t="n">
        <v>7.8272554</v>
      </c>
      <c r="L27" s="20" t="n">
        <v>0.91031059</v>
      </c>
      <c r="M27" s="18" t="n">
        <v>0.15665053</v>
      </c>
      <c r="N27" s="20" t="n">
        <v>0.15579066</v>
      </c>
      <c r="O27" s="18" t="n">
        <v>0</v>
      </c>
      <c r="P27" s="20" t="n">
        <v>0</v>
      </c>
      <c r="Q27" s="18" t="n">
        <v>0</v>
      </c>
      <c r="R27" s="20" t="n">
        <v>0</v>
      </c>
    </row>
    <row r="28" spans="1:18">
      <c r="A28" s="15" t="s">
        <v>370</v>
      </c>
      <c r="B28" s="17" t="n">
        <v>7568</v>
      </c>
      <c r="C28" s="18">
        <f>(6706.0/B28*100)</f>
        <v/>
      </c>
      <c r="D28" s="19" t="n">
        <v>862</v>
      </c>
      <c r="E28" s="18" t="n">
        <v>89.56522216</v>
      </c>
      <c r="F28" s="20" t="n">
        <v>1.20163342</v>
      </c>
      <c r="G28" s="18" t="n">
        <v>6.09532353</v>
      </c>
      <c r="H28" s="20" t="n">
        <v>0.9012121</v>
      </c>
      <c r="I28" s="18" t="s">
        <v>349</v>
      </c>
      <c r="J28" s="20" t="s">
        <v>349</v>
      </c>
      <c r="K28" s="18" t="n">
        <v>4.3394543</v>
      </c>
      <c r="L28" s="20" t="n">
        <v>0.81310173</v>
      </c>
      <c r="M28" s="18" t="n">
        <v>0</v>
      </c>
      <c r="N28" s="20" t="n">
        <v>0</v>
      </c>
      <c r="O28" s="18" t="n">
        <v>0</v>
      </c>
      <c r="P28" s="20" t="n">
        <v>0</v>
      </c>
      <c r="Q28" s="18" t="n">
        <v>0</v>
      </c>
      <c r="R28" s="20" t="n">
        <v>0</v>
      </c>
    </row>
    <row r="29" spans="1:18">
      <c r="A29" s="15" t="s">
        <v>371</v>
      </c>
      <c r="B29" s="17" t="n">
        <v>5385</v>
      </c>
      <c r="C29" s="18">
        <f>(4732.0/B29*100)</f>
        <v/>
      </c>
      <c r="D29" s="19" t="n">
        <v>653</v>
      </c>
      <c r="E29" s="18" t="n">
        <v>84.95852352999999</v>
      </c>
      <c r="F29" s="20" t="n">
        <v>1.62429675</v>
      </c>
      <c r="G29" s="18" t="n">
        <v>11.34129081</v>
      </c>
      <c r="H29" s="20" t="n">
        <v>1.32193302</v>
      </c>
      <c r="I29" s="18" t="s">
        <v>349</v>
      </c>
      <c r="J29" s="20" t="s">
        <v>349</v>
      </c>
      <c r="K29" s="18" t="n">
        <v>3.70018566</v>
      </c>
      <c r="L29" s="20" t="n">
        <v>0.83789325</v>
      </c>
      <c r="M29" s="18" t="n">
        <v>0</v>
      </c>
      <c r="N29" s="20" t="n">
        <v>0</v>
      </c>
      <c r="O29" s="18" t="n">
        <v>0</v>
      </c>
      <c r="P29" s="20" t="n">
        <v>0</v>
      </c>
      <c r="Q29" s="18" t="n">
        <v>0</v>
      </c>
      <c r="R29" s="20" t="n">
        <v>0</v>
      </c>
    </row>
    <row r="30" spans="1:18">
      <c r="A30" s="15" t="s">
        <v>372</v>
      </c>
      <c r="B30" s="17" t="n">
        <v>4520</v>
      </c>
      <c r="C30" s="18">
        <f>(3979.0/B30*100)</f>
        <v/>
      </c>
      <c r="D30" s="19" t="n">
        <v>541</v>
      </c>
      <c r="E30" s="18" t="n">
        <v>83.32330698</v>
      </c>
      <c r="F30" s="20" t="n">
        <v>1.47501421</v>
      </c>
      <c r="G30" s="18" t="n">
        <v>9.05005508</v>
      </c>
      <c r="H30" s="20" t="n">
        <v>1.14065473</v>
      </c>
      <c r="I30" s="18" t="s">
        <v>349</v>
      </c>
      <c r="J30" s="20" t="s">
        <v>349</v>
      </c>
      <c r="K30" s="18" t="n">
        <v>7.62663794</v>
      </c>
      <c r="L30" s="20" t="n">
        <v>1.29124109</v>
      </c>
      <c r="M30" s="18" t="n">
        <v>0</v>
      </c>
      <c r="N30" s="20" t="n">
        <v>0</v>
      </c>
      <c r="O30" s="18" t="n">
        <v>0</v>
      </c>
      <c r="P30" s="20" t="n">
        <v>0</v>
      </c>
      <c r="Q30" s="18" t="n">
        <v>0</v>
      </c>
      <c r="R30" s="20" t="n">
        <v>0</v>
      </c>
    </row>
    <row r="31" spans="1:18">
      <c r="A31" s="15" t="s">
        <v>373</v>
      </c>
      <c r="B31" s="17" t="n">
        <v>5456</v>
      </c>
      <c r="C31" s="18">
        <f>(4817.0/B31*100)</f>
        <v/>
      </c>
      <c r="D31" s="19" t="n">
        <v>639</v>
      </c>
      <c r="E31" s="18" t="n">
        <v>74.80933905000001</v>
      </c>
      <c r="F31" s="20" t="n">
        <v>1.99012369</v>
      </c>
      <c r="G31" s="18" t="n">
        <v>15.66459975</v>
      </c>
      <c r="H31" s="20" t="n">
        <v>1.68247881</v>
      </c>
      <c r="I31" s="18" t="s">
        <v>349</v>
      </c>
      <c r="J31" s="20" t="s">
        <v>349</v>
      </c>
      <c r="K31" s="18" t="n">
        <v>9.52606121</v>
      </c>
      <c r="L31" s="20" t="n">
        <v>1.37853606</v>
      </c>
      <c r="M31" s="18" t="n">
        <v>0</v>
      </c>
      <c r="N31" s="20" t="n">
        <v>0</v>
      </c>
      <c r="O31" s="18" t="n">
        <v>0</v>
      </c>
      <c r="P31" s="20" t="n">
        <v>0</v>
      </c>
      <c r="Q31" s="18" t="n">
        <v>0</v>
      </c>
      <c r="R31" s="20" t="n">
        <v>0</v>
      </c>
    </row>
    <row r="32" spans="1:18">
      <c r="A32" s="15" t="s">
        <v>374</v>
      </c>
      <c r="B32" s="17" t="n">
        <v>4478</v>
      </c>
      <c r="C32" s="18">
        <f>(3706.0/B32*100)</f>
        <v/>
      </c>
      <c r="D32" s="19" t="n">
        <v>772</v>
      </c>
      <c r="E32" s="18" t="n">
        <v>74.84309297999999</v>
      </c>
      <c r="F32" s="20" t="n">
        <v>1.64609994</v>
      </c>
      <c r="G32" s="18" t="n">
        <v>14.94273661</v>
      </c>
      <c r="H32" s="20" t="n">
        <v>1.38747749</v>
      </c>
      <c r="I32" s="18" t="s">
        <v>349</v>
      </c>
      <c r="J32" s="20" t="s">
        <v>349</v>
      </c>
      <c r="K32" s="18" t="n">
        <v>9.666325369999999</v>
      </c>
      <c r="L32" s="20" t="n">
        <v>1.03486122</v>
      </c>
      <c r="M32" s="18" t="n">
        <v>0.54784504</v>
      </c>
      <c r="N32" s="20" t="n">
        <v>0.58128461</v>
      </c>
      <c r="O32" s="18" t="n">
        <v>0</v>
      </c>
      <c r="P32" s="20" t="n">
        <v>0</v>
      </c>
      <c r="Q32" s="18" t="n">
        <v>0</v>
      </c>
      <c r="R32" s="20" t="n">
        <v>0</v>
      </c>
    </row>
    <row r="33" spans="1:18">
      <c r="A33" s="15" t="s">
        <v>375</v>
      </c>
      <c r="B33" s="17" t="n">
        <v>7325</v>
      </c>
      <c r="C33" s="18">
        <f>(6487.0/B33*100)</f>
        <v/>
      </c>
      <c r="D33" s="19" t="n">
        <v>838</v>
      </c>
      <c r="E33" s="18" t="n">
        <v>74.72509459</v>
      </c>
      <c r="F33" s="20" t="n">
        <v>2.15871301</v>
      </c>
      <c r="G33" s="18" t="n">
        <v>14.34637165</v>
      </c>
      <c r="H33" s="20" t="n">
        <v>1.49488718</v>
      </c>
      <c r="I33" s="18" t="s">
        <v>349</v>
      </c>
      <c r="J33" s="20" t="s">
        <v>349</v>
      </c>
      <c r="K33" s="18" t="n">
        <v>10.92853376</v>
      </c>
      <c r="L33" s="20" t="n">
        <v>1.54119128</v>
      </c>
      <c r="M33" s="18" t="n">
        <v>0</v>
      </c>
      <c r="N33" s="20" t="n">
        <v>0</v>
      </c>
      <c r="O33" s="18" t="n">
        <v>0</v>
      </c>
      <c r="P33" s="20" t="n">
        <v>0</v>
      </c>
      <c r="Q33" s="18" t="n">
        <v>0</v>
      </c>
      <c r="R33" s="20" t="n">
        <v>0</v>
      </c>
    </row>
    <row r="34" spans="1:18">
      <c r="A34" s="15" t="s">
        <v>376</v>
      </c>
      <c r="B34" s="17" t="n">
        <v>6350</v>
      </c>
      <c r="C34" s="18">
        <f>(5580.0/B34*100)</f>
        <v/>
      </c>
      <c r="D34" s="19" t="n">
        <v>770</v>
      </c>
      <c r="E34" s="18" t="n">
        <v>79.42887392</v>
      </c>
      <c r="F34" s="20" t="n">
        <v>1.72030995</v>
      </c>
      <c r="G34" s="18" t="n">
        <v>15.85186331</v>
      </c>
      <c r="H34" s="20" t="n">
        <v>1.58725108</v>
      </c>
      <c r="I34" s="18" t="s">
        <v>349</v>
      </c>
      <c r="J34" s="20" t="s">
        <v>349</v>
      </c>
      <c r="K34" s="18" t="n">
        <v>4.71926277</v>
      </c>
      <c r="L34" s="20" t="n">
        <v>0.69373715</v>
      </c>
      <c r="M34" s="18" t="n">
        <v>0</v>
      </c>
      <c r="N34" s="20" t="n">
        <v>0</v>
      </c>
      <c r="O34" s="18" t="n">
        <v>0</v>
      </c>
      <c r="P34" s="20" t="n">
        <v>0</v>
      </c>
      <c r="Q34" s="18" t="n">
        <v>0</v>
      </c>
      <c r="R34" s="20" t="n">
        <v>0</v>
      </c>
    </row>
    <row r="35" spans="1:18">
      <c r="A35" s="15" t="s">
        <v>377</v>
      </c>
      <c r="B35" s="17" t="n">
        <v>6406</v>
      </c>
      <c r="C35" s="18">
        <f>(5649.0/B35*100)</f>
        <v/>
      </c>
      <c r="D35" s="19" t="n">
        <v>757</v>
      </c>
      <c r="E35" s="18" t="n">
        <v>75.66473811</v>
      </c>
      <c r="F35" s="20" t="n">
        <v>2.13577282</v>
      </c>
      <c r="G35" s="18" t="n">
        <v>15.71287248</v>
      </c>
      <c r="H35" s="20" t="n">
        <v>1.92276305</v>
      </c>
      <c r="I35" s="18" t="s">
        <v>349</v>
      </c>
      <c r="J35" s="20" t="s">
        <v>349</v>
      </c>
      <c r="K35" s="18" t="n">
        <v>8.396557980000001</v>
      </c>
      <c r="L35" s="20" t="n">
        <v>1.06979179</v>
      </c>
      <c r="M35" s="18" t="n">
        <v>0.22583143</v>
      </c>
      <c r="N35" s="20" t="n">
        <v>0.22696965</v>
      </c>
      <c r="O35" s="18" t="n">
        <v>0</v>
      </c>
      <c r="P35" s="20" t="n">
        <v>0</v>
      </c>
      <c r="Q35" s="18" t="n">
        <v>0</v>
      </c>
      <c r="R35" s="20" t="n">
        <v>0</v>
      </c>
    </row>
    <row r="36" spans="1:18">
      <c r="A36" s="15" t="s">
        <v>378</v>
      </c>
      <c r="B36" s="17" t="n">
        <v>6736</v>
      </c>
      <c r="C36" s="18">
        <f>(5930.0/B36*100)</f>
        <v/>
      </c>
      <c r="D36" s="19" t="n">
        <v>806</v>
      </c>
      <c r="E36" s="18" t="n">
        <v>75.11868102</v>
      </c>
      <c r="F36" s="20" t="n">
        <v>1.86816504</v>
      </c>
      <c r="G36" s="18" t="n">
        <v>12.55692148</v>
      </c>
      <c r="H36" s="20" t="n">
        <v>1.31729052</v>
      </c>
      <c r="I36" s="18" t="s">
        <v>349</v>
      </c>
      <c r="J36" s="20" t="s">
        <v>349</v>
      </c>
      <c r="K36" s="18" t="n">
        <v>12.3243975</v>
      </c>
      <c r="L36" s="20" t="n">
        <v>1.36066853</v>
      </c>
      <c r="M36" s="18" t="n">
        <v>0</v>
      </c>
      <c r="N36" s="20" t="n">
        <v>0</v>
      </c>
      <c r="O36" s="18" t="n">
        <v>0</v>
      </c>
      <c r="P36" s="20" t="n">
        <v>0</v>
      </c>
      <c r="Q36" s="18" t="n">
        <v>0</v>
      </c>
      <c r="R36" s="20" t="n">
        <v>0</v>
      </c>
    </row>
    <row r="37" spans="1:18">
      <c r="A37" s="15" t="s">
        <v>379</v>
      </c>
      <c r="B37" s="17" t="n">
        <v>5458</v>
      </c>
      <c r="C37" s="18">
        <f>(4828.0/B37*100)</f>
        <v/>
      </c>
      <c r="D37" s="19" t="n">
        <v>630</v>
      </c>
      <c r="E37" s="18" t="n">
        <v>69.07104228999999</v>
      </c>
      <c r="F37" s="20" t="n">
        <v>1.81092427</v>
      </c>
      <c r="G37" s="18" t="n">
        <v>17.65136614</v>
      </c>
      <c r="H37" s="20" t="n">
        <v>1.49549967</v>
      </c>
      <c r="I37" s="18" t="s">
        <v>349</v>
      </c>
      <c r="J37" s="20" t="s">
        <v>349</v>
      </c>
      <c r="K37" s="18" t="n">
        <v>13.27759157</v>
      </c>
      <c r="L37" s="20" t="n">
        <v>1.34760538</v>
      </c>
      <c r="M37" s="18" t="n">
        <v>0</v>
      </c>
      <c r="N37" s="20" t="n">
        <v>0</v>
      </c>
      <c r="O37" s="18" t="n">
        <v>0</v>
      </c>
      <c r="P37" s="20" t="n">
        <v>0</v>
      </c>
      <c r="Q37" s="18" t="n">
        <v>0</v>
      </c>
      <c r="R37" s="20" t="n">
        <v>0</v>
      </c>
    </row>
    <row r="38" spans="1:18">
      <c r="A38" s="15" t="s">
        <v>380</v>
      </c>
      <c r="B38" s="17" t="n">
        <v>5860</v>
      </c>
      <c r="C38" s="18">
        <f>(4864.0/B38*100)</f>
        <v/>
      </c>
      <c r="D38" s="19" t="n">
        <v>996</v>
      </c>
      <c r="E38" s="18" t="n">
        <v>73.05569998</v>
      </c>
      <c r="F38" s="20" t="n">
        <v>1.54714573</v>
      </c>
      <c r="G38" s="18" t="n">
        <v>20.15619275</v>
      </c>
      <c r="H38" s="20" t="n">
        <v>1.42933561</v>
      </c>
      <c r="I38" s="18" t="s">
        <v>349</v>
      </c>
      <c r="J38" s="20" t="s">
        <v>349</v>
      </c>
      <c r="K38" s="18" t="n">
        <v>6.78810727</v>
      </c>
      <c r="L38" s="20" t="n">
        <v>0.96942233</v>
      </c>
      <c r="M38" s="18" t="n">
        <v>0</v>
      </c>
      <c r="N38" s="20" t="n">
        <v>0</v>
      </c>
      <c r="O38" s="18" t="n">
        <v>0</v>
      </c>
      <c r="P38" s="20" t="n">
        <v>0</v>
      </c>
      <c r="Q38" s="18" t="n">
        <v>0</v>
      </c>
      <c r="R38" s="20" t="n">
        <v>0</v>
      </c>
    </row>
    <row r="39" spans="1:18">
      <c r="A39" s="15" t="s">
        <v>381</v>
      </c>
      <c r="B39" s="17" t="n">
        <v>5895</v>
      </c>
      <c r="C39" s="18">
        <f>(5184.0/B39*100)</f>
        <v/>
      </c>
      <c r="D39" s="19" t="n">
        <v>711</v>
      </c>
      <c r="E39" s="18" t="n">
        <v>87.86002775999999</v>
      </c>
      <c r="F39" s="20" t="n">
        <v>1.47530303</v>
      </c>
      <c r="G39" s="18" t="n">
        <v>4.51736691</v>
      </c>
      <c r="H39" s="20" t="n">
        <v>1.00742659</v>
      </c>
      <c r="I39" s="18" t="s">
        <v>349</v>
      </c>
      <c r="J39" s="20" t="s">
        <v>349</v>
      </c>
      <c r="K39" s="18" t="n">
        <v>7.62260533</v>
      </c>
      <c r="L39" s="20" t="n">
        <v>1.07179648</v>
      </c>
      <c r="M39" s="18" t="n">
        <v>0</v>
      </c>
      <c r="N39" s="20" t="n">
        <v>0</v>
      </c>
      <c r="O39" s="18" t="n">
        <v>0</v>
      </c>
      <c r="P39" s="20" t="n">
        <v>0</v>
      </c>
      <c r="Q39" s="18" t="n">
        <v>0</v>
      </c>
      <c r="R39" s="20" t="n">
        <v>0</v>
      </c>
    </row>
    <row r="40" spans="1:18">
      <c r="A40" s="15" t="s">
        <v>382</v>
      </c>
      <c r="B40" s="17" t="n">
        <v>14157</v>
      </c>
      <c r="C40" s="18">
        <f>(12412.0/B40*100)</f>
        <v/>
      </c>
      <c r="D40" s="19" t="n">
        <v>1745</v>
      </c>
      <c r="E40" s="18" t="n">
        <v>81.69082077</v>
      </c>
      <c r="F40" s="20" t="n">
        <v>1.38508887</v>
      </c>
      <c r="G40" s="18" t="n">
        <v>12.15373933</v>
      </c>
      <c r="H40" s="20" t="n">
        <v>1.16167823</v>
      </c>
      <c r="I40" s="18" t="s">
        <v>349</v>
      </c>
      <c r="J40" s="20" t="s">
        <v>349</v>
      </c>
      <c r="K40" s="18" t="n">
        <v>5.88465515</v>
      </c>
      <c r="L40" s="20" t="n">
        <v>0.82874294</v>
      </c>
      <c r="M40" s="18" t="n">
        <v>0.27078475</v>
      </c>
      <c r="N40" s="20" t="n">
        <v>0.20935825</v>
      </c>
      <c r="O40" s="18" t="n">
        <v>0</v>
      </c>
      <c r="P40" s="20" t="n">
        <v>0</v>
      </c>
      <c r="Q40" s="18" t="n">
        <v>0</v>
      </c>
      <c r="R40" s="20" t="n">
        <v>0</v>
      </c>
    </row>
    <row r="41" spans="1:18">
      <c r="A41" s="15" t="s">
        <v>383</v>
      </c>
      <c r="B41" s="17" t="n">
        <v>5712</v>
      </c>
      <c r="C41" s="18">
        <f>(5027.0/B41*100)</f>
        <v/>
      </c>
      <c r="D41" s="19" t="n">
        <v>685</v>
      </c>
      <c r="E41" s="18" t="n">
        <v>89.64596093999999</v>
      </c>
      <c r="F41" s="20" t="n">
        <v>1.18160243</v>
      </c>
      <c r="G41" s="18" t="n">
        <v>6.53708321</v>
      </c>
      <c r="H41" s="20" t="n">
        <v>1.10563449</v>
      </c>
      <c r="I41" s="18" t="s">
        <v>349</v>
      </c>
      <c r="J41" s="20" t="s">
        <v>349</v>
      </c>
      <c r="K41" s="18" t="n">
        <v>3.81695585</v>
      </c>
      <c r="L41" s="20" t="n">
        <v>0.75106051</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(20845.0/B46*100)</f>
        <v/>
      </c>
      <c r="D46" s="19" t="n">
        <v>2296</v>
      </c>
      <c r="E46" s="18" t="n">
        <v>81.61145372999999</v>
      </c>
      <c r="F46" s="20" t="n">
        <v>1.14768493</v>
      </c>
      <c r="G46" s="18" t="n">
        <v>4.61086739</v>
      </c>
      <c r="H46" s="20" t="n">
        <v>0.67846609</v>
      </c>
      <c r="I46" s="18" t="s">
        <v>349</v>
      </c>
      <c r="J46" s="20" t="s">
        <v>349</v>
      </c>
      <c r="K46" s="18" t="n">
        <v>13.68349678</v>
      </c>
      <c r="L46" s="20" t="n">
        <v>1.02184253</v>
      </c>
      <c r="M46" s="18" t="n">
        <v>0.0941821</v>
      </c>
      <c r="N46" s="20" t="n">
        <v>0.07932979</v>
      </c>
      <c r="O46" s="18" t="n">
        <v>0</v>
      </c>
      <c r="P46" s="20" t="n">
        <v>0</v>
      </c>
      <c r="Q46" s="18" t="n">
        <v>0</v>
      </c>
      <c r="R46" s="20" t="n">
        <v>0</v>
      </c>
    </row>
    <row r="47" spans="1:18">
      <c r="A47" s="15" t="s">
        <v>389</v>
      </c>
      <c r="B47" s="17" t="n">
        <v>5928</v>
      </c>
      <c r="C47" s="18">
        <f>(5208.0/B47*100)</f>
        <v/>
      </c>
      <c r="D47" s="19" t="n">
        <v>720</v>
      </c>
      <c r="E47" s="18" t="n">
        <v>84.59440527</v>
      </c>
      <c r="F47" s="20" t="n">
        <v>1.54316897</v>
      </c>
      <c r="G47" s="18" t="n">
        <v>7.4068221</v>
      </c>
      <c r="H47" s="20" t="n">
        <v>1.09518803</v>
      </c>
      <c r="I47" s="18" t="s">
        <v>349</v>
      </c>
      <c r="J47" s="20" t="s">
        <v>349</v>
      </c>
      <c r="K47" s="18" t="n">
        <v>7.99877263</v>
      </c>
      <c r="L47" s="20" t="n">
        <v>1.05980537</v>
      </c>
      <c r="M47" s="18" t="n">
        <v>0</v>
      </c>
      <c r="N47" s="20" t="n">
        <v>0</v>
      </c>
      <c r="O47" s="18" t="n">
        <v>0</v>
      </c>
      <c r="P47" s="20" t="n">
        <v>0</v>
      </c>
      <c r="Q47" s="18" t="n">
        <v>0</v>
      </c>
      <c r="R47" s="20" t="n">
        <v>0</v>
      </c>
    </row>
    <row r="48" spans="1:18">
      <c r="A48" s="15" t="s">
        <v>390</v>
      </c>
      <c r="B48" s="17" t="n">
        <v>9841</v>
      </c>
      <c r="C48" s="18">
        <f>(8665.0/B48*100)</f>
        <v/>
      </c>
      <c r="D48" s="19" t="n">
        <v>1176</v>
      </c>
      <c r="E48" s="18" t="n">
        <v>61.68739312</v>
      </c>
      <c r="F48" s="20" t="n">
        <v>2.4441514</v>
      </c>
      <c r="G48" s="18" t="n">
        <v>36.0938336</v>
      </c>
      <c r="H48" s="20" t="n">
        <v>2.53427852</v>
      </c>
      <c r="I48" s="18" t="s">
        <v>349</v>
      </c>
      <c r="J48" s="20" t="s">
        <v>349</v>
      </c>
      <c r="K48" s="18" t="n">
        <v>2.10044492</v>
      </c>
      <c r="L48" s="20" t="n">
        <v>0.60887781</v>
      </c>
      <c r="M48" s="18" t="n">
        <v>0.11832837</v>
      </c>
      <c r="N48" s="20" t="n">
        <v>0.08286465</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(10425.0/B50*100)</f>
        <v/>
      </c>
      <c r="D50" s="19" t="n">
        <v>1370</v>
      </c>
      <c r="E50" s="18" t="n">
        <v>90.28287963</v>
      </c>
      <c r="F50" s="20" t="n">
        <v>1.17834158</v>
      </c>
      <c r="G50" s="18" t="n">
        <v>3.37072114</v>
      </c>
      <c r="H50" s="20" t="n">
        <v>0.6550849</v>
      </c>
      <c r="I50" s="18" t="s">
        <v>349</v>
      </c>
      <c r="J50" s="20" t="s">
        <v>349</v>
      </c>
      <c r="K50" s="18" t="n">
        <v>5.56089526</v>
      </c>
      <c r="L50" s="20" t="n">
        <v>1.05454362</v>
      </c>
      <c r="M50" s="18" t="n">
        <v>0.7855039700000001</v>
      </c>
      <c r="N50" s="20" t="n">
        <v>0.30596234</v>
      </c>
      <c r="O50" s="18" t="n">
        <v>0</v>
      </c>
      <c r="P50" s="20" t="n">
        <v>0</v>
      </c>
      <c r="Q50" s="18" t="n">
        <v>0</v>
      </c>
      <c r="R50" s="20" t="n">
        <v>0</v>
      </c>
    </row>
    <row r="51" spans="1:18">
      <c r="A51" s="15" t="s">
        <v>393</v>
      </c>
      <c r="B51" s="17" t="n">
        <v>6866</v>
      </c>
      <c r="C51" s="18">
        <f>(6163.0/B51*100)</f>
        <v/>
      </c>
      <c r="D51" s="19" t="n">
        <v>703</v>
      </c>
      <c r="E51" s="18" t="n">
        <v>90.35126984999999</v>
      </c>
      <c r="F51" s="20" t="n">
        <v>1.1904144</v>
      </c>
      <c r="G51" s="18" t="n">
        <v>3.72562249</v>
      </c>
      <c r="H51" s="20" t="n">
        <v>0.71033507</v>
      </c>
      <c r="I51" s="18" t="s">
        <v>349</v>
      </c>
      <c r="J51" s="20" t="s">
        <v>349</v>
      </c>
      <c r="K51" s="18" t="n">
        <v>5.92310765</v>
      </c>
      <c r="L51" s="20" t="n">
        <v>0.98369702</v>
      </c>
      <c r="M51" s="18" t="n">
        <v>0</v>
      </c>
      <c r="N51" s="20" t="n">
        <v>0</v>
      </c>
      <c r="O51" s="18" t="n">
        <v>0</v>
      </c>
      <c r="P51" s="20" t="n">
        <v>0</v>
      </c>
      <c r="Q51" s="18" t="n">
        <v>0</v>
      </c>
      <c r="R51" s="20" t="n">
        <v>0</v>
      </c>
    </row>
    <row r="52" spans="1:18">
      <c r="A52" s="15" t="s">
        <v>394</v>
      </c>
      <c r="B52" s="17" t="n">
        <v>5809</v>
      </c>
      <c r="C52" s="18">
        <f>(5120.0/B52*100)</f>
        <v/>
      </c>
      <c r="D52" s="19" t="n">
        <v>689</v>
      </c>
      <c r="E52" s="18" t="n">
        <v>83.24111232</v>
      </c>
      <c r="F52" s="20" t="n">
        <v>1.35444594</v>
      </c>
      <c r="G52" s="18" t="n">
        <v>9.1607594</v>
      </c>
      <c r="H52" s="20" t="n">
        <v>1.09825212</v>
      </c>
      <c r="I52" s="18" t="s">
        <v>349</v>
      </c>
      <c r="J52" s="20" t="s">
        <v>349</v>
      </c>
      <c r="K52" s="18" t="n">
        <v>7.59812829</v>
      </c>
      <c r="L52" s="20" t="n">
        <v>0.95934234</v>
      </c>
      <c r="M52" s="18" t="n">
        <v>0</v>
      </c>
      <c r="N52" s="20" t="n">
        <v>0</v>
      </c>
      <c r="O52" s="18" t="n">
        <v>0</v>
      </c>
      <c r="P52" s="20" t="n">
        <v>0</v>
      </c>
      <c r="Q52" s="18" t="n">
        <v>0</v>
      </c>
      <c r="R52" s="20" t="n">
        <v>0</v>
      </c>
    </row>
    <row r="53" spans="1:18">
      <c r="A53" s="15" t="s">
        <v>395</v>
      </c>
      <c r="B53" s="17" t="n">
        <v>5571</v>
      </c>
      <c r="C53" s="18">
        <f>(4917.0/B53*100)</f>
        <v/>
      </c>
      <c r="D53" s="19" t="n">
        <v>654</v>
      </c>
      <c r="E53" s="18" t="n">
        <v>86.15633891</v>
      </c>
      <c r="F53" s="20" t="n">
        <v>1.54544631</v>
      </c>
      <c r="G53" s="18" t="n">
        <v>7.5131958</v>
      </c>
      <c r="H53" s="20" t="n">
        <v>1.13043963</v>
      </c>
      <c r="I53" s="18" t="s">
        <v>349</v>
      </c>
      <c r="J53" s="20" t="s">
        <v>349</v>
      </c>
      <c r="K53" s="18" t="n">
        <v>6.33046529</v>
      </c>
      <c r="L53" s="20" t="n">
        <v>1.14144116</v>
      </c>
      <c r="M53" s="18" t="n">
        <v>0</v>
      </c>
      <c r="N53" s="20" t="n">
        <v>0</v>
      </c>
      <c r="O53" s="18" t="n">
        <v>0</v>
      </c>
      <c r="P53" s="20" t="n">
        <v>0</v>
      </c>
      <c r="Q53" s="18" t="n">
        <v>0</v>
      </c>
      <c r="R53" s="20" t="n">
        <v>0</v>
      </c>
    </row>
    <row r="54" spans="1:18">
      <c r="A54" s="15" t="s">
        <v>396</v>
      </c>
      <c r="B54" s="17" t="n">
        <v>4740</v>
      </c>
      <c r="C54" s="18">
        <f>(3951.0/B54*100)</f>
        <v/>
      </c>
      <c r="D54" s="19" t="n">
        <v>789</v>
      </c>
      <c r="E54" s="18" t="n">
        <v>74.66891416</v>
      </c>
      <c r="F54" s="20" t="n">
        <v>2.15766011</v>
      </c>
      <c r="G54" s="18" t="n">
        <v>1.83888846</v>
      </c>
      <c r="H54" s="20" t="n">
        <v>0.51917916</v>
      </c>
      <c r="I54" s="18" t="s">
        <v>349</v>
      </c>
      <c r="J54" s="20" t="s">
        <v>349</v>
      </c>
      <c r="K54" s="18" t="n">
        <v>22.71296426</v>
      </c>
      <c r="L54" s="20" t="n">
        <v>2.04507906</v>
      </c>
      <c r="M54" s="18" t="n">
        <v>0.77923311</v>
      </c>
      <c r="N54" s="20" t="n">
        <v>0.64224374</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(4708.0/B56*100)</f>
        <v/>
      </c>
      <c r="D56" s="19" t="n">
        <v>651</v>
      </c>
      <c r="E56" s="18" t="n">
        <v>67.76700083999999</v>
      </c>
      <c r="F56" s="20" t="n">
        <v>2.01290182</v>
      </c>
      <c r="G56" s="18" t="n">
        <v>29.49962592</v>
      </c>
      <c r="H56" s="20" t="n">
        <v>2.14729962</v>
      </c>
      <c r="I56" s="18" t="s">
        <v>349</v>
      </c>
      <c r="J56" s="20" t="s">
        <v>349</v>
      </c>
      <c r="K56" s="18" t="n">
        <v>2.57038253</v>
      </c>
      <c r="L56" s="20" t="n">
        <v>0.80169108</v>
      </c>
      <c r="M56" s="18" t="n">
        <v>0.16299071</v>
      </c>
      <c r="N56" s="20" t="n">
        <v>0.16288175</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(5735.0/B61*100)</f>
        <v/>
      </c>
      <c r="D61" s="19" t="n">
        <v>790</v>
      </c>
      <c r="E61" s="18" t="n">
        <v>80.50602779</v>
      </c>
      <c r="F61" s="20" t="n">
        <v>1.59073592</v>
      </c>
      <c r="G61" s="18" t="n">
        <v>12.06807947</v>
      </c>
      <c r="H61" s="20" t="n">
        <v>1.37962527</v>
      </c>
      <c r="I61" s="18" t="s">
        <v>349</v>
      </c>
      <c r="J61" s="20" t="s">
        <v>349</v>
      </c>
      <c r="K61" s="18" t="n">
        <v>7.42589274</v>
      </c>
      <c r="L61" s="20" t="n">
        <v>1.07134998</v>
      </c>
      <c r="M61" s="18" t="n">
        <v>0</v>
      </c>
      <c r="N61" s="20" t="n">
        <v>0</v>
      </c>
      <c r="O61" s="18" t="n">
        <v>0</v>
      </c>
      <c r="P61" s="20" t="n">
        <v>0</v>
      </c>
      <c r="Q61" s="18" t="n">
        <v>0</v>
      </c>
      <c r="R61" s="20" t="n">
        <v>0</v>
      </c>
    </row>
    <row r="62" spans="1:18">
      <c r="A62" s="15" t="s">
        <v>404</v>
      </c>
      <c r="B62" s="17" t="n">
        <v>4476</v>
      </c>
      <c r="C62" s="18">
        <f>(3939.0/B62*100)</f>
        <v/>
      </c>
      <c r="D62" s="19" t="n">
        <v>537</v>
      </c>
      <c r="E62" s="18" t="n">
        <v>72.03121392</v>
      </c>
      <c r="F62" s="20" t="n">
        <v>2.04623002</v>
      </c>
      <c r="G62" s="18" t="n">
        <v>26.45174249</v>
      </c>
      <c r="H62" s="20" t="n">
        <v>1.93901021</v>
      </c>
      <c r="I62" s="18" t="s">
        <v>349</v>
      </c>
      <c r="J62" s="20" t="s">
        <v>349</v>
      </c>
      <c r="K62" s="18" t="n">
        <v>1.33006914</v>
      </c>
      <c r="L62" s="20" t="n">
        <v>0.49602964</v>
      </c>
      <c r="M62" s="18" t="n">
        <v>0.18697446</v>
      </c>
      <c r="N62" s="20" t="n">
        <v>0.18639874</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(4983.0/B66*100)</f>
        <v/>
      </c>
      <c r="D66" s="19" t="n">
        <v>682</v>
      </c>
      <c r="E66" s="18" t="n">
        <v>76.55176667000001</v>
      </c>
      <c r="F66" s="20" t="n">
        <v>1.77478101</v>
      </c>
      <c r="G66" s="18" t="n">
        <v>4.84336199</v>
      </c>
      <c r="H66" s="20" t="n">
        <v>0.80619262</v>
      </c>
      <c r="I66" s="18" t="s">
        <v>349</v>
      </c>
      <c r="J66" s="20" t="s">
        <v>349</v>
      </c>
      <c r="K66" s="18" t="n">
        <v>18.30776252</v>
      </c>
      <c r="L66" s="20" t="n">
        <v>1.42826028</v>
      </c>
      <c r="M66" s="18" t="n">
        <v>0.29710883</v>
      </c>
      <c r="N66" s="20" t="n">
        <v>0.21166918</v>
      </c>
      <c r="O66" s="18" t="n">
        <v>0</v>
      </c>
      <c r="P66" s="20" t="n">
        <v>0</v>
      </c>
      <c r="Q66" s="18" t="n">
        <v>0</v>
      </c>
      <c r="R66" s="20" t="n">
        <v>0</v>
      </c>
    </row>
    <row r="67" spans="1:18">
      <c r="A67" s="15" t="s">
        <v>409</v>
      </c>
      <c r="B67" s="17" t="n">
        <v>6971</v>
      </c>
      <c r="C67" s="18">
        <f>(6252.0/B67*100)</f>
        <v/>
      </c>
      <c r="D67" s="19" t="n">
        <v>719</v>
      </c>
      <c r="E67" s="18" t="n">
        <v>88.61971629999999</v>
      </c>
      <c r="F67" s="20" t="n">
        <v>1.17532192</v>
      </c>
      <c r="G67" s="18" t="n">
        <v>2.50261848</v>
      </c>
      <c r="H67" s="20" t="n">
        <v>0.6115638</v>
      </c>
      <c r="I67" s="18" t="s">
        <v>349</v>
      </c>
      <c r="J67" s="20" t="s">
        <v>349</v>
      </c>
      <c r="K67" s="18" t="n">
        <v>8.772960230000001</v>
      </c>
      <c r="L67" s="20" t="n">
        <v>1.04059263</v>
      </c>
      <c r="M67" s="18" t="n">
        <v>0.104705</v>
      </c>
      <c r="N67" s="20" t="n">
        <v>0.10505029</v>
      </c>
      <c r="O67" s="18" t="n">
        <v>0</v>
      </c>
      <c r="P67" s="20" t="n">
        <v>0</v>
      </c>
      <c r="Q67" s="18" t="n">
        <v>0</v>
      </c>
      <c r="R67" s="20" t="n">
        <v>0</v>
      </c>
    </row>
    <row r="68" spans="1:18">
      <c r="A68" s="15" t="s">
        <v>410</v>
      </c>
      <c r="B68" s="17" t="n">
        <v>12083</v>
      </c>
      <c r="C68" s="18">
        <f>(10084.0/B68*100)</f>
        <v/>
      </c>
      <c r="D68" s="19" t="n">
        <v>1999</v>
      </c>
      <c r="E68" s="18" t="n">
        <v>85.02800376</v>
      </c>
      <c r="F68" s="20" t="n">
        <v>0.7801712</v>
      </c>
      <c r="G68" s="18" t="n">
        <v>7.06962068</v>
      </c>
      <c r="H68" s="20" t="n">
        <v>0.54037219</v>
      </c>
      <c r="I68" s="18" t="s">
        <v>349</v>
      </c>
      <c r="J68" s="20" t="s">
        <v>349</v>
      </c>
      <c r="K68" s="18" t="n">
        <v>7.90237555</v>
      </c>
      <c r="L68" s="20" t="n">
        <v>0.58734924</v>
      </c>
      <c r="M68" s="18" t="n">
        <v>0</v>
      </c>
      <c r="N68" s="20" t="n">
        <v>0</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(5339.0/B70*100)</f>
        <v/>
      </c>
      <c r="D70" s="19" t="n">
        <v>697</v>
      </c>
      <c r="E70" s="18" t="n">
        <v>85.44372254</v>
      </c>
      <c r="F70" s="20" t="n">
        <v>1.79818351</v>
      </c>
      <c r="G70" s="18" t="n">
        <v>7.94028818</v>
      </c>
      <c r="H70" s="20" t="n">
        <v>1.15480343</v>
      </c>
      <c r="I70" s="18" t="s">
        <v>349</v>
      </c>
      <c r="J70" s="20" t="s">
        <v>349</v>
      </c>
      <c r="K70" s="18" t="n">
        <v>5.74766207</v>
      </c>
      <c r="L70" s="20" t="n">
        <v>1.05873302</v>
      </c>
      <c r="M70" s="18" t="n">
        <v>0.86832721</v>
      </c>
      <c r="N70" s="20" t="n">
        <v>0.32196954</v>
      </c>
      <c r="O70" s="18" t="n">
        <v>0</v>
      </c>
      <c r="P70" s="20" t="n">
        <v>0</v>
      </c>
      <c r="Q70" s="18" t="n">
        <v>0</v>
      </c>
      <c r="R70" s="20" t="n">
        <v>0</v>
      </c>
    </row>
    <row r="71" spans="1:18">
      <c r="A71" s="15" t="s">
        <v>413</v>
      </c>
      <c r="B71" s="17" t="n">
        <v>6115</v>
      </c>
      <c r="C71" s="18">
        <f>(5350.0/B71*100)</f>
        <v/>
      </c>
      <c r="D71" s="19" t="n">
        <v>765</v>
      </c>
      <c r="E71" s="18" t="n">
        <v>66.88903104000001</v>
      </c>
      <c r="F71" s="20" t="n">
        <v>1.68987373</v>
      </c>
      <c r="G71" s="18" t="n">
        <v>31.71829155</v>
      </c>
      <c r="H71" s="20" t="n">
        <v>1.74214831</v>
      </c>
      <c r="I71" s="18" t="s">
        <v>349</v>
      </c>
      <c r="J71" s="20" t="s">
        <v>349</v>
      </c>
      <c r="K71" s="18" t="n">
        <v>1.39267741</v>
      </c>
      <c r="L71" s="20" t="n">
        <v>0.458023</v>
      </c>
      <c r="M71" s="18" t="n">
        <v>0</v>
      </c>
      <c r="N71" s="20" t="n">
        <v>0</v>
      </c>
      <c r="O71" s="18" t="n">
        <v>0</v>
      </c>
      <c r="P71" s="20" t="n">
        <v>0</v>
      </c>
      <c r="Q71" s="18" t="n">
        <v>0</v>
      </c>
      <c r="R71" s="20" t="n">
        <v>0</v>
      </c>
    </row>
    <row r="72" spans="1:18">
      <c r="A72" s="15" t="s">
        <v>414</v>
      </c>
      <c r="B72" s="17" t="n">
        <v>7708</v>
      </c>
      <c r="C72" s="18">
        <f>(6749.0/B72*100)</f>
        <v/>
      </c>
      <c r="D72" s="19" t="n">
        <v>959</v>
      </c>
      <c r="E72" s="18" t="n">
        <v>67.63789868000001</v>
      </c>
      <c r="F72" s="20" t="n">
        <v>1.60130815</v>
      </c>
      <c r="G72" s="18" t="n">
        <v>29.69788328</v>
      </c>
      <c r="H72" s="20" t="n">
        <v>1.60861149</v>
      </c>
      <c r="I72" s="18" t="s">
        <v>349</v>
      </c>
      <c r="J72" s="20" t="s">
        <v>349</v>
      </c>
      <c r="K72" s="18" t="n">
        <v>2.66421805</v>
      </c>
      <c r="L72" s="20" t="n">
        <v>0.56624713</v>
      </c>
      <c r="M72" s="18" t="n">
        <v>0</v>
      </c>
      <c r="N72" s="20" t="n">
        <v>0</v>
      </c>
      <c r="O72" s="18" t="n">
        <v>0</v>
      </c>
      <c r="P72" s="20" t="n">
        <v>0</v>
      </c>
      <c r="Q72" s="18" t="n">
        <v>0</v>
      </c>
      <c r="R72" s="20" t="n">
        <v>0</v>
      </c>
    </row>
    <row r="73" spans="1:18">
      <c r="A73" s="15" t="s">
        <v>415</v>
      </c>
      <c r="B73" s="17" t="n">
        <v>8249</v>
      </c>
      <c r="C73" s="18">
        <f>(7302.0/B73*100)</f>
        <v/>
      </c>
      <c r="D73" s="19" t="n">
        <v>947</v>
      </c>
      <c r="E73" s="18" t="n">
        <v>89.14858460000001</v>
      </c>
      <c r="F73" s="20" t="n">
        <v>1.44325195</v>
      </c>
      <c r="G73" s="18" t="n">
        <v>8.62195891</v>
      </c>
      <c r="H73" s="20" t="n">
        <v>1.18979196</v>
      </c>
      <c r="I73" s="18" t="s">
        <v>349</v>
      </c>
      <c r="J73" s="20" t="s">
        <v>349</v>
      </c>
      <c r="K73" s="18" t="n">
        <v>2.05499718</v>
      </c>
      <c r="L73" s="20" t="n">
        <v>0.64627645</v>
      </c>
      <c r="M73" s="18" t="n">
        <v>0.17445931</v>
      </c>
      <c r="N73" s="20" t="n">
        <v>0.17493142</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(4759.0/B75*100)</f>
        <v/>
      </c>
      <c r="D75" s="19" t="n">
        <v>616</v>
      </c>
      <c r="E75" s="18" t="n">
        <v>84.50388572999999</v>
      </c>
      <c r="F75" s="20" t="n">
        <v>1.46348011</v>
      </c>
      <c r="G75" s="18" t="n">
        <v>3.44592762</v>
      </c>
      <c r="H75" s="20" t="n">
        <v>0.73399872</v>
      </c>
      <c r="I75" s="18" t="s">
        <v>349</v>
      </c>
      <c r="J75" s="20" t="s">
        <v>349</v>
      </c>
      <c r="K75" s="18" t="n">
        <v>11.73171967</v>
      </c>
      <c r="L75" s="20" t="n">
        <v>1.41152164</v>
      </c>
      <c r="M75" s="18" t="n">
        <v>0.31846697</v>
      </c>
      <c r="N75" s="20" t="n">
        <v>0.23700179</v>
      </c>
      <c r="O75" s="18" t="n">
        <v>0</v>
      </c>
      <c r="P75" s="20" t="n">
        <v>0</v>
      </c>
      <c r="Q75" s="18" t="n">
        <v>0</v>
      </c>
      <c r="R75" s="20" t="n">
        <v>0</v>
      </c>
    </row>
    <row r="76" spans="1:18">
      <c r="A76" s="15" t="s">
        <v>418</v>
      </c>
      <c r="B76" s="17" t="n">
        <v>14167</v>
      </c>
      <c r="C76" s="18">
        <f>(12434.0/B76*100)</f>
        <v/>
      </c>
      <c r="D76" s="19" t="n">
        <v>1733</v>
      </c>
      <c r="E76" s="18" t="n">
        <v>83.85216631999999</v>
      </c>
      <c r="F76" s="20" t="n">
        <v>1.18406051</v>
      </c>
      <c r="G76" s="18" t="n">
        <v>10.84378301</v>
      </c>
      <c r="H76" s="20" t="n">
        <v>0.93728475</v>
      </c>
      <c r="I76" s="18" t="s">
        <v>349</v>
      </c>
      <c r="J76" s="20" t="s">
        <v>349</v>
      </c>
      <c r="K76" s="18" t="n">
        <v>5.15330938</v>
      </c>
      <c r="L76" s="20" t="n">
        <v>0.71608646</v>
      </c>
      <c r="M76" s="18" t="n">
        <v>0.15074129</v>
      </c>
      <c r="N76" s="20" t="n">
        <v>0.09478613</v>
      </c>
      <c r="O76" s="18" t="n">
        <v>0</v>
      </c>
      <c r="P76" s="20" t="n">
        <v>0</v>
      </c>
      <c r="Q76" s="18" t="n">
        <v>0</v>
      </c>
      <c r="R76" s="20" t="n">
        <v>0</v>
      </c>
    </row>
    <row r="77" spans="1:18">
      <c r="A77" s="15" t="s">
        <v>419</v>
      </c>
      <c r="B77" s="17" t="n">
        <v>6062</v>
      </c>
      <c r="C77" s="18">
        <f>(5342.0/B77*100)</f>
        <v/>
      </c>
      <c r="D77" s="19" t="n">
        <v>720</v>
      </c>
      <c r="E77" s="18" t="n">
        <v>78.70475654000001</v>
      </c>
      <c r="F77" s="20" t="n">
        <v>1.5518452</v>
      </c>
      <c r="G77" s="18" t="n">
        <v>4.15977228</v>
      </c>
      <c r="H77" s="20" t="n">
        <v>0.8649632</v>
      </c>
      <c r="I77" s="18" t="s">
        <v>349</v>
      </c>
      <c r="J77" s="20" t="s">
        <v>349</v>
      </c>
      <c r="K77" s="18" t="n">
        <v>16.03802284</v>
      </c>
      <c r="L77" s="20" t="n">
        <v>1.62082982</v>
      </c>
      <c r="M77" s="18" t="n">
        <v>1.09744835</v>
      </c>
      <c r="N77" s="20" t="n">
        <v>0.34251606</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(7781.0/B81*100)</f>
        <v/>
      </c>
      <c r="D81" s="19" t="n">
        <v>1080</v>
      </c>
      <c r="E81" s="18" t="n">
        <v>85.11721091</v>
      </c>
      <c r="F81" s="20" t="n">
        <v>1.38515239</v>
      </c>
      <c r="G81" s="18" t="n">
        <v>12.44683621</v>
      </c>
      <c r="H81" s="20" t="n">
        <v>1.38995313</v>
      </c>
      <c r="I81" s="18" t="s">
        <v>349</v>
      </c>
      <c r="J81" s="20" t="s">
        <v>349</v>
      </c>
      <c r="K81" s="18" t="n">
        <v>2.43595288</v>
      </c>
      <c r="L81" s="20" t="n">
        <v>0.47549744</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(12698.0/B7*100)</f>
        <v/>
      </c>
      <c r="D7" s="19" t="n">
        <v>1832</v>
      </c>
      <c r="E7" s="18" t="n">
        <v>7.80803158</v>
      </c>
      <c r="F7" s="20" t="n">
        <v>0.6445429</v>
      </c>
      <c r="G7" s="18" t="n">
        <v>89.95888669</v>
      </c>
      <c r="H7" s="20" t="n">
        <v>0.81918983</v>
      </c>
      <c r="I7" s="18" t="s">
        <v>349</v>
      </c>
      <c r="J7" s="20" t="s">
        <v>349</v>
      </c>
      <c r="K7" s="18" t="n">
        <v>0.09573687</v>
      </c>
      <c r="L7" s="20" t="n">
        <v>0.08496898</v>
      </c>
      <c r="M7" s="18" t="n">
        <v>0</v>
      </c>
      <c r="N7" s="20" t="n">
        <v>0</v>
      </c>
      <c r="O7" s="18" t="n">
        <v>0</v>
      </c>
      <c r="P7" s="20" t="n">
        <v>0</v>
      </c>
      <c r="Q7" s="18" t="n">
        <v>2.13734486</v>
      </c>
      <c r="R7" s="20" t="n">
        <v>0.40700859</v>
      </c>
    </row>
    <row r="8" spans="1:18">
      <c r="A8" s="15" t="s">
        <v>350</v>
      </c>
      <c r="B8" s="17" t="n">
        <v>7007</v>
      </c>
      <c r="C8" s="18">
        <f>(6118.0/B8*100)</f>
        <v/>
      </c>
      <c r="D8" s="19" t="n">
        <v>889</v>
      </c>
      <c r="E8" s="18" t="n">
        <v>13.7913981</v>
      </c>
      <c r="F8" s="20" t="n">
        <v>1.34265865</v>
      </c>
      <c r="G8" s="18" t="n">
        <v>82.49478744</v>
      </c>
      <c r="H8" s="20" t="n">
        <v>1.48521304</v>
      </c>
      <c r="I8" s="18" t="s">
        <v>349</v>
      </c>
      <c r="J8" s="20" t="s">
        <v>349</v>
      </c>
      <c r="K8" s="18" t="n">
        <v>0</v>
      </c>
      <c r="L8" s="20" t="n">
        <v>0</v>
      </c>
      <c r="M8" s="18" t="n">
        <v>0</v>
      </c>
      <c r="N8" s="20" t="n">
        <v>0</v>
      </c>
      <c r="O8" s="18" t="n">
        <v>0</v>
      </c>
      <c r="P8" s="20" t="n">
        <v>0</v>
      </c>
      <c r="Q8" s="18" t="n">
        <v>3.71381445</v>
      </c>
      <c r="R8" s="20" t="n">
        <v>0.80995577</v>
      </c>
    </row>
    <row r="9" spans="1:18">
      <c r="A9" s="15" t="s">
        <v>351</v>
      </c>
      <c r="B9" s="17" t="n">
        <v>9651</v>
      </c>
      <c r="C9" s="18">
        <f>(8240.0/B9*100)</f>
        <v/>
      </c>
      <c r="D9" s="19" t="n">
        <v>1411</v>
      </c>
      <c r="E9" s="18" t="n">
        <v>11.86848782</v>
      </c>
      <c r="F9" s="20" t="n">
        <v>1.19676824</v>
      </c>
      <c r="G9" s="18" t="n">
        <v>83.37111547000001</v>
      </c>
      <c r="H9" s="20" t="n">
        <v>1.55329292</v>
      </c>
      <c r="I9" s="18" t="s">
        <v>349</v>
      </c>
      <c r="J9" s="20" t="s">
        <v>349</v>
      </c>
      <c r="K9" s="18" t="n">
        <v>0.62386695</v>
      </c>
      <c r="L9" s="20" t="n">
        <v>0.224528</v>
      </c>
      <c r="M9" s="18" t="n">
        <v>0</v>
      </c>
      <c r="N9" s="20" t="n">
        <v>0</v>
      </c>
      <c r="O9" s="18" t="n">
        <v>0</v>
      </c>
      <c r="P9" s="20" t="n">
        <v>0</v>
      </c>
      <c r="Q9" s="18" t="n">
        <v>4.13652976</v>
      </c>
      <c r="R9" s="20" t="n">
        <v>0.92885293</v>
      </c>
    </row>
    <row r="10" spans="1:18">
      <c r="A10" s="15" t="s">
        <v>352</v>
      </c>
      <c r="B10" s="17" t="n">
        <v>20058</v>
      </c>
      <c r="C10" s="18">
        <f>(17557.0/B10*100)</f>
        <v/>
      </c>
      <c r="D10" s="19" t="n">
        <v>2501</v>
      </c>
      <c r="E10" s="18" t="n">
        <v>8.300645210000001</v>
      </c>
      <c r="F10" s="20" t="n">
        <v>0.7165788400000001</v>
      </c>
      <c r="G10" s="18" t="n">
        <v>90.66822349</v>
      </c>
      <c r="H10" s="20" t="n">
        <v>0.73639931</v>
      </c>
      <c r="I10" s="18" t="s">
        <v>349</v>
      </c>
      <c r="J10" s="20" t="s">
        <v>349</v>
      </c>
      <c r="K10" s="18" t="n">
        <v>0.12717967</v>
      </c>
      <c r="L10" s="20" t="n">
        <v>0.05260581</v>
      </c>
      <c r="M10" s="18" t="n">
        <v>0</v>
      </c>
      <c r="N10" s="20" t="n">
        <v>0</v>
      </c>
      <c r="O10" s="18" t="n">
        <v>0</v>
      </c>
      <c r="P10" s="20" t="n">
        <v>0</v>
      </c>
      <c r="Q10" s="18" t="n">
        <v>0.90395163</v>
      </c>
      <c r="R10" s="20" t="n">
        <v>0.25671124</v>
      </c>
    </row>
    <row r="11" spans="1:18">
      <c r="A11" s="15" t="s">
        <v>353</v>
      </c>
      <c r="B11" s="17" t="n">
        <v>7053</v>
      </c>
      <c r="C11" s="18">
        <f>(6205.0/B11*100)</f>
        <v/>
      </c>
      <c r="D11" s="19" t="n">
        <v>848</v>
      </c>
      <c r="E11" s="18" t="n">
        <v>17.93426585</v>
      </c>
      <c r="F11" s="20" t="n">
        <v>1.47804645</v>
      </c>
      <c r="G11" s="18" t="n">
        <v>76.70978977</v>
      </c>
      <c r="H11" s="20" t="n">
        <v>1.73858846</v>
      </c>
      <c r="I11" s="18" t="s">
        <v>349</v>
      </c>
      <c r="J11" s="20" t="s">
        <v>349</v>
      </c>
      <c r="K11" s="18" t="n">
        <v>0.14212512</v>
      </c>
      <c r="L11" s="20" t="n">
        <v>0.14080559</v>
      </c>
      <c r="M11" s="18" t="n">
        <v>0</v>
      </c>
      <c r="N11" s="20" t="n">
        <v>0</v>
      </c>
      <c r="O11" s="18" t="n">
        <v>0</v>
      </c>
      <c r="P11" s="20" t="n">
        <v>0</v>
      </c>
      <c r="Q11" s="18" t="n">
        <v>5.21381926</v>
      </c>
      <c r="R11" s="20" t="n">
        <v>0.83002008</v>
      </c>
    </row>
    <row r="12" spans="1:18">
      <c r="A12" s="15" t="s">
        <v>354</v>
      </c>
      <c r="B12" s="17" t="n">
        <v>6894</v>
      </c>
      <c r="C12" s="18">
        <f>(5986.0/B12*100)</f>
        <v/>
      </c>
      <c r="D12" s="19" t="n">
        <v>908</v>
      </c>
      <c r="E12" s="18" t="n">
        <v>15.57255957</v>
      </c>
      <c r="F12" s="20" t="n">
        <v>2.69949871</v>
      </c>
      <c r="G12" s="18" t="n">
        <v>81.95942708</v>
      </c>
      <c r="H12" s="20" t="n">
        <v>2.99132483</v>
      </c>
      <c r="I12" s="18" t="s">
        <v>349</v>
      </c>
      <c r="J12" s="20" t="s">
        <v>349</v>
      </c>
      <c r="K12" s="18" t="n">
        <v>0</v>
      </c>
      <c r="L12" s="20" t="n">
        <v>0</v>
      </c>
      <c r="M12" s="18" t="n">
        <v>0</v>
      </c>
      <c r="N12" s="20" t="n">
        <v>0</v>
      </c>
      <c r="O12" s="18" t="n">
        <v>0</v>
      </c>
      <c r="P12" s="20" t="n">
        <v>0</v>
      </c>
      <c r="Q12" s="18" t="n">
        <v>2.46801336</v>
      </c>
      <c r="R12" s="20" t="n">
        <v>0.72813907</v>
      </c>
    </row>
    <row r="13" spans="1:18">
      <c r="A13" s="15" t="s">
        <v>355</v>
      </c>
      <c r="B13" s="17" t="n">
        <v>7161</v>
      </c>
      <c r="C13" s="18">
        <f>(5977.0/B13*100)</f>
        <v/>
      </c>
      <c r="D13" s="19" t="n">
        <v>1184</v>
      </c>
      <c r="E13" s="18" t="n">
        <v>6.28036501</v>
      </c>
      <c r="F13" s="20" t="n">
        <v>0.7239032399999999</v>
      </c>
      <c r="G13" s="18" t="n">
        <v>91.82547087</v>
      </c>
      <c r="H13" s="20" t="n">
        <v>0.95674971</v>
      </c>
      <c r="I13" s="18" t="s">
        <v>349</v>
      </c>
      <c r="J13" s="20" t="s">
        <v>349</v>
      </c>
      <c r="K13" s="18" t="n">
        <v>0.4115229</v>
      </c>
      <c r="L13" s="20" t="n">
        <v>0.21589766</v>
      </c>
      <c r="M13" s="18" t="n">
        <v>0</v>
      </c>
      <c r="N13" s="20" t="n">
        <v>0</v>
      </c>
      <c r="O13" s="18" t="n">
        <v>0</v>
      </c>
      <c r="P13" s="20" t="n">
        <v>0</v>
      </c>
      <c r="Q13" s="18" t="n">
        <v>1.48264122</v>
      </c>
      <c r="R13" s="20" t="n">
        <v>0.41405765</v>
      </c>
    </row>
    <row r="14" spans="1:18">
      <c r="A14" s="15" t="s">
        <v>356</v>
      </c>
      <c r="B14" s="17" t="n">
        <v>5587</v>
      </c>
      <c r="C14" s="18">
        <f>(4906.0/B14*100)</f>
        <v/>
      </c>
      <c r="D14" s="19" t="n">
        <v>681</v>
      </c>
      <c r="E14" s="18" t="n">
        <v>14.97021499</v>
      </c>
      <c r="F14" s="20" t="n">
        <v>1.71402292</v>
      </c>
      <c r="G14" s="18" t="n">
        <v>84.08139051000001</v>
      </c>
      <c r="H14" s="20" t="n">
        <v>1.77617152</v>
      </c>
      <c r="I14" s="18" t="s">
        <v>349</v>
      </c>
      <c r="J14" s="20" t="s">
        <v>349</v>
      </c>
      <c r="K14" s="18" t="n">
        <v>0</v>
      </c>
      <c r="L14" s="20" t="n">
        <v>0</v>
      </c>
      <c r="M14" s="18" t="n">
        <v>0</v>
      </c>
      <c r="N14" s="20" t="n">
        <v>0</v>
      </c>
      <c r="O14" s="18" t="n">
        <v>0</v>
      </c>
      <c r="P14" s="20" t="n">
        <v>0</v>
      </c>
      <c r="Q14" s="18" t="n">
        <v>0.9483945</v>
      </c>
      <c r="R14" s="20" t="n">
        <v>0.50837686</v>
      </c>
    </row>
    <row r="15" spans="1:18">
      <c r="A15" s="15" t="s">
        <v>357</v>
      </c>
      <c r="B15" s="17" t="n">
        <v>5882</v>
      </c>
      <c r="C15" s="18">
        <f>(5132.0/B15*100)</f>
        <v/>
      </c>
      <c r="D15" s="19" t="n">
        <v>750</v>
      </c>
      <c r="E15" s="18" t="n">
        <v>6.52506207</v>
      </c>
      <c r="F15" s="20" t="n">
        <v>1.13133304</v>
      </c>
      <c r="G15" s="18" t="n">
        <v>90.46999123000001</v>
      </c>
      <c r="H15" s="20" t="n">
        <v>1.70917035</v>
      </c>
      <c r="I15" s="18" t="s">
        <v>349</v>
      </c>
      <c r="J15" s="20" t="s">
        <v>349</v>
      </c>
      <c r="K15" s="18" t="n">
        <v>0.65444128</v>
      </c>
      <c r="L15" s="20" t="n">
        <v>0.3500606</v>
      </c>
      <c r="M15" s="18" t="n">
        <v>0</v>
      </c>
      <c r="N15" s="20" t="n">
        <v>0</v>
      </c>
      <c r="O15" s="18" t="n">
        <v>0</v>
      </c>
      <c r="P15" s="20" t="n">
        <v>0</v>
      </c>
      <c r="Q15" s="18" t="n">
        <v>2.35050541</v>
      </c>
      <c r="R15" s="20" t="n">
        <v>0.68924334</v>
      </c>
    </row>
    <row r="16" spans="1:18">
      <c r="A16" s="15" t="s">
        <v>358</v>
      </c>
      <c r="B16" s="17" t="n">
        <v>6108</v>
      </c>
      <c r="C16" s="18">
        <f>(5381.0/B16*100)</f>
        <v/>
      </c>
      <c r="D16" s="19" t="n">
        <v>727</v>
      </c>
      <c r="E16" s="18" t="n">
        <v>7.24481282</v>
      </c>
      <c r="F16" s="20" t="n">
        <v>1.02075544</v>
      </c>
      <c r="G16" s="18" t="n">
        <v>90.65662738</v>
      </c>
      <c r="H16" s="20" t="n">
        <v>1.14861093</v>
      </c>
      <c r="I16" s="18" t="s">
        <v>349</v>
      </c>
      <c r="J16" s="20" t="s">
        <v>349</v>
      </c>
      <c r="K16" s="18" t="n">
        <v>0.5365666100000001</v>
      </c>
      <c r="L16" s="20" t="n">
        <v>0.25314186</v>
      </c>
      <c r="M16" s="18" t="n">
        <v>0</v>
      </c>
      <c r="N16" s="20" t="n">
        <v>0</v>
      </c>
      <c r="O16" s="18" t="n">
        <v>0</v>
      </c>
      <c r="P16" s="20" t="n">
        <v>0</v>
      </c>
      <c r="Q16" s="18" t="n">
        <v>1.5619932</v>
      </c>
      <c r="R16" s="20" t="n">
        <v>0.44033339</v>
      </c>
    </row>
    <row r="17" spans="1:18">
      <c r="A17" s="15" t="s">
        <v>359</v>
      </c>
      <c r="B17" s="17" t="n">
        <v>6504</v>
      </c>
      <c r="C17" s="18">
        <f>(5606.0/B17*100)</f>
        <v/>
      </c>
      <c r="D17" s="19" t="n">
        <v>898</v>
      </c>
      <c r="E17" s="18" t="n">
        <v>11.62133413</v>
      </c>
      <c r="F17" s="20" t="n">
        <v>1.11560865</v>
      </c>
      <c r="G17" s="18" t="n">
        <v>83.56409179000001</v>
      </c>
      <c r="H17" s="20" t="n">
        <v>1.99104931</v>
      </c>
      <c r="I17" s="18" t="s">
        <v>349</v>
      </c>
      <c r="J17" s="20" t="s">
        <v>349</v>
      </c>
      <c r="K17" s="18" t="n">
        <v>0.81482681</v>
      </c>
      <c r="L17" s="20" t="n">
        <v>0.32017979</v>
      </c>
      <c r="M17" s="18" t="n">
        <v>0</v>
      </c>
      <c r="N17" s="20" t="n">
        <v>0</v>
      </c>
      <c r="O17" s="18" t="n">
        <v>0</v>
      </c>
      <c r="P17" s="20" t="n">
        <v>0</v>
      </c>
      <c r="Q17" s="18" t="n">
        <v>3.99974726</v>
      </c>
      <c r="R17" s="20" t="n">
        <v>1.09105155</v>
      </c>
    </row>
    <row r="18" spans="1:18">
      <c r="A18" s="15" t="s">
        <v>360</v>
      </c>
      <c r="B18" s="17" t="n">
        <v>5532</v>
      </c>
      <c r="C18" s="18">
        <f>(4859.0/B18*100)</f>
        <v/>
      </c>
      <c r="D18" s="19" t="n">
        <v>673</v>
      </c>
      <c r="E18" s="18" t="n">
        <v>19.68457646</v>
      </c>
      <c r="F18" s="20" t="n">
        <v>2.01624354</v>
      </c>
      <c r="G18" s="18" t="n">
        <v>75.83582370000001</v>
      </c>
      <c r="H18" s="20" t="n">
        <v>2.36607189</v>
      </c>
      <c r="I18" s="18" t="s">
        <v>349</v>
      </c>
      <c r="J18" s="20" t="s">
        <v>349</v>
      </c>
      <c r="K18" s="18" t="n">
        <v>0.27209433</v>
      </c>
      <c r="L18" s="20" t="n">
        <v>0.27310772</v>
      </c>
      <c r="M18" s="18" t="n">
        <v>0</v>
      </c>
      <c r="N18" s="20" t="n">
        <v>0</v>
      </c>
      <c r="O18" s="18" t="n">
        <v>0</v>
      </c>
      <c r="P18" s="20" t="n">
        <v>0</v>
      </c>
      <c r="Q18" s="18" t="n">
        <v>4.20750551</v>
      </c>
      <c r="R18" s="20" t="n">
        <v>0.9541061</v>
      </c>
    </row>
    <row r="19" spans="1:18">
      <c r="A19" s="15" t="s">
        <v>361</v>
      </c>
      <c r="B19" s="17" t="n">
        <v>5658</v>
      </c>
      <c r="C19" s="18">
        <f>(4979.0/B19*100)</f>
        <v/>
      </c>
      <c r="D19" s="19" t="n">
        <v>679</v>
      </c>
      <c r="E19" s="18" t="n">
        <v>17.115204</v>
      </c>
      <c r="F19" s="20" t="n">
        <v>1.55414539</v>
      </c>
      <c r="G19" s="18" t="n">
        <v>80.34566863000001</v>
      </c>
      <c r="H19" s="20" t="n">
        <v>1.52963368</v>
      </c>
      <c r="I19" s="18" t="s">
        <v>349</v>
      </c>
      <c r="J19" s="20" t="s">
        <v>349</v>
      </c>
      <c r="K19" s="18" t="n">
        <v>0</v>
      </c>
      <c r="L19" s="20" t="n">
        <v>0</v>
      </c>
      <c r="M19" s="18" t="n">
        <v>0</v>
      </c>
      <c r="N19" s="20" t="n">
        <v>0</v>
      </c>
      <c r="O19" s="18" t="n">
        <v>0</v>
      </c>
      <c r="P19" s="20" t="n">
        <v>0</v>
      </c>
      <c r="Q19" s="18" t="n">
        <v>2.53912737</v>
      </c>
      <c r="R19" s="20" t="n">
        <v>0.76386067</v>
      </c>
    </row>
    <row r="20" spans="1:18">
      <c r="A20" s="15" t="s">
        <v>362</v>
      </c>
      <c r="B20" s="17" t="n">
        <v>3371</v>
      </c>
      <c r="C20" s="18">
        <f>(2960.0/B20*100)</f>
        <v/>
      </c>
      <c r="D20" s="19" t="n">
        <v>411</v>
      </c>
      <c r="E20" s="18" t="n">
        <v>17.54794507</v>
      </c>
      <c r="F20" s="20" t="n">
        <v>1.92920016</v>
      </c>
      <c r="G20" s="18" t="n">
        <v>81.47624322</v>
      </c>
      <c r="H20" s="20" t="n">
        <v>1.97753649</v>
      </c>
      <c r="I20" s="18" t="s">
        <v>349</v>
      </c>
      <c r="J20" s="20" t="s">
        <v>349</v>
      </c>
      <c r="K20" s="18" t="n">
        <v>0</v>
      </c>
      <c r="L20" s="20" t="n">
        <v>0</v>
      </c>
      <c r="M20" s="18" t="n">
        <v>0</v>
      </c>
      <c r="N20" s="20" t="n">
        <v>0</v>
      </c>
      <c r="O20" s="18" t="n">
        <v>0</v>
      </c>
      <c r="P20" s="20" t="n">
        <v>0</v>
      </c>
      <c r="Q20" s="18" t="n">
        <v>0.97581171</v>
      </c>
      <c r="R20" s="20" t="n">
        <v>0.48679788</v>
      </c>
    </row>
    <row r="21" spans="1:18">
      <c r="A21" s="15" t="s">
        <v>363</v>
      </c>
      <c r="B21" s="17" t="n">
        <v>5741</v>
      </c>
      <c r="C21" s="18">
        <f>(4776.0/B21*100)</f>
        <v/>
      </c>
      <c r="D21" s="19" t="n">
        <v>965</v>
      </c>
      <c r="E21" s="18" t="n">
        <v>9.78315916</v>
      </c>
      <c r="F21" s="20" t="n">
        <v>0.87193175</v>
      </c>
      <c r="G21" s="18" t="n">
        <v>88.60888095999999</v>
      </c>
      <c r="H21" s="20" t="n">
        <v>0.91812524</v>
      </c>
      <c r="I21" s="18" t="s">
        <v>349</v>
      </c>
      <c r="J21" s="20" t="s">
        <v>349</v>
      </c>
      <c r="K21" s="18" t="n">
        <v>0.16104554</v>
      </c>
      <c r="L21" s="20" t="n">
        <v>0.11377921</v>
      </c>
      <c r="M21" s="18" t="n">
        <v>0</v>
      </c>
      <c r="N21" s="20" t="n">
        <v>0</v>
      </c>
      <c r="O21" s="18" t="n">
        <v>0</v>
      </c>
      <c r="P21" s="20" t="n">
        <v>0</v>
      </c>
      <c r="Q21" s="18" t="n">
        <v>1.44691434</v>
      </c>
      <c r="R21" s="20" t="n">
        <v>0.41993965</v>
      </c>
    </row>
    <row r="22" spans="1:18">
      <c r="A22" s="15" t="s">
        <v>364</v>
      </c>
      <c r="B22" s="17" t="n">
        <v>6598</v>
      </c>
      <c r="C22" s="18">
        <f>(5747.0/B22*100)</f>
        <v/>
      </c>
      <c r="D22" s="19" t="n">
        <v>851</v>
      </c>
      <c r="E22" s="18" t="n">
        <v>12.58463057</v>
      </c>
      <c r="F22" s="20" t="n">
        <v>1.44585418</v>
      </c>
      <c r="G22" s="18" t="n">
        <v>83.55828212</v>
      </c>
      <c r="H22" s="20" t="n">
        <v>1.59948479</v>
      </c>
      <c r="I22" s="18" t="s">
        <v>349</v>
      </c>
      <c r="J22" s="20" t="s">
        <v>349</v>
      </c>
      <c r="K22" s="18" t="n">
        <v>0.49670424</v>
      </c>
      <c r="L22" s="20" t="n">
        <v>0.28378552</v>
      </c>
      <c r="M22" s="18" t="n">
        <v>0</v>
      </c>
      <c r="N22" s="20" t="n">
        <v>0</v>
      </c>
      <c r="O22" s="18" t="n">
        <v>0</v>
      </c>
      <c r="P22" s="20" t="n">
        <v>0</v>
      </c>
      <c r="Q22" s="18" t="n">
        <v>3.36038307</v>
      </c>
      <c r="R22" s="20" t="n">
        <v>0.77134887</v>
      </c>
    </row>
    <row r="23" spans="1:18">
      <c r="A23" s="15" t="s">
        <v>365</v>
      </c>
      <c r="B23" s="17" t="n">
        <v>11583</v>
      </c>
      <c r="C23" s="18">
        <f>(10139.0/B23*100)</f>
        <v/>
      </c>
      <c r="D23" s="19" t="n">
        <v>1444</v>
      </c>
      <c r="E23" s="18" t="n">
        <v>12.62882848</v>
      </c>
      <c r="F23" s="20" t="n">
        <v>1.55803002</v>
      </c>
      <c r="G23" s="18" t="n">
        <v>83.33574402000001</v>
      </c>
      <c r="H23" s="20" t="n">
        <v>1.63212509</v>
      </c>
      <c r="I23" s="18" t="s">
        <v>349</v>
      </c>
      <c r="J23" s="20" t="s">
        <v>349</v>
      </c>
      <c r="K23" s="18" t="n">
        <v>0.11181189</v>
      </c>
      <c r="L23" s="20" t="n">
        <v>0.11175676</v>
      </c>
      <c r="M23" s="18" t="n">
        <v>0</v>
      </c>
      <c r="N23" s="20" t="n">
        <v>0</v>
      </c>
      <c r="O23" s="18" t="n">
        <v>0</v>
      </c>
      <c r="P23" s="20" t="n">
        <v>0</v>
      </c>
      <c r="Q23" s="18" t="n">
        <v>3.92361561</v>
      </c>
      <c r="R23" s="20" t="n">
        <v>0.94775089</v>
      </c>
    </row>
    <row r="24" spans="1:18">
      <c r="A24" s="15" t="s">
        <v>366</v>
      </c>
      <c r="B24" s="17" t="n">
        <v>6647</v>
      </c>
      <c r="C24" s="18">
        <f>(5841.0/B24*100)</f>
        <v/>
      </c>
      <c r="D24" s="19" t="n">
        <v>806</v>
      </c>
      <c r="E24" s="18" t="n">
        <v>4.9616343</v>
      </c>
      <c r="F24" s="20" t="n">
        <v>0.72671059</v>
      </c>
      <c r="G24" s="18" t="n">
        <v>93.56376519</v>
      </c>
      <c r="H24" s="20" t="n">
        <v>0.88118752</v>
      </c>
      <c r="I24" s="18" t="s">
        <v>349</v>
      </c>
      <c r="J24" s="20" t="s">
        <v>349</v>
      </c>
      <c r="K24" s="18" t="n">
        <v>0.08849753</v>
      </c>
      <c r="L24" s="20" t="n">
        <v>0.08865061</v>
      </c>
      <c r="M24" s="18" t="n">
        <v>0</v>
      </c>
      <c r="N24" s="20" t="n">
        <v>0</v>
      </c>
      <c r="O24" s="18" t="n">
        <v>0</v>
      </c>
      <c r="P24" s="20" t="n">
        <v>0</v>
      </c>
      <c r="Q24" s="18" t="n">
        <v>1.38610298</v>
      </c>
      <c r="R24" s="20" t="n">
        <v>0.42309157</v>
      </c>
    </row>
    <row r="25" spans="1:18">
      <c r="A25" s="15" t="s">
        <v>367</v>
      </c>
      <c r="B25" s="17" t="n">
        <v>5581</v>
      </c>
      <c r="C25" s="18">
        <f>(4883.0/B25*100)</f>
        <v/>
      </c>
      <c r="D25" s="19" t="n">
        <v>698</v>
      </c>
      <c r="E25" s="18" t="n">
        <v>12.30236382</v>
      </c>
      <c r="F25" s="20" t="n">
        <v>1.25057522</v>
      </c>
      <c r="G25" s="18" t="n">
        <v>85.77444117</v>
      </c>
      <c r="H25" s="20" t="n">
        <v>1.34491036</v>
      </c>
      <c r="I25" s="18" t="s">
        <v>349</v>
      </c>
      <c r="J25" s="20" t="s">
        <v>349</v>
      </c>
      <c r="K25" s="18" t="n">
        <v>0.7050063600000001</v>
      </c>
      <c r="L25" s="20" t="n">
        <v>0.34137314</v>
      </c>
      <c r="M25" s="18" t="n">
        <v>0</v>
      </c>
      <c r="N25" s="20" t="n">
        <v>0</v>
      </c>
      <c r="O25" s="18" t="n">
        <v>0</v>
      </c>
      <c r="P25" s="20" t="n">
        <v>0</v>
      </c>
      <c r="Q25" s="18" t="n">
        <v>1.21818866</v>
      </c>
      <c r="R25" s="20" t="n">
        <v>0.45338651</v>
      </c>
    </row>
    <row r="26" spans="1:18">
      <c r="A26" s="15" t="s">
        <v>368</v>
      </c>
      <c r="B26" s="17" t="n">
        <v>4869</v>
      </c>
      <c r="C26" s="18">
        <f>(4264.0/B26*100)</f>
        <v/>
      </c>
      <c r="D26" s="19" t="n">
        <v>605</v>
      </c>
      <c r="E26" s="18" t="n">
        <v>15.59914654</v>
      </c>
      <c r="F26" s="20" t="n">
        <v>1.69589</v>
      </c>
      <c r="G26" s="18" t="n">
        <v>83.34309483</v>
      </c>
      <c r="H26" s="20" t="n">
        <v>1.73727088</v>
      </c>
      <c r="I26" s="18" t="s">
        <v>349</v>
      </c>
      <c r="J26" s="20" t="s">
        <v>349</v>
      </c>
      <c r="K26" s="18" t="n">
        <v>0.12496009</v>
      </c>
      <c r="L26" s="20" t="n">
        <v>0.12578988</v>
      </c>
      <c r="M26" s="18" t="n">
        <v>0</v>
      </c>
      <c r="N26" s="20" t="n">
        <v>0</v>
      </c>
      <c r="O26" s="18" t="n">
        <v>0</v>
      </c>
      <c r="P26" s="20" t="n">
        <v>0</v>
      </c>
      <c r="Q26" s="18" t="n">
        <v>0.93279855</v>
      </c>
      <c r="R26" s="20" t="n">
        <v>0.45664997</v>
      </c>
    </row>
    <row r="27" spans="1:18">
      <c r="A27" s="15" t="s">
        <v>369</v>
      </c>
      <c r="B27" s="17" t="n">
        <v>5299</v>
      </c>
      <c r="C27" s="18">
        <f>(4651.0/B27*100)</f>
        <v/>
      </c>
      <c r="D27" s="19" t="n">
        <v>648</v>
      </c>
      <c r="E27" s="18" t="n">
        <v>14.72675517</v>
      </c>
      <c r="F27" s="20" t="n">
        <v>1.28096066</v>
      </c>
      <c r="G27" s="18" t="n">
        <v>82.51855836999999</v>
      </c>
      <c r="H27" s="20" t="n">
        <v>1.43023023</v>
      </c>
      <c r="I27" s="18" t="s">
        <v>349</v>
      </c>
      <c r="J27" s="20" t="s">
        <v>349</v>
      </c>
      <c r="K27" s="18" t="n">
        <v>0.31124107</v>
      </c>
      <c r="L27" s="20" t="n">
        <v>0.21995088</v>
      </c>
      <c r="M27" s="18" t="n">
        <v>0</v>
      </c>
      <c r="N27" s="20" t="n">
        <v>0</v>
      </c>
      <c r="O27" s="18" t="n">
        <v>0</v>
      </c>
      <c r="P27" s="20" t="n">
        <v>0</v>
      </c>
      <c r="Q27" s="18" t="n">
        <v>2.44344539</v>
      </c>
      <c r="R27" s="20" t="n">
        <v>0.60126042</v>
      </c>
    </row>
    <row r="28" spans="1:18">
      <c r="A28" s="15" t="s">
        <v>370</v>
      </c>
      <c r="B28" s="17" t="n">
        <v>7568</v>
      </c>
      <c r="C28" s="18">
        <f>(6618.0/B28*100)</f>
        <v/>
      </c>
      <c r="D28" s="19" t="n">
        <v>950</v>
      </c>
      <c r="E28" s="18" t="n">
        <v>29.09054079</v>
      </c>
      <c r="F28" s="20" t="n">
        <v>1.77734578</v>
      </c>
      <c r="G28" s="18" t="n">
        <v>68.42408266</v>
      </c>
      <c r="H28" s="20" t="n">
        <v>1.76281362</v>
      </c>
      <c r="I28" s="18" t="s">
        <v>349</v>
      </c>
      <c r="J28" s="20" t="s">
        <v>349</v>
      </c>
      <c r="K28" s="18" t="n">
        <v>0.21312162</v>
      </c>
      <c r="L28" s="20" t="n">
        <v>0.20613167</v>
      </c>
      <c r="M28" s="18" t="n">
        <v>0</v>
      </c>
      <c r="N28" s="20" t="n">
        <v>0</v>
      </c>
      <c r="O28" s="18" t="n">
        <v>0</v>
      </c>
      <c r="P28" s="20" t="n">
        <v>0</v>
      </c>
      <c r="Q28" s="18" t="n">
        <v>2.27225493</v>
      </c>
      <c r="R28" s="20" t="n">
        <v>0.67748149</v>
      </c>
    </row>
    <row r="29" spans="1:18">
      <c r="A29" s="15" t="s">
        <v>371</v>
      </c>
      <c r="B29" s="17" t="n">
        <v>5385</v>
      </c>
      <c r="C29" s="18">
        <f>(4601.0/B29*100)</f>
        <v/>
      </c>
      <c r="D29" s="19" t="n">
        <v>784</v>
      </c>
      <c r="E29" s="18" t="n">
        <v>8.728411550000001</v>
      </c>
      <c r="F29" s="20" t="n">
        <v>1.39595269</v>
      </c>
      <c r="G29" s="18" t="n">
        <v>89.47867221</v>
      </c>
      <c r="H29" s="20" t="n">
        <v>1.90499191</v>
      </c>
      <c r="I29" s="18" t="s">
        <v>349</v>
      </c>
      <c r="J29" s="20" t="s">
        <v>349</v>
      </c>
      <c r="K29" s="18" t="n">
        <v>0.68178828</v>
      </c>
      <c r="L29" s="20" t="n">
        <v>0.46839235</v>
      </c>
      <c r="M29" s="18" t="n">
        <v>0</v>
      </c>
      <c r="N29" s="20" t="n">
        <v>0</v>
      </c>
      <c r="O29" s="18" t="n">
        <v>0</v>
      </c>
      <c r="P29" s="20" t="n">
        <v>0</v>
      </c>
      <c r="Q29" s="18" t="n">
        <v>1.11112796</v>
      </c>
      <c r="R29" s="20" t="n">
        <v>0.39430811</v>
      </c>
    </row>
    <row r="30" spans="1:18">
      <c r="A30" s="15" t="s">
        <v>372</v>
      </c>
      <c r="B30" s="17" t="n">
        <v>4520</v>
      </c>
      <c r="C30" s="18">
        <f>(3954.0/B30*100)</f>
        <v/>
      </c>
      <c r="D30" s="19" t="n">
        <v>566</v>
      </c>
      <c r="E30" s="18" t="n">
        <v>6.79732777</v>
      </c>
      <c r="F30" s="20" t="n">
        <v>0.98098562</v>
      </c>
      <c r="G30" s="18" t="n">
        <v>91.18031488</v>
      </c>
      <c r="H30" s="20" t="n">
        <v>1.00824241</v>
      </c>
      <c r="I30" s="18" t="s">
        <v>349</v>
      </c>
      <c r="J30" s="20" t="s">
        <v>349</v>
      </c>
      <c r="K30" s="18" t="n">
        <v>0.16026558</v>
      </c>
      <c r="L30" s="20" t="n">
        <v>0.16208216</v>
      </c>
      <c r="M30" s="18" t="n">
        <v>0</v>
      </c>
      <c r="N30" s="20" t="n">
        <v>0</v>
      </c>
      <c r="O30" s="18" t="n">
        <v>0</v>
      </c>
      <c r="P30" s="20" t="n">
        <v>0</v>
      </c>
      <c r="Q30" s="18" t="n">
        <v>1.86209178</v>
      </c>
      <c r="R30" s="20" t="n">
        <v>0.49910983</v>
      </c>
    </row>
    <row r="31" spans="1:18">
      <c r="A31" s="15" t="s">
        <v>373</v>
      </c>
      <c r="B31" s="17" t="n">
        <v>5456</v>
      </c>
      <c r="C31" s="18">
        <f>(4808.0/B31*100)</f>
        <v/>
      </c>
      <c r="D31" s="19" t="n">
        <v>648</v>
      </c>
      <c r="E31" s="18" t="n">
        <v>10.5424601</v>
      </c>
      <c r="F31" s="20" t="n">
        <v>1.12380749</v>
      </c>
      <c r="G31" s="18" t="n">
        <v>86.82703239999999</v>
      </c>
      <c r="H31" s="20" t="n">
        <v>1.2692702</v>
      </c>
      <c r="I31" s="18" t="s">
        <v>349</v>
      </c>
      <c r="J31" s="20" t="s">
        <v>349</v>
      </c>
      <c r="K31" s="18" t="n">
        <v>0.47010097</v>
      </c>
      <c r="L31" s="20" t="n">
        <v>0.17558323</v>
      </c>
      <c r="M31" s="18" t="n">
        <v>0</v>
      </c>
      <c r="N31" s="20" t="n">
        <v>0</v>
      </c>
      <c r="O31" s="18" t="n">
        <v>0</v>
      </c>
      <c r="P31" s="20" t="n">
        <v>0</v>
      </c>
      <c r="Q31" s="18" t="n">
        <v>2.16040654</v>
      </c>
      <c r="R31" s="20" t="n">
        <v>0.57295365</v>
      </c>
    </row>
    <row r="32" spans="1:18">
      <c r="A32" s="15" t="s">
        <v>374</v>
      </c>
      <c r="B32" s="17" t="n">
        <v>4478</v>
      </c>
      <c r="C32" s="18">
        <f>(3735.0/B32*100)</f>
        <v/>
      </c>
      <c r="D32" s="19" t="n">
        <v>743</v>
      </c>
      <c r="E32" s="18" t="n">
        <v>10.19050282</v>
      </c>
      <c r="F32" s="20" t="n">
        <v>1.06577246</v>
      </c>
      <c r="G32" s="18" t="n">
        <v>88.64626733</v>
      </c>
      <c r="H32" s="20" t="n">
        <v>1.10633545</v>
      </c>
      <c r="I32" s="18" t="s">
        <v>349</v>
      </c>
      <c r="J32" s="20" t="s">
        <v>349</v>
      </c>
      <c r="K32" s="18" t="n">
        <v>0</v>
      </c>
      <c r="L32" s="20" t="n">
        <v>0</v>
      </c>
      <c r="M32" s="18" t="n">
        <v>0</v>
      </c>
      <c r="N32" s="20" t="n">
        <v>0</v>
      </c>
      <c r="O32" s="18" t="n">
        <v>0</v>
      </c>
      <c r="P32" s="20" t="n">
        <v>0</v>
      </c>
      <c r="Q32" s="18" t="n">
        <v>1.16322985</v>
      </c>
      <c r="R32" s="20" t="n">
        <v>0.40646617</v>
      </c>
    </row>
    <row r="33" spans="1:18">
      <c r="A33" s="15" t="s">
        <v>375</v>
      </c>
      <c r="B33" s="17" t="n">
        <v>7325</v>
      </c>
      <c r="C33" s="18">
        <f>(6434.0/B33*100)</f>
        <v/>
      </c>
      <c r="D33" s="19" t="n">
        <v>891</v>
      </c>
      <c r="E33" s="18" t="n">
        <v>8.12530812</v>
      </c>
      <c r="F33" s="20" t="n">
        <v>1.19028511</v>
      </c>
      <c r="G33" s="18" t="n">
        <v>90.68411408999999</v>
      </c>
      <c r="H33" s="20" t="n">
        <v>1.23409304</v>
      </c>
      <c r="I33" s="18" t="s">
        <v>349</v>
      </c>
      <c r="J33" s="20" t="s">
        <v>349</v>
      </c>
      <c r="K33" s="18" t="n">
        <v>0.32643799</v>
      </c>
      <c r="L33" s="20" t="n">
        <v>0.22358529</v>
      </c>
      <c r="M33" s="18" t="n">
        <v>0</v>
      </c>
      <c r="N33" s="20" t="n">
        <v>0</v>
      </c>
      <c r="O33" s="18" t="n">
        <v>0</v>
      </c>
      <c r="P33" s="20" t="n">
        <v>0</v>
      </c>
      <c r="Q33" s="18" t="n">
        <v>0.8641398</v>
      </c>
      <c r="R33" s="20" t="n">
        <v>0.28915768</v>
      </c>
    </row>
    <row r="34" spans="1:18">
      <c r="A34" s="15" t="s">
        <v>376</v>
      </c>
      <c r="B34" s="17" t="n">
        <v>6350</v>
      </c>
      <c r="C34" s="18">
        <f>(5450.0/B34*100)</f>
        <v/>
      </c>
      <c r="D34" s="19" t="n">
        <v>900</v>
      </c>
      <c r="E34" s="18" t="n">
        <v>21.9669973</v>
      </c>
      <c r="F34" s="20" t="n">
        <v>1.94034451</v>
      </c>
      <c r="G34" s="18" t="n">
        <v>73.90412093</v>
      </c>
      <c r="H34" s="20" t="n">
        <v>2.32329127</v>
      </c>
      <c r="I34" s="18" t="s">
        <v>349</v>
      </c>
      <c r="J34" s="20" t="s">
        <v>349</v>
      </c>
      <c r="K34" s="18" t="n">
        <v>0.21129869</v>
      </c>
      <c r="L34" s="20" t="n">
        <v>0.15437134</v>
      </c>
      <c r="M34" s="18" t="n">
        <v>0</v>
      </c>
      <c r="N34" s="20" t="n">
        <v>0</v>
      </c>
      <c r="O34" s="18" t="n">
        <v>0</v>
      </c>
      <c r="P34" s="20" t="n">
        <v>0</v>
      </c>
      <c r="Q34" s="18" t="n">
        <v>3.91758307</v>
      </c>
      <c r="R34" s="20" t="n">
        <v>0.93329717</v>
      </c>
    </row>
    <row r="35" spans="1:18">
      <c r="A35" s="15" t="s">
        <v>377</v>
      </c>
      <c r="B35" s="17" t="n">
        <v>6406</v>
      </c>
      <c r="C35" s="18">
        <f>(5524.0/B35*100)</f>
        <v/>
      </c>
      <c r="D35" s="19" t="n">
        <v>882</v>
      </c>
      <c r="E35" s="18" t="n">
        <v>15.16529824</v>
      </c>
      <c r="F35" s="20" t="n">
        <v>1.46060118</v>
      </c>
      <c r="G35" s="18" t="n">
        <v>82.77273015999999</v>
      </c>
      <c r="H35" s="20" t="n">
        <v>1.48413966</v>
      </c>
      <c r="I35" s="18" t="s">
        <v>349</v>
      </c>
      <c r="J35" s="20" t="s">
        <v>349</v>
      </c>
      <c r="K35" s="18" t="n">
        <v>0</v>
      </c>
      <c r="L35" s="20" t="n">
        <v>0</v>
      </c>
      <c r="M35" s="18" t="n">
        <v>0</v>
      </c>
      <c r="N35" s="20" t="n">
        <v>0</v>
      </c>
      <c r="O35" s="18" t="n">
        <v>0</v>
      </c>
      <c r="P35" s="20" t="n">
        <v>0</v>
      </c>
      <c r="Q35" s="18" t="n">
        <v>2.0619716</v>
      </c>
      <c r="R35" s="20" t="n">
        <v>0.46104376</v>
      </c>
    </row>
    <row r="36" spans="1:18">
      <c r="A36" s="15" t="s">
        <v>378</v>
      </c>
      <c r="B36" s="17" t="n">
        <v>6736</v>
      </c>
      <c r="C36" s="18">
        <f>(5893.0/B36*100)</f>
        <v/>
      </c>
      <c r="D36" s="19" t="n">
        <v>843</v>
      </c>
      <c r="E36" s="18" t="n">
        <v>11.97608776</v>
      </c>
      <c r="F36" s="20" t="n">
        <v>1.16555839</v>
      </c>
      <c r="G36" s="18" t="n">
        <v>85.75817264</v>
      </c>
      <c r="H36" s="20" t="n">
        <v>1.23900656</v>
      </c>
      <c r="I36" s="18" t="s">
        <v>349</v>
      </c>
      <c r="J36" s="20" t="s">
        <v>349</v>
      </c>
      <c r="K36" s="18" t="n">
        <v>0.27614487</v>
      </c>
      <c r="L36" s="20" t="n">
        <v>0.16183635</v>
      </c>
      <c r="M36" s="18" t="n">
        <v>0</v>
      </c>
      <c r="N36" s="20" t="n">
        <v>0</v>
      </c>
      <c r="O36" s="18" t="n">
        <v>0</v>
      </c>
      <c r="P36" s="20" t="n">
        <v>0</v>
      </c>
      <c r="Q36" s="18" t="n">
        <v>1.98959474</v>
      </c>
      <c r="R36" s="20" t="n">
        <v>0.51466615</v>
      </c>
    </row>
    <row r="37" spans="1:18">
      <c r="A37" s="15" t="s">
        <v>379</v>
      </c>
      <c r="B37" s="17" t="n">
        <v>5458</v>
      </c>
      <c r="C37" s="18">
        <f>(4785.0/B37*100)</f>
        <v/>
      </c>
      <c r="D37" s="19" t="n">
        <v>673</v>
      </c>
      <c r="E37" s="18" t="n">
        <v>13.17089663</v>
      </c>
      <c r="F37" s="20" t="n">
        <v>1.34599703</v>
      </c>
      <c r="G37" s="18" t="n">
        <v>84.97167757</v>
      </c>
      <c r="H37" s="20" t="n">
        <v>1.50663446</v>
      </c>
      <c r="I37" s="18" t="s">
        <v>349</v>
      </c>
      <c r="J37" s="20" t="s">
        <v>349</v>
      </c>
      <c r="K37" s="18" t="n">
        <v>0.3908632</v>
      </c>
      <c r="L37" s="20" t="n">
        <v>0.28377871</v>
      </c>
      <c r="M37" s="18" t="n">
        <v>0</v>
      </c>
      <c r="N37" s="20" t="n">
        <v>0</v>
      </c>
      <c r="O37" s="18" t="n">
        <v>0</v>
      </c>
      <c r="P37" s="20" t="n">
        <v>0</v>
      </c>
      <c r="Q37" s="18" t="n">
        <v>1.4665626</v>
      </c>
      <c r="R37" s="20" t="n">
        <v>0.52517147</v>
      </c>
    </row>
    <row r="38" spans="1:18">
      <c r="A38" s="15" t="s">
        <v>380</v>
      </c>
      <c r="B38" s="17" t="n">
        <v>5860</v>
      </c>
      <c r="C38" s="18">
        <f>(4864.0/B38*100)</f>
        <v/>
      </c>
      <c r="D38" s="19" t="n">
        <v>996</v>
      </c>
      <c r="E38" s="18" t="n">
        <v>9.02778571</v>
      </c>
      <c r="F38" s="20" t="n">
        <v>1.17566388</v>
      </c>
      <c r="G38" s="18" t="n">
        <v>88.5182102</v>
      </c>
      <c r="H38" s="20" t="n">
        <v>1.20180383</v>
      </c>
      <c r="I38" s="18" t="s">
        <v>349</v>
      </c>
      <c r="J38" s="20" t="s">
        <v>349</v>
      </c>
      <c r="K38" s="18" t="n">
        <v>0</v>
      </c>
      <c r="L38" s="20" t="n">
        <v>0</v>
      </c>
      <c r="M38" s="18" t="n">
        <v>0</v>
      </c>
      <c r="N38" s="20" t="n">
        <v>0</v>
      </c>
      <c r="O38" s="18" t="n">
        <v>0</v>
      </c>
      <c r="P38" s="20" t="n">
        <v>0</v>
      </c>
      <c r="Q38" s="18" t="n">
        <v>2.45400409</v>
      </c>
      <c r="R38" s="20" t="n">
        <v>0.47194288</v>
      </c>
    </row>
    <row r="39" spans="1:18">
      <c r="A39" s="15" t="s">
        <v>381</v>
      </c>
      <c r="B39" s="17" t="n">
        <v>5895</v>
      </c>
      <c r="C39" s="18">
        <f>(5171.0/B39*100)</f>
        <v/>
      </c>
      <c r="D39" s="19" t="n">
        <v>724</v>
      </c>
      <c r="E39" s="18" t="n">
        <v>40.71481563</v>
      </c>
      <c r="F39" s="20" t="n">
        <v>1.79086869</v>
      </c>
      <c r="G39" s="18" t="n">
        <v>56.07560811</v>
      </c>
      <c r="H39" s="20" t="n">
        <v>1.92361499</v>
      </c>
      <c r="I39" s="18" t="s">
        <v>349</v>
      </c>
      <c r="J39" s="20" t="s">
        <v>349</v>
      </c>
      <c r="K39" s="18" t="n">
        <v>0</v>
      </c>
      <c r="L39" s="20" t="n">
        <v>0</v>
      </c>
      <c r="M39" s="18" t="n">
        <v>0</v>
      </c>
      <c r="N39" s="20" t="n">
        <v>0</v>
      </c>
      <c r="O39" s="18" t="n">
        <v>0</v>
      </c>
      <c r="P39" s="20" t="n">
        <v>0</v>
      </c>
      <c r="Q39" s="18" t="n">
        <v>3.20957625</v>
      </c>
      <c r="R39" s="20" t="n">
        <v>0.69436853</v>
      </c>
    </row>
    <row r="40" spans="1:18">
      <c r="A40" s="15" t="s">
        <v>382</v>
      </c>
      <c r="B40" s="17" t="n">
        <v>14157</v>
      </c>
      <c r="C40" s="18">
        <f>(12445.0/B40*100)</f>
        <v/>
      </c>
      <c r="D40" s="19" t="n">
        <v>1712</v>
      </c>
      <c r="E40" s="18" t="n">
        <v>9.65358189</v>
      </c>
      <c r="F40" s="20" t="n">
        <v>1.22652612</v>
      </c>
      <c r="G40" s="18" t="n">
        <v>86.76274409</v>
      </c>
      <c r="H40" s="20" t="n">
        <v>1.3941021</v>
      </c>
      <c r="I40" s="18" t="s">
        <v>349</v>
      </c>
      <c r="J40" s="20" t="s">
        <v>349</v>
      </c>
      <c r="K40" s="18" t="n">
        <v>0.12499997</v>
      </c>
      <c r="L40" s="20" t="n">
        <v>0.15678038</v>
      </c>
      <c r="M40" s="18" t="n">
        <v>0</v>
      </c>
      <c r="N40" s="20" t="n">
        <v>0</v>
      </c>
      <c r="O40" s="18" t="n">
        <v>0</v>
      </c>
      <c r="P40" s="20" t="n">
        <v>0</v>
      </c>
      <c r="Q40" s="18" t="n">
        <v>3.45867405</v>
      </c>
      <c r="R40" s="20" t="n">
        <v>0.76427395</v>
      </c>
    </row>
    <row r="41" spans="1:18">
      <c r="A41" s="15" t="s">
        <v>383</v>
      </c>
      <c r="B41" s="17" t="n">
        <v>5712</v>
      </c>
      <c r="C41" s="18">
        <f>(4975.0/B41*100)</f>
        <v/>
      </c>
      <c r="D41" s="19" t="n">
        <v>737</v>
      </c>
      <c r="E41" s="18" t="n">
        <v>11.13334511</v>
      </c>
      <c r="F41" s="20" t="n">
        <v>1.36266459</v>
      </c>
      <c r="G41" s="18" t="n">
        <v>87.88603912000001</v>
      </c>
      <c r="H41" s="20" t="n">
        <v>1.42496147</v>
      </c>
      <c r="I41" s="18" t="s">
        <v>349</v>
      </c>
      <c r="J41" s="20" t="s">
        <v>349</v>
      </c>
      <c r="K41" s="18" t="n">
        <v>0.12958392</v>
      </c>
      <c r="L41" s="20" t="n">
        <v>0.12541458</v>
      </c>
      <c r="M41" s="18" t="n">
        <v>0</v>
      </c>
      <c r="N41" s="20" t="n">
        <v>0</v>
      </c>
      <c r="O41" s="18" t="n">
        <v>0</v>
      </c>
      <c r="P41" s="20" t="n">
        <v>0</v>
      </c>
      <c r="Q41" s="18" t="n">
        <v>0.85103185</v>
      </c>
      <c r="R41" s="20" t="n">
        <v>0.36343631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(20356.0/B46*100)</f>
        <v/>
      </c>
      <c r="D46" s="19" t="n">
        <v>2785</v>
      </c>
      <c r="E46" s="18" t="n">
        <v>31.2479556</v>
      </c>
      <c r="F46" s="20" t="n">
        <v>1.07312486</v>
      </c>
      <c r="G46" s="18" t="n">
        <v>61.80949192</v>
      </c>
      <c r="H46" s="20" t="n">
        <v>1.1041255</v>
      </c>
      <c r="I46" s="18" t="s">
        <v>349</v>
      </c>
      <c r="J46" s="20" t="s">
        <v>349</v>
      </c>
      <c r="K46" s="18" t="n">
        <v>0.2604149</v>
      </c>
      <c r="L46" s="20" t="n">
        <v>0.11703805</v>
      </c>
      <c r="M46" s="18" t="n">
        <v>0</v>
      </c>
      <c r="N46" s="20" t="n">
        <v>0</v>
      </c>
      <c r="O46" s="18" t="n">
        <v>0</v>
      </c>
      <c r="P46" s="20" t="n">
        <v>0</v>
      </c>
      <c r="Q46" s="18" t="n">
        <v>6.68213757</v>
      </c>
      <c r="R46" s="20" t="n">
        <v>0.61986813</v>
      </c>
    </row>
    <row r="47" spans="1:18">
      <c r="A47" s="15" t="s">
        <v>389</v>
      </c>
      <c r="B47" s="17" t="n">
        <v>5928</v>
      </c>
      <c r="C47" s="18">
        <f>(5213.0/B47*100)</f>
        <v/>
      </c>
      <c r="D47" s="19" t="n">
        <v>715</v>
      </c>
      <c r="E47" s="18" t="n">
        <v>22.14683098</v>
      </c>
      <c r="F47" s="20" t="n">
        <v>1.74794275</v>
      </c>
      <c r="G47" s="18" t="n">
        <v>73.06226116000001</v>
      </c>
      <c r="H47" s="20" t="n">
        <v>1.90342179</v>
      </c>
      <c r="I47" s="18" t="s">
        <v>349</v>
      </c>
      <c r="J47" s="20" t="s">
        <v>349</v>
      </c>
      <c r="K47" s="18" t="n">
        <v>0</v>
      </c>
      <c r="L47" s="20" t="n">
        <v>0</v>
      </c>
      <c r="M47" s="18" t="n">
        <v>0</v>
      </c>
      <c r="N47" s="20" t="n">
        <v>0</v>
      </c>
      <c r="O47" s="18" t="n">
        <v>0</v>
      </c>
      <c r="P47" s="20" t="n">
        <v>0</v>
      </c>
      <c r="Q47" s="18" t="n">
        <v>4.79090786</v>
      </c>
      <c r="R47" s="20" t="n">
        <v>0.85920252</v>
      </c>
    </row>
    <row r="48" spans="1:18">
      <c r="A48" s="15" t="s">
        <v>390</v>
      </c>
      <c r="B48" s="17" t="n">
        <v>9841</v>
      </c>
      <c r="C48" s="18">
        <f>(8625.0/B48*100)</f>
        <v/>
      </c>
      <c r="D48" s="19" t="n">
        <v>1216</v>
      </c>
      <c r="E48" s="18" t="n">
        <v>14.55922829</v>
      </c>
      <c r="F48" s="20" t="n">
        <v>1.44770021</v>
      </c>
      <c r="G48" s="18" t="n">
        <v>84.38496004</v>
      </c>
      <c r="H48" s="20" t="n">
        <v>1.43231992</v>
      </c>
      <c r="I48" s="18" t="s">
        <v>349</v>
      </c>
      <c r="J48" s="20" t="s">
        <v>349</v>
      </c>
      <c r="K48" s="18" t="n">
        <v>0.49554632</v>
      </c>
      <c r="L48" s="20" t="n">
        <v>0.24885773</v>
      </c>
      <c r="M48" s="18" t="n">
        <v>0</v>
      </c>
      <c r="N48" s="20" t="n">
        <v>0</v>
      </c>
      <c r="O48" s="18" t="n">
        <v>0</v>
      </c>
      <c r="P48" s="20" t="n">
        <v>0</v>
      </c>
      <c r="Q48" s="18" t="n">
        <v>0.56026535</v>
      </c>
      <c r="R48" s="20" t="n">
        <v>0.2814275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(10347.0/B50*100)</f>
        <v/>
      </c>
      <c r="D50" s="19" t="n">
        <v>1448</v>
      </c>
      <c r="E50" s="18" t="n">
        <v>24.68925129</v>
      </c>
      <c r="F50" s="20" t="n">
        <v>1.62689555</v>
      </c>
      <c r="G50" s="18" t="n">
        <v>72.79216219</v>
      </c>
      <c r="H50" s="20" t="n">
        <v>1.67486702</v>
      </c>
      <c r="I50" s="18" t="s">
        <v>349</v>
      </c>
      <c r="J50" s="20" t="s">
        <v>349</v>
      </c>
      <c r="K50" s="18" t="n">
        <v>0.49984686</v>
      </c>
      <c r="L50" s="20" t="n">
        <v>0.2559917</v>
      </c>
      <c r="M50" s="18" t="n">
        <v>0</v>
      </c>
      <c r="N50" s="20" t="n">
        <v>0</v>
      </c>
      <c r="O50" s="18" t="n">
        <v>0</v>
      </c>
      <c r="P50" s="20" t="n">
        <v>0</v>
      </c>
      <c r="Q50" s="18" t="n">
        <v>2.01873965</v>
      </c>
      <c r="R50" s="20" t="n">
        <v>0.48314819</v>
      </c>
    </row>
    <row r="51" spans="1:18">
      <c r="A51" s="15" t="s">
        <v>393</v>
      </c>
      <c r="B51" s="17" t="n">
        <v>6866</v>
      </c>
      <c r="C51" s="18">
        <f>(5415.0/B51*100)</f>
        <v/>
      </c>
      <c r="D51" s="19" t="n">
        <v>1451</v>
      </c>
      <c r="E51" s="18" t="n">
        <v>21.30874637</v>
      </c>
      <c r="F51" s="20" t="n">
        <v>1.45898931</v>
      </c>
      <c r="G51" s="18" t="n">
        <v>76.90274646</v>
      </c>
      <c r="H51" s="20" t="n">
        <v>1.51533841</v>
      </c>
      <c r="I51" s="18" t="s">
        <v>349</v>
      </c>
      <c r="J51" s="20" t="s">
        <v>349</v>
      </c>
      <c r="K51" s="18" t="n">
        <v>0.21713042</v>
      </c>
      <c r="L51" s="20" t="n">
        <v>0.1202561</v>
      </c>
      <c r="M51" s="18" t="n">
        <v>0</v>
      </c>
      <c r="N51" s="20" t="n">
        <v>0</v>
      </c>
      <c r="O51" s="18" t="n">
        <v>0</v>
      </c>
      <c r="P51" s="20" t="n">
        <v>0</v>
      </c>
      <c r="Q51" s="18" t="n">
        <v>1.57137674</v>
      </c>
      <c r="R51" s="20" t="n">
        <v>0.35789252</v>
      </c>
    </row>
    <row r="52" spans="1:18">
      <c r="A52" s="15" t="s">
        <v>394</v>
      </c>
      <c r="B52" s="17" t="n">
        <v>5809</v>
      </c>
      <c r="C52" s="18">
        <f>(5097.0/B52*100)</f>
        <v/>
      </c>
      <c r="D52" s="19" t="n">
        <v>712</v>
      </c>
      <c r="E52" s="18" t="n">
        <v>16.28384612</v>
      </c>
      <c r="F52" s="20" t="n">
        <v>1.4818942</v>
      </c>
      <c r="G52" s="18" t="n">
        <v>80.52805868999999</v>
      </c>
      <c r="H52" s="20" t="n">
        <v>1.41442171</v>
      </c>
      <c r="I52" s="18" t="s">
        <v>349</v>
      </c>
      <c r="J52" s="20" t="s">
        <v>349</v>
      </c>
      <c r="K52" s="18" t="n">
        <v>0</v>
      </c>
      <c r="L52" s="20" t="n">
        <v>0</v>
      </c>
      <c r="M52" s="18" t="n">
        <v>0</v>
      </c>
      <c r="N52" s="20" t="n">
        <v>0</v>
      </c>
      <c r="O52" s="18" t="n">
        <v>0</v>
      </c>
      <c r="P52" s="20" t="n">
        <v>0</v>
      </c>
      <c r="Q52" s="18" t="n">
        <v>3.18809518</v>
      </c>
      <c r="R52" s="20" t="n">
        <v>0.74117217</v>
      </c>
    </row>
    <row r="53" spans="1:18">
      <c r="A53" s="15" t="s">
        <v>395</v>
      </c>
      <c r="B53" s="17" t="n">
        <v>5571</v>
      </c>
      <c r="C53" s="18">
        <f>(4878.0/B53*100)</f>
        <v/>
      </c>
      <c r="D53" s="19" t="n">
        <v>693</v>
      </c>
      <c r="E53" s="18" t="n">
        <v>22.15318614</v>
      </c>
      <c r="F53" s="20" t="n">
        <v>1.80369425</v>
      </c>
      <c r="G53" s="18" t="n">
        <v>72.81931771000001</v>
      </c>
      <c r="H53" s="20" t="n">
        <v>1.94594628</v>
      </c>
      <c r="I53" s="18" t="s">
        <v>349</v>
      </c>
      <c r="J53" s="20" t="s">
        <v>349</v>
      </c>
      <c r="K53" s="18" t="n">
        <v>0.19481037</v>
      </c>
      <c r="L53" s="20" t="n">
        <v>0.19322256</v>
      </c>
      <c r="M53" s="18" t="n">
        <v>0</v>
      </c>
      <c r="N53" s="20" t="n">
        <v>0</v>
      </c>
      <c r="O53" s="18" t="n">
        <v>0</v>
      </c>
      <c r="P53" s="20" t="n">
        <v>0</v>
      </c>
      <c r="Q53" s="18" t="n">
        <v>4.83268578</v>
      </c>
      <c r="R53" s="20" t="n">
        <v>0.77689984</v>
      </c>
    </row>
    <row r="54" spans="1:18">
      <c r="A54" s="15" t="s">
        <v>396</v>
      </c>
      <c r="B54" s="17" t="n">
        <v>4740</v>
      </c>
      <c r="C54" s="18">
        <f>(3964.0/B54*100)</f>
        <v/>
      </c>
      <c r="D54" s="19" t="n">
        <v>776</v>
      </c>
      <c r="E54" s="18" t="n">
        <v>42.13377045</v>
      </c>
      <c r="F54" s="20" t="n">
        <v>2.23745972</v>
      </c>
      <c r="G54" s="18" t="n">
        <v>44.25140485</v>
      </c>
      <c r="H54" s="20" t="n">
        <v>2.33303715</v>
      </c>
      <c r="I54" s="18" t="s">
        <v>349</v>
      </c>
      <c r="J54" s="20" t="s">
        <v>349</v>
      </c>
      <c r="K54" s="18" t="n">
        <v>3.30069395</v>
      </c>
      <c r="L54" s="20" t="n">
        <v>0.75612216</v>
      </c>
      <c r="M54" s="18" t="n">
        <v>0</v>
      </c>
      <c r="N54" s="20" t="n">
        <v>0</v>
      </c>
      <c r="O54" s="18" t="n">
        <v>0</v>
      </c>
      <c r="P54" s="20" t="n">
        <v>0</v>
      </c>
      <c r="Q54" s="18" t="n">
        <v>10.31413075</v>
      </c>
      <c r="R54" s="20" t="n">
        <v>1.10412738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5.91244653</v>
      </c>
      <c r="F56" s="20" t="n">
        <v>0.95473108</v>
      </c>
      <c r="G56" s="18" t="n">
        <v>93.26495416</v>
      </c>
      <c r="H56" s="20" t="n">
        <v>1.12364052</v>
      </c>
      <c r="I56" s="18" t="s">
        <v>349</v>
      </c>
      <c r="J56" s="20" t="s">
        <v>349</v>
      </c>
      <c r="K56" s="18" t="n">
        <v>0</v>
      </c>
      <c r="L56" s="20" t="n">
        <v>0</v>
      </c>
      <c r="M56" s="18" t="n">
        <v>0</v>
      </c>
      <c r="N56" s="20" t="n">
        <v>0</v>
      </c>
      <c r="O56" s="18" t="n">
        <v>0</v>
      </c>
      <c r="P56" s="20" t="n">
        <v>0</v>
      </c>
      <c r="Q56" s="18" t="n">
        <v>0.82259931</v>
      </c>
      <c r="R56" s="20" t="n">
        <v>0.38353407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(5703.0/B61*100)</f>
        <v/>
      </c>
      <c r="D61" s="19" t="n">
        <v>822</v>
      </c>
      <c r="E61" s="18" t="n">
        <v>15.07713394</v>
      </c>
      <c r="F61" s="20" t="n">
        <v>1.39240211</v>
      </c>
      <c r="G61" s="18" t="n">
        <v>83.90600444</v>
      </c>
      <c r="H61" s="20" t="n">
        <v>1.40975424</v>
      </c>
      <c r="I61" s="18" t="s">
        <v>349</v>
      </c>
      <c r="J61" s="20" t="s">
        <v>349</v>
      </c>
      <c r="K61" s="18" t="n">
        <v>0.35678322</v>
      </c>
      <c r="L61" s="20" t="n">
        <v>0.35098483</v>
      </c>
      <c r="M61" s="18" t="n">
        <v>0</v>
      </c>
      <c r="N61" s="20" t="n">
        <v>0</v>
      </c>
      <c r="O61" s="18" t="n">
        <v>0</v>
      </c>
      <c r="P61" s="20" t="n">
        <v>0</v>
      </c>
      <c r="Q61" s="18" t="n">
        <v>0.66007839</v>
      </c>
      <c r="R61" s="20" t="n">
        <v>0.28740559</v>
      </c>
    </row>
    <row r="62" spans="1:18">
      <c r="A62" s="15" t="s">
        <v>404</v>
      </c>
      <c r="B62" s="17" t="n">
        <v>4476</v>
      </c>
      <c r="C62" s="18">
        <f>(3919.0/B62*100)</f>
        <v/>
      </c>
      <c r="D62" s="19" t="n">
        <v>557</v>
      </c>
      <c r="E62" s="18" t="n">
        <v>7.19069195</v>
      </c>
      <c r="F62" s="20" t="n">
        <v>1.07485589</v>
      </c>
      <c r="G62" s="18" t="n">
        <v>92.42382612999999</v>
      </c>
      <c r="H62" s="20" t="n">
        <v>1.06946446</v>
      </c>
      <c r="I62" s="18" t="s">
        <v>349</v>
      </c>
      <c r="J62" s="20" t="s">
        <v>349</v>
      </c>
      <c r="K62" s="18" t="n">
        <v>0</v>
      </c>
      <c r="L62" s="20" t="n">
        <v>0</v>
      </c>
      <c r="M62" s="18" t="n">
        <v>0</v>
      </c>
      <c r="N62" s="20" t="n">
        <v>0</v>
      </c>
      <c r="O62" s="18" t="n">
        <v>0</v>
      </c>
      <c r="P62" s="20" t="n">
        <v>0</v>
      </c>
      <c r="Q62" s="18" t="n">
        <v>0.38548191</v>
      </c>
      <c r="R62" s="20" t="n">
        <v>0.2738951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(4974.0/B66*100)</f>
        <v/>
      </c>
      <c r="D66" s="19" t="n">
        <v>691</v>
      </c>
      <c r="E66" s="18" t="n">
        <v>17.693762</v>
      </c>
      <c r="F66" s="20" t="n">
        <v>1.45153107</v>
      </c>
      <c r="G66" s="18" t="n">
        <v>74.79570688</v>
      </c>
      <c r="H66" s="20" t="n">
        <v>1.64452019</v>
      </c>
      <c r="I66" s="18" t="s">
        <v>349</v>
      </c>
      <c r="J66" s="20" t="s">
        <v>349</v>
      </c>
      <c r="K66" s="18" t="n">
        <v>0.18662016</v>
      </c>
      <c r="L66" s="20" t="n">
        <v>0.18595157</v>
      </c>
      <c r="M66" s="18" t="n">
        <v>0</v>
      </c>
      <c r="N66" s="20" t="n">
        <v>0</v>
      </c>
      <c r="O66" s="18" t="n">
        <v>0</v>
      </c>
      <c r="P66" s="20" t="n">
        <v>0</v>
      </c>
      <c r="Q66" s="18" t="n">
        <v>7.32391096</v>
      </c>
      <c r="R66" s="20" t="n">
        <v>1.04139681</v>
      </c>
    </row>
    <row r="67" spans="1:18">
      <c r="A67" s="15" t="s">
        <v>409</v>
      </c>
      <c r="B67" s="17" t="n">
        <v>6971</v>
      </c>
      <c r="C67" s="18">
        <f>(6124.0/B67*100)</f>
        <v/>
      </c>
      <c r="D67" s="19" t="n">
        <v>847</v>
      </c>
      <c r="E67" s="18" t="n">
        <v>33.20523567</v>
      </c>
      <c r="F67" s="20" t="n">
        <v>1.59175897</v>
      </c>
      <c r="G67" s="18" t="n">
        <v>62.83460998</v>
      </c>
      <c r="H67" s="20" t="n">
        <v>1.73893154</v>
      </c>
      <c r="I67" s="18" t="s">
        <v>349</v>
      </c>
      <c r="J67" s="20" t="s">
        <v>349</v>
      </c>
      <c r="K67" s="18" t="n">
        <v>0</v>
      </c>
      <c r="L67" s="20" t="n">
        <v>0</v>
      </c>
      <c r="M67" s="18" t="n">
        <v>0</v>
      </c>
      <c r="N67" s="20" t="n">
        <v>0</v>
      </c>
      <c r="O67" s="18" t="n">
        <v>0</v>
      </c>
      <c r="P67" s="20" t="n">
        <v>0</v>
      </c>
      <c r="Q67" s="18" t="n">
        <v>3.96015435</v>
      </c>
      <c r="R67" s="20" t="n">
        <v>0.76288437</v>
      </c>
    </row>
    <row r="68" spans="1:18">
      <c r="A68" s="15" t="s">
        <v>410</v>
      </c>
      <c r="B68" s="17" t="n">
        <v>12083</v>
      </c>
      <c r="C68" s="18">
        <f>(10088.0/B68*100)</f>
        <v/>
      </c>
      <c r="D68" s="19" t="n">
        <v>1995</v>
      </c>
      <c r="E68" s="18" t="n">
        <v>27.56354569</v>
      </c>
      <c r="F68" s="20" t="n">
        <v>0.96720929</v>
      </c>
      <c r="G68" s="18" t="n">
        <v>67.01616237</v>
      </c>
      <c r="H68" s="20" t="n">
        <v>1.02090291</v>
      </c>
      <c r="I68" s="18" t="s">
        <v>349</v>
      </c>
      <c r="J68" s="20" t="s">
        <v>349</v>
      </c>
      <c r="K68" s="18" t="n">
        <v>0.72015616</v>
      </c>
      <c r="L68" s="20" t="n">
        <v>0.20067768</v>
      </c>
      <c r="M68" s="18" t="n">
        <v>0</v>
      </c>
      <c r="N68" s="20" t="n">
        <v>0</v>
      </c>
      <c r="O68" s="18" t="n">
        <v>0</v>
      </c>
      <c r="P68" s="20" t="n">
        <v>0</v>
      </c>
      <c r="Q68" s="18" t="n">
        <v>4.70013579</v>
      </c>
      <c r="R68" s="20" t="n">
        <v>0.5549526299999999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(5284.0/B70*100)</f>
        <v/>
      </c>
      <c r="D70" s="19" t="n">
        <v>752</v>
      </c>
      <c r="E70" s="18" t="n">
        <v>11.49478689</v>
      </c>
      <c r="F70" s="20" t="n">
        <v>1.93893655</v>
      </c>
      <c r="G70" s="18" t="n">
        <v>87.36007823</v>
      </c>
      <c r="H70" s="20" t="n">
        <v>1.93150614</v>
      </c>
      <c r="I70" s="18" t="s">
        <v>349</v>
      </c>
      <c r="J70" s="20" t="s">
        <v>349</v>
      </c>
      <c r="K70" s="18" t="n">
        <v>0.10438145</v>
      </c>
      <c r="L70" s="20" t="n">
        <v>0.10382947</v>
      </c>
      <c r="M70" s="18" t="n">
        <v>0</v>
      </c>
      <c r="N70" s="20" t="n">
        <v>0</v>
      </c>
      <c r="O70" s="18" t="n">
        <v>0</v>
      </c>
      <c r="P70" s="20" t="n">
        <v>0</v>
      </c>
      <c r="Q70" s="18" t="n">
        <v>1.04075343</v>
      </c>
      <c r="R70" s="20" t="n">
        <v>0.29573051</v>
      </c>
    </row>
    <row r="71" spans="1:18">
      <c r="A71" s="15" t="s">
        <v>413</v>
      </c>
      <c r="B71" s="17" t="n">
        <v>6115</v>
      </c>
      <c r="C71" s="18">
        <f>(5348.0/B71*100)</f>
        <v/>
      </c>
      <c r="D71" s="19" t="n">
        <v>767</v>
      </c>
      <c r="E71" s="18" t="n">
        <v>6.7630736</v>
      </c>
      <c r="F71" s="20" t="n">
        <v>0.9208062299999999</v>
      </c>
      <c r="G71" s="18" t="n">
        <v>92.87793258000001</v>
      </c>
      <c r="H71" s="20" t="n">
        <v>0.92233558</v>
      </c>
      <c r="I71" s="18" t="s">
        <v>349</v>
      </c>
      <c r="J71" s="20" t="s">
        <v>349</v>
      </c>
      <c r="K71" s="18" t="n">
        <v>0.22662423</v>
      </c>
      <c r="L71" s="20" t="n">
        <v>0.16720832</v>
      </c>
      <c r="M71" s="18" t="n">
        <v>0</v>
      </c>
      <c r="N71" s="20" t="n">
        <v>0</v>
      </c>
      <c r="O71" s="18" t="n">
        <v>0</v>
      </c>
      <c r="P71" s="20" t="n">
        <v>0</v>
      </c>
      <c r="Q71" s="18" t="n">
        <v>0.1323696</v>
      </c>
      <c r="R71" s="20" t="n">
        <v>0.13231852</v>
      </c>
    </row>
    <row r="72" spans="1:18">
      <c r="A72" s="15" t="s">
        <v>414</v>
      </c>
      <c r="B72" s="17" t="n">
        <v>7708</v>
      </c>
      <c r="C72" s="18">
        <f>(6749.0/B72*100)</f>
        <v/>
      </c>
      <c r="D72" s="19" t="n">
        <v>959</v>
      </c>
      <c r="E72" s="18" t="n">
        <v>8.281127740000001</v>
      </c>
      <c r="F72" s="20" t="n">
        <v>0.89668279</v>
      </c>
      <c r="G72" s="18" t="n">
        <v>90.30965886</v>
      </c>
      <c r="H72" s="20" t="n">
        <v>0.9562237099999999</v>
      </c>
      <c r="I72" s="18" t="s">
        <v>349</v>
      </c>
      <c r="J72" s="20" t="s">
        <v>349</v>
      </c>
      <c r="K72" s="18" t="n">
        <v>0.11181069</v>
      </c>
      <c r="L72" s="20" t="n">
        <v>0.11182754</v>
      </c>
      <c r="M72" s="18" t="n">
        <v>0</v>
      </c>
      <c r="N72" s="20" t="n">
        <v>0</v>
      </c>
      <c r="O72" s="18" t="n">
        <v>0</v>
      </c>
      <c r="P72" s="20" t="n">
        <v>0</v>
      </c>
      <c r="Q72" s="18" t="n">
        <v>1.29740271</v>
      </c>
      <c r="R72" s="20" t="n">
        <v>0.38107892</v>
      </c>
    </row>
    <row r="73" spans="1:18">
      <c r="A73" s="15" t="s">
        <v>415</v>
      </c>
      <c r="B73" s="17" t="n">
        <v>8249</v>
      </c>
      <c r="C73" s="18">
        <f>(7249.0/B73*100)</f>
        <v/>
      </c>
      <c r="D73" s="19" t="n">
        <v>1000</v>
      </c>
      <c r="E73" s="18" t="n">
        <v>32.28087158</v>
      </c>
      <c r="F73" s="20" t="n">
        <v>1.84418752</v>
      </c>
      <c r="G73" s="18" t="n">
        <v>66.46950608</v>
      </c>
      <c r="H73" s="20" t="n">
        <v>1.93449382</v>
      </c>
      <c r="I73" s="18" t="s">
        <v>349</v>
      </c>
      <c r="J73" s="20" t="s">
        <v>349</v>
      </c>
      <c r="K73" s="18" t="n">
        <v>0</v>
      </c>
      <c r="L73" s="20" t="n">
        <v>0</v>
      </c>
      <c r="M73" s="18" t="n">
        <v>0</v>
      </c>
      <c r="N73" s="20" t="n">
        <v>0</v>
      </c>
      <c r="O73" s="18" t="n">
        <v>0</v>
      </c>
      <c r="P73" s="20" t="n">
        <v>0</v>
      </c>
      <c r="Q73" s="18" t="n">
        <v>1.24962234</v>
      </c>
      <c r="R73" s="20" t="n">
        <v>0.37008468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(4743.0/B75*100)</f>
        <v/>
      </c>
      <c r="D75" s="19" t="n">
        <v>632</v>
      </c>
      <c r="E75" s="18" t="n">
        <v>35.40176932</v>
      </c>
      <c r="F75" s="20" t="n">
        <v>2.19034473</v>
      </c>
      <c r="G75" s="18" t="n">
        <v>55.11208299</v>
      </c>
      <c r="H75" s="20" t="n">
        <v>2.26237831</v>
      </c>
      <c r="I75" s="18" t="s">
        <v>349</v>
      </c>
      <c r="J75" s="20" t="s">
        <v>349</v>
      </c>
      <c r="K75" s="18" t="n">
        <v>1.2389578</v>
      </c>
      <c r="L75" s="20" t="n">
        <v>0.43030101</v>
      </c>
      <c r="M75" s="18" t="n">
        <v>0</v>
      </c>
      <c r="N75" s="20" t="n">
        <v>0</v>
      </c>
      <c r="O75" s="18" t="n">
        <v>0</v>
      </c>
      <c r="P75" s="20" t="n">
        <v>0</v>
      </c>
      <c r="Q75" s="18" t="n">
        <v>8.247189880000001</v>
      </c>
      <c r="R75" s="20" t="n">
        <v>1.18300075</v>
      </c>
    </row>
    <row r="76" spans="1:18">
      <c r="A76" s="15" t="s">
        <v>418</v>
      </c>
      <c r="B76" s="17" t="n">
        <v>14167</v>
      </c>
      <c r="C76" s="18">
        <f>(12412.0/B76*100)</f>
        <v/>
      </c>
      <c r="D76" s="19" t="n">
        <v>1755</v>
      </c>
      <c r="E76" s="18" t="n">
        <v>27.78330129</v>
      </c>
      <c r="F76" s="20" t="n">
        <v>1.50744352</v>
      </c>
      <c r="G76" s="18" t="n">
        <v>69.30359154</v>
      </c>
      <c r="H76" s="20" t="n">
        <v>1.47161397</v>
      </c>
      <c r="I76" s="18" t="s">
        <v>349</v>
      </c>
      <c r="J76" s="20" t="s">
        <v>349</v>
      </c>
      <c r="K76" s="18" t="n">
        <v>0.14126407</v>
      </c>
      <c r="L76" s="20" t="n">
        <v>0.09484829</v>
      </c>
      <c r="M76" s="18" t="n">
        <v>0</v>
      </c>
      <c r="N76" s="20" t="n">
        <v>0</v>
      </c>
      <c r="O76" s="18" t="n">
        <v>0</v>
      </c>
      <c r="P76" s="20" t="n">
        <v>0</v>
      </c>
      <c r="Q76" s="18" t="n">
        <v>2.77184309</v>
      </c>
      <c r="R76" s="20" t="n">
        <v>0.44224668</v>
      </c>
    </row>
    <row r="77" spans="1:18">
      <c r="A77" s="15" t="s">
        <v>419</v>
      </c>
      <c r="B77" s="17" t="n">
        <v>6062</v>
      </c>
      <c r="C77" s="18">
        <f>(5302.0/B77*100)</f>
        <v/>
      </c>
      <c r="D77" s="19" t="n">
        <v>760</v>
      </c>
      <c r="E77" s="18" t="n">
        <v>18.30972891</v>
      </c>
      <c r="F77" s="20" t="n">
        <v>1.20653518</v>
      </c>
      <c r="G77" s="18" t="n">
        <v>75.40614256000001</v>
      </c>
      <c r="H77" s="20" t="n">
        <v>1.44906076</v>
      </c>
      <c r="I77" s="18" t="s">
        <v>349</v>
      </c>
      <c r="J77" s="20" t="s">
        <v>349</v>
      </c>
      <c r="K77" s="18" t="n">
        <v>0.32966078</v>
      </c>
      <c r="L77" s="20" t="n">
        <v>0.27956669</v>
      </c>
      <c r="M77" s="18" t="n">
        <v>0</v>
      </c>
      <c r="N77" s="20" t="n">
        <v>0</v>
      </c>
      <c r="O77" s="18" t="n">
        <v>0</v>
      </c>
      <c r="P77" s="20" t="n">
        <v>0</v>
      </c>
      <c r="Q77" s="18" t="n">
        <v>5.95446776</v>
      </c>
      <c r="R77" s="20" t="n">
        <v>0.76612705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(7756.0/B81*100)</f>
        <v/>
      </c>
      <c r="D81" s="19" t="n">
        <v>1105</v>
      </c>
      <c r="E81" s="18" t="n">
        <v>15.50569953</v>
      </c>
      <c r="F81" s="20" t="n">
        <v>1.36108601</v>
      </c>
      <c r="G81" s="18" t="n">
        <v>83.21902937999999</v>
      </c>
      <c r="H81" s="20" t="n">
        <v>1.4870176</v>
      </c>
      <c r="I81" s="18" t="s">
        <v>349</v>
      </c>
      <c r="J81" s="20" t="s">
        <v>349</v>
      </c>
      <c r="K81" s="18" t="n">
        <v>0</v>
      </c>
      <c r="L81" s="20" t="n">
        <v>0</v>
      </c>
      <c r="M81" s="18" t="n">
        <v>0</v>
      </c>
      <c r="N81" s="20" t="n">
        <v>0</v>
      </c>
      <c r="O81" s="18" t="n">
        <v>0</v>
      </c>
      <c r="P81" s="20" t="n">
        <v>0</v>
      </c>
      <c r="Q81" s="18" t="n">
        <v>1.27527109</v>
      </c>
      <c r="R81" s="20" t="n">
        <v>0.5374460599999999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(12697.0/B7*100)</f>
        <v/>
      </c>
      <c r="D7" s="19" t="n">
        <v>1833</v>
      </c>
      <c r="E7" s="18" t="n">
        <v>35.49542725</v>
      </c>
      <c r="F7" s="20" t="n">
        <v>1.35717178</v>
      </c>
      <c r="G7" s="18" t="n">
        <v>63.22055636</v>
      </c>
      <c r="H7" s="20" t="n">
        <v>1.35404035</v>
      </c>
      <c r="I7" s="18" t="s">
        <v>349</v>
      </c>
      <c r="J7" s="20" t="s">
        <v>349</v>
      </c>
      <c r="K7" s="18" t="n">
        <v>0.09568707999999999</v>
      </c>
      <c r="L7" s="20" t="n">
        <v>0.08492503</v>
      </c>
      <c r="M7" s="18" t="n">
        <v>0</v>
      </c>
      <c r="N7" s="20" t="n">
        <v>0</v>
      </c>
      <c r="O7" s="18" t="n">
        <v>0</v>
      </c>
      <c r="P7" s="20" t="n">
        <v>0</v>
      </c>
      <c r="Q7" s="18" t="n">
        <v>1.18832931</v>
      </c>
      <c r="R7" s="20" t="n">
        <v>0.23762864</v>
      </c>
    </row>
    <row r="8" spans="1:18">
      <c r="A8" s="15" t="s">
        <v>350</v>
      </c>
      <c r="B8" s="17" t="n">
        <v>7007</v>
      </c>
      <c r="C8" s="18">
        <f>(6118.0/B8*100)</f>
        <v/>
      </c>
      <c r="D8" s="19" t="n">
        <v>889</v>
      </c>
      <c r="E8" s="18" t="n">
        <v>35.41262158</v>
      </c>
      <c r="F8" s="20" t="n">
        <v>2.08729459</v>
      </c>
      <c r="G8" s="18" t="n">
        <v>62.67969485</v>
      </c>
      <c r="H8" s="20" t="n">
        <v>2.07089076</v>
      </c>
      <c r="I8" s="18" t="s">
        <v>349</v>
      </c>
      <c r="J8" s="20" t="s">
        <v>349</v>
      </c>
      <c r="K8" s="18" t="n">
        <v>0.04049266</v>
      </c>
      <c r="L8" s="20" t="n">
        <v>0.04057694</v>
      </c>
      <c r="M8" s="18" t="n">
        <v>0</v>
      </c>
      <c r="N8" s="20" t="n">
        <v>0</v>
      </c>
      <c r="O8" s="18" t="n">
        <v>0</v>
      </c>
      <c r="P8" s="20" t="n">
        <v>0</v>
      </c>
      <c r="Q8" s="18" t="n">
        <v>1.86719091</v>
      </c>
      <c r="R8" s="20" t="n">
        <v>0.46495442</v>
      </c>
    </row>
    <row r="9" spans="1:18">
      <c r="A9" s="15" t="s">
        <v>351</v>
      </c>
      <c r="B9" s="17" t="n">
        <v>9651</v>
      </c>
      <c r="C9" s="18">
        <f>(8241.0/B9*100)</f>
        <v/>
      </c>
      <c r="D9" s="19" t="n">
        <v>1410</v>
      </c>
      <c r="E9" s="18" t="n">
        <v>36.13428062</v>
      </c>
      <c r="F9" s="20" t="n">
        <v>1.67372484</v>
      </c>
      <c r="G9" s="18" t="n">
        <v>60.31772886</v>
      </c>
      <c r="H9" s="20" t="n">
        <v>1.91261019</v>
      </c>
      <c r="I9" s="18" t="s">
        <v>349</v>
      </c>
      <c r="J9" s="20" t="s">
        <v>349</v>
      </c>
      <c r="K9" s="18" t="n">
        <v>0.74395528</v>
      </c>
      <c r="L9" s="20" t="n">
        <v>0.24168508</v>
      </c>
      <c r="M9" s="18" t="n">
        <v>0</v>
      </c>
      <c r="N9" s="20" t="n">
        <v>0</v>
      </c>
      <c r="O9" s="18" t="n">
        <v>0</v>
      </c>
      <c r="P9" s="20" t="n">
        <v>0</v>
      </c>
      <c r="Q9" s="18" t="n">
        <v>2.80403524</v>
      </c>
      <c r="R9" s="20" t="n">
        <v>0.51363788</v>
      </c>
    </row>
    <row r="10" spans="1:18">
      <c r="A10" s="15" t="s">
        <v>352</v>
      </c>
      <c r="B10" s="17" t="n">
        <v>20058</v>
      </c>
      <c r="C10" s="18">
        <f>(17557.0/B10*100)</f>
        <v/>
      </c>
      <c r="D10" s="19" t="n">
        <v>2501</v>
      </c>
      <c r="E10" s="18" t="n">
        <v>33.96896435</v>
      </c>
      <c r="F10" s="20" t="n">
        <v>0.9404521</v>
      </c>
      <c r="G10" s="18" t="n">
        <v>65.20612697</v>
      </c>
      <c r="H10" s="20" t="n">
        <v>0.98500634</v>
      </c>
      <c r="I10" s="18" t="s">
        <v>349</v>
      </c>
      <c r="J10" s="20" t="s">
        <v>349</v>
      </c>
      <c r="K10" s="18" t="n">
        <v>0.12717967</v>
      </c>
      <c r="L10" s="20" t="n">
        <v>0.05260581</v>
      </c>
      <c r="M10" s="18" t="n">
        <v>0</v>
      </c>
      <c r="N10" s="20" t="n">
        <v>0</v>
      </c>
      <c r="O10" s="18" t="n">
        <v>0</v>
      </c>
      <c r="P10" s="20" t="n">
        <v>0</v>
      </c>
      <c r="Q10" s="18" t="n">
        <v>0.69772901</v>
      </c>
      <c r="R10" s="20" t="n">
        <v>0.15594481</v>
      </c>
    </row>
    <row r="11" spans="1:18">
      <c r="A11" s="15" t="s">
        <v>353</v>
      </c>
      <c r="B11" s="17" t="n">
        <v>7053</v>
      </c>
      <c r="C11" s="18">
        <f>(6206.0/B11*100)</f>
        <v/>
      </c>
      <c r="D11" s="19" t="n">
        <v>847</v>
      </c>
      <c r="E11" s="18" t="n">
        <v>52.92853045</v>
      </c>
      <c r="F11" s="20" t="n">
        <v>1.9785926</v>
      </c>
      <c r="G11" s="18" t="n">
        <v>43.63604487</v>
      </c>
      <c r="H11" s="20" t="n">
        <v>1.99339429</v>
      </c>
      <c r="I11" s="18" t="s">
        <v>349</v>
      </c>
      <c r="J11" s="20" t="s">
        <v>349</v>
      </c>
      <c r="K11" s="18" t="n">
        <v>0.1423172</v>
      </c>
      <c r="L11" s="20" t="n">
        <v>0.14099382</v>
      </c>
      <c r="M11" s="18" t="n">
        <v>0</v>
      </c>
      <c r="N11" s="20" t="n">
        <v>0</v>
      </c>
      <c r="O11" s="18" t="n">
        <v>0</v>
      </c>
      <c r="P11" s="20" t="n">
        <v>0</v>
      </c>
      <c r="Q11" s="18" t="n">
        <v>3.29310747</v>
      </c>
      <c r="R11" s="20" t="n">
        <v>0.62911405</v>
      </c>
    </row>
    <row r="12" spans="1:18">
      <c r="A12" s="15" t="s">
        <v>354</v>
      </c>
      <c r="B12" s="17" t="n">
        <v>6894</v>
      </c>
      <c r="C12" s="18">
        <f>(5986.0/B12*100)</f>
        <v/>
      </c>
      <c r="D12" s="19" t="n">
        <v>908</v>
      </c>
      <c r="E12" s="18" t="n">
        <v>36.10388851</v>
      </c>
      <c r="F12" s="20" t="n">
        <v>1.86988813</v>
      </c>
      <c r="G12" s="18" t="n">
        <v>62.11481724</v>
      </c>
      <c r="H12" s="20" t="n">
        <v>2.05773247</v>
      </c>
      <c r="I12" s="18" t="s">
        <v>349</v>
      </c>
      <c r="J12" s="20" t="s">
        <v>349</v>
      </c>
      <c r="K12" s="18" t="n">
        <v>0</v>
      </c>
      <c r="L12" s="20" t="n">
        <v>0</v>
      </c>
      <c r="M12" s="18" t="n">
        <v>0</v>
      </c>
      <c r="N12" s="20" t="n">
        <v>0</v>
      </c>
      <c r="O12" s="18" t="n">
        <v>0</v>
      </c>
      <c r="P12" s="20" t="n">
        <v>0</v>
      </c>
      <c r="Q12" s="18" t="n">
        <v>1.78129425</v>
      </c>
      <c r="R12" s="20" t="n">
        <v>0.71902086</v>
      </c>
    </row>
    <row r="13" spans="1:18">
      <c r="A13" s="15" t="s">
        <v>355</v>
      </c>
      <c r="B13" s="17" t="n">
        <v>7161</v>
      </c>
      <c r="C13" s="18">
        <f>(5981.0/B13*100)</f>
        <v/>
      </c>
      <c r="D13" s="19" t="n">
        <v>1180</v>
      </c>
      <c r="E13" s="18" t="n">
        <v>34.19240044</v>
      </c>
      <c r="F13" s="20" t="n">
        <v>1.91278595</v>
      </c>
      <c r="G13" s="18" t="n">
        <v>63.0207823</v>
      </c>
      <c r="H13" s="20" t="n">
        <v>1.93111745</v>
      </c>
      <c r="I13" s="18" t="s">
        <v>349</v>
      </c>
      <c r="J13" s="20" t="s">
        <v>349</v>
      </c>
      <c r="K13" s="18" t="n">
        <v>0.52700187</v>
      </c>
      <c r="L13" s="20" t="n">
        <v>0.29281431</v>
      </c>
      <c r="M13" s="18" t="n">
        <v>0</v>
      </c>
      <c r="N13" s="20" t="n">
        <v>0</v>
      </c>
      <c r="O13" s="18" t="n">
        <v>0</v>
      </c>
      <c r="P13" s="20" t="n">
        <v>0</v>
      </c>
      <c r="Q13" s="18" t="n">
        <v>2.25981538</v>
      </c>
      <c r="R13" s="20" t="n">
        <v>0.53693336</v>
      </c>
    </row>
    <row r="14" spans="1:18">
      <c r="A14" s="15" t="s">
        <v>356</v>
      </c>
      <c r="B14" s="17" t="n">
        <v>5587</v>
      </c>
      <c r="C14" s="18">
        <f>(4905.0/B14*100)</f>
        <v/>
      </c>
      <c r="D14" s="19" t="n">
        <v>682</v>
      </c>
      <c r="E14" s="18" t="n">
        <v>34.29868429</v>
      </c>
      <c r="F14" s="20" t="n">
        <v>2.17526319</v>
      </c>
      <c r="G14" s="18" t="n">
        <v>64.61695312000001</v>
      </c>
      <c r="H14" s="20" t="n">
        <v>2.13129337</v>
      </c>
      <c r="I14" s="18" t="s">
        <v>349</v>
      </c>
      <c r="J14" s="20" t="s">
        <v>349</v>
      </c>
      <c r="K14" s="18" t="n">
        <v>0</v>
      </c>
      <c r="L14" s="20" t="n">
        <v>0</v>
      </c>
      <c r="M14" s="18" t="n">
        <v>0</v>
      </c>
      <c r="N14" s="20" t="n">
        <v>0</v>
      </c>
      <c r="O14" s="18" t="n">
        <v>0</v>
      </c>
      <c r="P14" s="20" t="n">
        <v>0</v>
      </c>
      <c r="Q14" s="18" t="n">
        <v>1.08436259</v>
      </c>
      <c r="R14" s="20" t="n">
        <v>0.52973125</v>
      </c>
    </row>
    <row r="15" spans="1:18">
      <c r="A15" s="15" t="s">
        <v>357</v>
      </c>
      <c r="B15" s="17" t="n">
        <v>5882</v>
      </c>
      <c r="C15" s="18">
        <f>(5132.0/B15*100)</f>
        <v/>
      </c>
      <c r="D15" s="19" t="n">
        <v>750</v>
      </c>
      <c r="E15" s="18" t="n">
        <v>38.08913781</v>
      </c>
      <c r="F15" s="20" t="n">
        <v>2.01228622</v>
      </c>
      <c r="G15" s="18" t="n">
        <v>59.13978678</v>
      </c>
      <c r="H15" s="20" t="n">
        <v>2.20159304</v>
      </c>
      <c r="I15" s="18" t="s">
        <v>349</v>
      </c>
      <c r="J15" s="20" t="s">
        <v>349</v>
      </c>
      <c r="K15" s="18" t="n">
        <v>0.90831527</v>
      </c>
      <c r="L15" s="20" t="n">
        <v>0.55768012</v>
      </c>
      <c r="M15" s="18" t="n">
        <v>0</v>
      </c>
      <c r="N15" s="20" t="n">
        <v>0</v>
      </c>
      <c r="O15" s="18" t="n">
        <v>0</v>
      </c>
      <c r="P15" s="20" t="n">
        <v>0</v>
      </c>
      <c r="Q15" s="18" t="n">
        <v>1.86276014</v>
      </c>
      <c r="R15" s="20" t="n">
        <v>0.49103696</v>
      </c>
    </row>
    <row r="16" spans="1:18">
      <c r="A16" s="15" t="s">
        <v>358</v>
      </c>
      <c r="B16" s="17" t="n">
        <v>6108</v>
      </c>
      <c r="C16" s="18">
        <f>(5381.0/B16*100)</f>
        <v/>
      </c>
      <c r="D16" s="19" t="n">
        <v>727</v>
      </c>
      <c r="E16" s="18" t="n">
        <v>30.29863207</v>
      </c>
      <c r="F16" s="20" t="n">
        <v>1.91848303</v>
      </c>
      <c r="G16" s="18" t="n">
        <v>66.99020286</v>
      </c>
      <c r="H16" s="20" t="n">
        <v>1.98005906</v>
      </c>
      <c r="I16" s="18" t="s">
        <v>349</v>
      </c>
      <c r="J16" s="20" t="s">
        <v>349</v>
      </c>
      <c r="K16" s="18" t="n">
        <v>0.5365666100000001</v>
      </c>
      <c r="L16" s="20" t="n">
        <v>0.25314186</v>
      </c>
      <c r="M16" s="18" t="n">
        <v>0</v>
      </c>
      <c r="N16" s="20" t="n">
        <v>0</v>
      </c>
      <c r="O16" s="18" t="n">
        <v>0</v>
      </c>
      <c r="P16" s="20" t="n">
        <v>0</v>
      </c>
      <c r="Q16" s="18" t="n">
        <v>2.17459847</v>
      </c>
      <c r="R16" s="20" t="n">
        <v>0.55422422</v>
      </c>
    </row>
    <row r="17" spans="1:18">
      <c r="A17" s="15" t="s">
        <v>359</v>
      </c>
      <c r="B17" s="17" t="n">
        <v>6504</v>
      </c>
      <c r="C17" s="18">
        <f>(5606.0/B17*100)</f>
        <v/>
      </c>
      <c r="D17" s="19" t="n">
        <v>898</v>
      </c>
      <c r="E17" s="18" t="n">
        <v>33.11711339</v>
      </c>
      <c r="F17" s="20" t="n">
        <v>1.99173971</v>
      </c>
      <c r="G17" s="18" t="n">
        <v>62.67061017</v>
      </c>
      <c r="H17" s="20" t="n">
        <v>2.02630211</v>
      </c>
      <c r="I17" s="18" t="s">
        <v>349</v>
      </c>
      <c r="J17" s="20" t="s">
        <v>349</v>
      </c>
      <c r="K17" s="18" t="n">
        <v>1.01756171</v>
      </c>
      <c r="L17" s="20" t="n">
        <v>0.25580812</v>
      </c>
      <c r="M17" s="18" t="n">
        <v>0</v>
      </c>
      <c r="N17" s="20" t="n">
        <v>0</v>
      </c>
      <c r="O17" s="18" t="n">
        <v>0</v>
      </c>
      <c r="P17" s="20" t="n">
        <v>0</v>
      </c>
      <c r="Q17" s="18" t="n">
        <v>3.19471473</v>
      </c>
      <c r="R17" s="20" t="n">
        <v>0.41846321</v>
      </c>
    </row>
    <row r="18" spans="1:18">
      <c r="A18" s="15" t="s">
        <v>360</v>
      </c>
      <c r="B18" s="17" t="n">
        <v>5532</v>
      </c>
      <c r="C18" s="18">
        <f>(4859.0/B18*100)</f>
        <v/>
      </c>
      <c r="D18" s="19" t="n">
        <v>673</v>
      </c>
      <c r="E18" s="18" t="n">
        <v>47.97282583</v>
      </c>
      <c r="F18" s="20" t="n">
        <v>2.63026666</v>
      </c>
      <c r="G18" s="18" t="n">
        <v>49.04916994</v>
      </c>
      <c r="H18" s="20" t="n">
        <v>2.69602658</v>
      </c>
      <c r="I18" s="18" t="s">
        <v>349</v>
      </c>
      <c r="J18" s="20" t="s">
        <v>349</v>
      </c>
      <c r="K18" s="18" t="n">
        <v>0.27209433</v>
      </c>
      <c r="L18" s="20" t="n">
        <v>0.27310772</v>
      </c>
      <c r="M18" s="18" t="n">
        <v>0</v>
      </c>
      <c r="N18" s="20" t="n">
        <v>0</v>
      </c>
      <c r="O18" s="18" t="n">
        <v>0</v>
      </c>
      <c r="P18" s="20" t="n">
        <v>0</v>
      </c>
      <c r="Q18" s="18" t="n">
        <v>2.7059099</v>
      </c>
      <c r="R18" s="20" t="n">
        <v>0.8063408399999999</v>
      </c>
    </row>
    <row r="19" spans="1:18">
      <c r="A19" s="15" t="s">
        <v>361</v>
      </c>
      <c r="B19" s="17" t="n">
        <v>5658</v>
      </c>
      <c r="C19" s="18">
        <f>(4978.0/B19*100)</f>
        <v/>
      </c>
      <c r="D19" s="19" t="n">
        <v>680</v>
      </c>
      <c r="E19" s="18" t="n">
        <v>47.70602565</v>
      </c>
      <c r="F19" s="20" t="n">
        <v>2.03003719</v>
      </c>
      <c r="G19" s="18" t="n">
        <v>51.48980339</v>
      </c>
      <c r="H19" s="20" t="n">
        <v>2.02341331</v>
      </c>
      <c r="I19" s="18" t="s">
        <v>349</v>
      </c>
      <c r="J19" s="20" t="s">
        <v>349</v>
      </c>
      <c r="K19" s="18" t="n">
        <v>0</v>
      </c>
      <c r="L19" s="20" t="n">
        <v>0</v>
      </c>
      <c r="M19" s="18" t="n">
        <v>0</v>
      </c>
      <c r="N19" s="20" t="n">
        <v>0</v>
      </c>
      <c r="O19" s="18" t="n">
        <v>0</v>
      </c>
      <c r="P19" s="20" t="n">
        <v>0</v>
      </c>
      <c r="Q19" s="18" t="n">
        <v>0.80417096</v>
      </c>
      <c r="R19" s="20" t="n">
        <v>0.33107251</v>
      </c>
    </row>
    <row r="20" spans="1:18">
      <c r="A20" s="15" t="s">
        <v>362</v>
      </c>
      <c r="B20" s="17" t="n">
        <v>3371</v>
      </c>
      <c r="C20" s="18">
        <f>(2960.0/B20*100)</f>
        <v/>
      </c>
      <c r="D20" s="19" t="n">
        <v>411</v>
      </c>
      <c r="E20" s="18" t="n">
        <v>40.23038479</v>
      </c>
      <c r="F20" s="20" t="n">
        <v>2.20931936</v>
      </c>
      <c r="G20" s="18" t="n">
        <v>58.66006959</v>
      </c>
      <c r="H20" s="20" t="n">
        <v>2.17452693</v>
      </c>
      <c r="I20" s="18" t="s">
        <v>349</v>
      </c>
      <c r="J20" s="20" t="s">
        <v>349</v>
      </c>
      <c r="K20" s="18" t="n">
        <v>0</v>
      </c>
      <c r="L20" s="20" t="n">
        <v>0</v>
      </c>
      <c r="M20" s="18" t="n">
        <v>0</v>
      </c>
      <c r="N20" s="20" t="n">
        <v>0</v>
      </c>
      <c r="O20" s="18" t="n">
        <v>0</v>
      </c>
      <c r="P20" s="20" t="n">
        <v>0</v>
      </c>
      <c r="Q20" s="18" t="n">
        <v>1.10954562</v>
      </c>
      <c r="R20" s="20" t="n">
        <v>0.49874936</v>
      </c>
    </row>
    <row r="21" spans="1:18">
      <c r="A21" s="15" t="s">
        <v>363</v>
      </c>
      <c r="B21" s="17" t="n">
        <v>5741</v>
      </c>
      <c r="C21" s="18">
        <f>(4776.0/B21*100)</f>
        <v/>
      </c>
      <c r="D21" s="19" t="n">
        <v>965</v>
      </c>
      <c r="E21" s="18" t="n">
        <v>41.75244166</v>
      </c>
      <c r="F21" s="20" t="n">
        <v>1.53038383</v>
      </c>
      <c r="G21" s="18" t="n">
        <v>57.01239659</v>
      </c>
      <c r="H21" s="20" t="n">
        <v>1.50314981</v>
      </c>
      <c r="I21" s="18" t="s">
        <v>349</v>
      </c>
      <c r="J21" s="20" t="s">
        <v>349</v>
      </c>
      <c r="K21" s="18" t="n">
        <v>0.16104554</v>
      </c>
      <c r="L21" s="20" t="n">
        <v>0.11377921</v>
      </c>
      <c r="M21" s="18" t="n">
        <v>0</v>
      </c>
      <c r="N21" s="20" t="n">
        <v>0</v>
      </c>
      <c r="O21" s="18" t="n">
        <v>0</v>
      </c>
      <c r="P21" s="20" t="n">
        <v>0</v>
      </c>
      <c r="Q21" s="18" t="n">
        <v>1.07411621</v>
      </c>
      <c r="R21" s="20" t="n">
        <v>0.32213367</v>
      </c>
    </row>
    <row r="22" spans="1:18">
      <c r="A22" s="15" t="s">
        <v>364</v>
      </c>
      <c r="B22" s="17" t="n">
        <v>6598</v>
      </c>
      <c r="C22" s="18">
        <f>(5747.0/B22*100)</f>
        <v/>
      </c>
      <c r="D22" s="19" t="n">
        <v>851</v>
      </c>
      <c r="E22" s="18" t="n">
        <v>34.81109756</v>
      </c>
      <c r="F22" s="20" t="n">
        <v>1.70023702</v>
      </c>
      <c r="G22" s="18" t="n">
        <v>61.90933765</v>
      </c>
      <c r="H22" s="20" t="n">
        <v>1.96123946</v>
      </c>
      <c r="I22" s="18" t="s">
        <v>349</v>
      </c>
      <c r="J22" s="20" t="s">
        <v>349</v>
      </c>
      <c r="K22" s="18" t="n">
        <v>0.49670424</v>
      </c>
      <c r="L22" s="20" t="n">
        <v>0.28378552</v>
      </c>
      <c r="M22" s="18" t="n">
        <v>0</v>
      </c>
      <c r="N22" s="20" t="n">
        <v>0</v>
      </c>
      <c r="O22" s="18" t="n">
        <v>0</v>
      </c>
      <c r="P22" s="20" t="n">
        <v>0</v>
      </c>
      <c r="Q22" s="18" t="n">
        <v>2.78286055</v>
      </c>
      <c r="R22" s="20" t="n">
        <v>0.72958915</v>
      </c>
    </row>
    <row r="23" spans="1:18">
      <c r="A23" s="15" t="s">
        <v>365</v>
      </c>
      <c r="B23" s="17" t="n">
        <v>11583</v>
      </c>
      <c r="C23" s="18">
        <f>(10139.0/B23*100)</f>
        <v/>
      </c>
      <c r="D23" s="19" t="n">
        <v>1444</v>
      </c>
      <c r="E23" s="18" t="n">
        <v>34.92725965</v>
      </c>
      <c r="F23" s="20" t="n">
        <v>1.79778932</v>
      </c>
      <c r="G23" s="18" t="n">
        <v>62.83687362</v>
      </c>
      <c r="H23" s="20" t="n">
        <v>1.96597139</v>
      </c>
      <c r="I23" s="18" t="s">
        <v>349</v>
      </c>
      <c r="J23" s="20" t="s">
        <v>349</v>
      </c>
      <c r="K23" s="18" t="n">
        <v>0.11181189</v>
      </c>
      <c r="L23" s="20" t="n">
        <v>0.11175676</v>
      </c>
      <c r="M23" s="18" t="n">
        <v>0</v>
      </c>
      <c r="N23" s="20" t="n">
        <v>0</v>
      </c>
      <c r="O23" s="18" t="n">
        <v>0</v>
      </c>
      <c r="P23" s="20" t="n">
        <v>0</v>
      </c>
      <c r="Q23" s="18" t="n">
        <v>2.12405485</v>
      </c>
      <c r="R23" s="20" t="n">
        <v>0.66742287</v>
      </c>
    </row>
    <row r="24" spans="1:18">
      <c r="A24" s="15" t="s">
        <v>366</v>
      </c>
      <c r="B24" s="17" t="n">
        <v>6647</v>
      </c>
      <c r="C24" s="18">
        <f>(5841.0/B24*100)</f>
        <v/>
      </c>
      <c r="D24" s="19" t="n">
        <v>806</v>
      </c>
      <c r="E24" s="18" t="n">
        <v>35.27951585</v>
      </c>
      <c r="F24" s="20" t="n">
        <v>1.45638489</v>
      </c>
      <c r="G24" s="18" t="n">
        <v>63.2168816</v>
      </c>
      <c r="H24" s="20" t="n">
        <v>1.49580728</v>
      </c>
      <c r="I24" s="18" t="s">
        <v>349</v>
      </c>
      <c r="J24" s="20" t="s">
        <v>349</v>
      </c>
      <c r="K24" s="18" t="n">
        <v>0.08849753</v>
      </c>
      <c r="L24" s="20" t="n">
        <v>0.08865061</v>
      </c>
      <c r="M24" s="18" t="n">
        <v>0</v>
      </c>
      <c r="N24" s="20" t="n">
        <v>0</v>
      </c>
      <c r="O24" s="18" t="n">
        <v>0</v>
      </c>
      <c r="P24" s="20" t="n">
        <v>0</v>
      </c>
      <c r="Q24" s="18" t="n">
        <v>1.41510502</v>
      </c>
      <c r="R24" s="20" t="n">
        <v>0.4348999</v>
      </c>
    </row>
    <row r="25" spans="1:18">
      <c r="A25" s="15" t="s">
        <v>367</v>
      </c>
      <c r="B25" s="17" t="n">
        <v>5581</v>
      </c>
      <c r="C25" s="18">
        <f>(4882.0/B25*100)</f>
        <v/>
      </c>
      <c r="D25" s="19" t="n">
        <v>699</v>
      </c>
      <c r="E25" s="18" t="n">
        <v>39.23021791</v>
      </c>
      <c r="F25" s="20" t="n">
        <v>1.77312104</v>
      </c>
      <c r="G25" s="18" t="n">
        <v>58.96150037</v>
      </c>
      <c r="H25" s="20" t="n">
        <v>1.79884862</v>
      </c>
      <c r="I25" s="18" t="s">
        <v>349</v>
      </c>
      <c r="J25" s="20" t="s">
        <v>349</v>
      </c>
      <c r="K25" s="18" t="n">
        <v>1.01391793</v>
      </c>
      <c r="L25" s="20" t="n">
        <v>0.40507536</v>
      </c>
      <c r="M25" s="18" t="n">
        <v>0</v>
      </c>
      <c r="N25" s="20" t="n">
        <v>0</v>
      </c>
      <c r="O25" s="18" t="n">
        <v>0</v>
      </c>
      <c r="P25" s="20" t="n">
        <v>0</v>
      </c>
      <c r="Q25" s="18" t="n">
        <v>0.79436379</v>
      </c>
      <c r="R25" s="20" t="n">
        <v>0.3247647</v>
      </c>
    </row>
    <row r="26" spans="1:18">
      <c r="A26" s="15" t="s">
        <v>368</v>
      </c>
      <c r="B26" s="17" t="n">
        <v>4869</v>
      </c>
      <c r="C26" s="18">
        <f>(4264.0/B26*100)</f>
        <v/>
      </c>
      <c r="D26" s="19" t="n">
        <v>605</v>
      </c>
      <c r="E26" s="18" t="n">
        <v>39.87433038</v>
      </c>
      <c r="F26" s="20" t="n">
        <v>2.02689893</v>
      </c>
      <c r="G26" s="18" t="n">
        <v>59.29905787</v>
      </c>
      <c r="H26" s="20" t="n">
        <v>2.02938381</v>
      </c>
      <c r="I26" s="18" t="s">
        <v>349</v>
      </c>
      <c r="J26" s="20" t="s">
        <v>349</v>
      </c>
      <c r="K26" s="18" t="n">
        <v>0.12496009</v>
      </c>
      <c r="L26" s="20" t="n">
        <v>0.12578988</v>
      </c>
      <c r="M26" s="18" t="n">
        <v>0</v>
      </c>
      <c r="N26" s="20" t="n">
        <v>0</v>
      </c>
      <c r="O26" s="18" t="n">
        <v>0</v>
      </c>
      <c r="P26" s="20" t="n">
        <v>0</v>
      </c>
      <c r="Q26" s="18" t="n">
        <v>0.70165166</v>
      </c>
      <c r="R26" s="20" t="n">
        <v>0.37865032</v>
      </c>
    </row>
    <row r="27" spans="1:18">
      <c r="A27" s="15" t="s">
        <v>369</v>
      </c>
      <c r="B27" s="17" t="n">
        <v>5299</v>
      </c>
      <c r="C27" s="18">
        <f>(4651.0/B27*100)</f>
        <v/>
      </c>
      <c r="D27" s="19" t="n">
        <v>648</v>
      </c>
      <c r="E27" s="18" t="n">
        <v>40.91283264</v>
      </c>
      <c r="F27" s="20" t="n">
        <v>1.80345576</v>
      </c>
      <c r="G27" s="18" t="n">
        <v>57.39770283</v>
      </c>
      <c r="H27" s="20" t="n">
        <v>1.71911267</v>
      </c>
      <c r="I27" s="18" t="s">
        <v>349</v>
      </c>
      <c r="J27" s="20" t="s">
        <v>349</v>
      </c>
      <c r="K27" s="18" t="n">
        <v>0.31124107</v>
      </c>
      <c r="L27" s="20" t="n">
        <v>0.21995088</v>
      </c>
      <c r="M27" s="18" t="n">
        <v>0</v>
      </c>
      <c r="N27" s="20" t="n">
        <v>0</v>
      </c>
      <c r="O27" s="18" t="n">
        <v>0</v>
      </c>
      <c r="P27" s="20" t="n">
        <v>0</v>
      </c>
      <c r="Q27" s="18" t="n">
        <v>1.37822346</v>
      </c>
      <c r="R27" s="20" t="n">
        <v>0.40060181</v>
      </c>
    </row>
    <row r="28" spans="1:18">
      <c r="A28" s="15" t="s">
        <v>370</v>
      </c>
      <c r="B28" s="17" t="n">
        <v>7568</v>
      </c>
      <c r="C28" s="18">
        <f>(6621.0/B28*100)</f>
        <v/>
      </c>
      <c r="D28" s="19" t="n">
        <v>947</v>
      </c>
      <c r="E28" s="18" t="n">
        <v>66.37341581</v>
      </c>
      <c r="F28" s="20" t="n">
        <v>1.70543149</v>
      </c>
      <c r="G28" s="18" t="n">
        <v>31.99862793</v>
      </c>
      <c r="H28" s="20" t="n">
        <v>1.76357302</v>
      </c>
      <c r="I28" s="18" t="s">
        <v>349</v>
      </c>
      <c r="J28" s="20" t="s">
        <v>349</v>
      </c>
      <c r="K28" s="18" t="n">
        <v>0.21367797</v>
      </c>
      <c r="L28" s="20" t="n">
        <v>0.20666659</v>
      </c>
      <c r="M28" s="18" t="n">
        <v>0</v>
      </c>
      <c r="N28" s="20" t="n">
        <v>0</v>
      </c>
      <c r="O28" s="18" t="n">
        <v>0</v>
      </c>
      <c r="P28" s="20" t="n">
        <v>0</v>
      </c>
      <c r="Q28" s="18" t="n">
        <v>1.41427829</v>
      </c>
      <c r="R28" s="20" t="n">
        <v>0.45678682</v>
      </c>
    </row>
    <row r="29" spans="1:18">
      <c r="A29" s="15" t="s">
        <v>371</v>
      </c>
      <c r="B29" s="17" t="n">
        <v>5385</v>
      </c>
      <c r="C29" s="18">
        <f>(4601.0/B29*100)</f>
        <v/>
      </c>
      <c r="D29" s="19" t="n">
        <v>784</v>
      </c>
      <c r="E29" s="18" t="n">
        <v>34.1816632</v>
      </c>
      <c r="F29" s="20" t="n">
        <v>1.8244124</v>
      </c>
      <c r="G29" s="18" t="n">
        <v>64.20772869</v>
      </c>
      <c r="H29" s="20" t="n">
        <v>2.20179053</v>
      </c>
      <c r="I29" s="18" t="s">
        <v>349</v>
      </c>
      <c r="J29" s="20" t="s">
        <v>349</v>
      </c>
      <c r="K29" s="18" t="n">
        <v>0.81507138</v>
      </c>
      <c r="L29" s="20" t="n">
        <v>0.59083136</v>
      </c>
      <c r="M29" s="18" t="n">
        <v>0</v>
      </c>
      <c r="N29" s="20" t="n">
        <v>0</v>
      </c>
      <c r="O29" s="18" t="n">
        <v>0</v>
      </c>
      <c r="P29" s="20" t="n">
        <v>0</v>
      </c>
      <c r="Q29" s="18" t="n">
        <v>0.79553673</v>
      </c>
      <c r="R29" s="20" t="n">
        <v>0.41956495</v>
      </c>
    </row>
    <row r="30" spans="1:18">
      <c r="A30" s="15" t="s">
        <v>372</v>
      </c>
      <c r="B30" s="17" t="n">
        <v>4520</v>
      </c>
      <c r="C30" s="18">
        <f>(3954.0/B30*100)</f>
        <v/>
      </c>
      <c r="D30" s="19" t="n">
        <v>566</v>
      </c>
      <c r="E30" s="18" t="n">
        <v>37.75304207</v>
      </c>
      <c r="F30" s="20" t="n">
        <v>1.76201535</v>
      </c>
      <c r="G30" s="18" t="n">
        <v>60.91794173</v>
      </c>
      <c r="H30" s="20" t="n">
        <v>1.87016522</v>
      </c>
      <c r="I30" s="18" t="s">
        <v>349</v>
      </c>
      <c r="J30" s="20" t="s">
        <v>349</v>
      </c>
      <c r="K30" s="18" t="n">
        <v>0.16026558</v>
      </c>
      <c r="L30" s="20" t="n">
        <v>0.16208216</v>
      </c>
      <c r="M30" s="18" t="n">
        <v>0</v>
      </c>
      <c r="N30" s="20" t="n">
        <v>0</v>
      </c>
      <c r="O30" s="18" t="n">
        <v>0</v>
      </c>
      <c r="P30" s="20" t="n">
        <v>0</v>
      </c>
      <c r="Q30" s="18" t="n">
        <v>1.16875062</v>
      </c>
      <c r="R30" s="20" t="n">
        <v>0.4394104</v>
      </c>
    </row>
    <row r="31" spans="1:18">
      <c r="A31" s="15" t="s">
        <v>373</v>
      </c>
      <c r="B31" s="17" t="n">
        <v>5456</v>
      </c>
      <c r="C31" s="18">
        <f>(4808.0/B31*100)</f>
        <v/>
      </c>
      <c r="D31" s="19" t="n">
        <v>648</v>
      </c>
      <c r="E31" s="18" t="n">
        <v>38.90921955</v>
      </c>
      <c r="F31" s="20" t="n">
        <v>1.96162774</v>
      </c>
      <c r="G31" s="18" t="n">
        <v>59.27436898</v>
      </c>
      <c r="H31" s="20" t="n">
        <v>2.10279623</v>
      </c>
      <c r="I31" s="18" t="s">
        <v>349</v>
      </c>
      <c r="J31" s="20" t="s">
        <v>349</v>
      </c>
      <c r="K31" s="18" t="n">
        <v>0.47010097</v>
      </c>
      <c r="L31" s="20" t="n">
        <v>0.17558323</v>
      </c>
      <c r="M31" s="18" t="n">
        <v>0</v>
      </c>
      <c r="N31" s="20" t="n">
        <v>0</v>
      </c>
      <c r="O31" s="18" t="n">
        <v>0</v>
      </c>
      <c r="P31" s="20" t="n">
        <v>0</v>
      </c>
      <c r="Q31" s="18" t="n">
        <v>1.3463105</v>
      </c>
      <c r="R31" s="20" t="n">
        <v>0.45485837</v>
      </c>
    </row>
    <row r="32" spans="1:18">
      <c r="A32" s="15" t="s">
        <v>374</v>
      </c>
      <c r="B32" s="17" t="n">
        <v>4478</v>
      </c>
      <c r="C32" s="18">
        <f>(3736.0/B32*100)</f>
        <v/>
      </c>
      <c r="D32" s="19" t="n">
        <v>742</v>
      </c>
      <c r="E32" s="18" t="n">
        <v>34.67253099</v>
      </c>
      <c r="F32" s="20" t="n">
        <v>1.95730554</v>
      </c>
      <c r="G32" s="18" t="n">
        <v>64.94957711000001</v>
      </c>
      <c r="H32" s="20" t="n">
        <v>1.96037648</v>
      </c>
      <c r="I32" s="18" t="s">
        <v>349</v>
      </c>
      <c r="J32" s="20" t="s">
        <v>349</v>
      </c>
      <c r="K32" s="18" t="n">
        <v>0</v>
      </c>
      <c r="L32" s="20" t="n">
        <v>0</v>
      </c>
      <c r="M32" s="18" t="n">
        <v>0</v>
      </c>
      <c r="N32" s="20" t="n">
        <v>0</v>
      </c>
      <c r="O32" s="18" t="n">
        <v>0</v>
      </c>
      <c r="P32" s="20" t="n">
        <v>0</v>
      </c>
      <c r="Q32" s="18" t="n">
        <v>0.37789191</v>
      </c>
      <c r="R32" s="20" t="n">
        <v>0.21552088</v>
      </c>
    </row>
    <row r="33" spans="1:18">
      <c r="A33" s="15" t="s">
        <v>375</v>
      </c>
      <c r="B33" s="17" t="n">
        <v>7325</v>
      </c>
      <c r="C33" s="18">
        <f>(6433.0/B33*100)</f>
        <v/>
      </c>
      <c r="D33" s="19" t="n">
        <v>892</v>
      </c>
      <c r="E33" s="18" t="n">
        <v>45.13053673</v>
      </c>
      <c r="F33" s="20" t="n">
        <v>2.2097132</v>
      </c>
      <c r="G33" s="18" t="n">
        <v>53.7110529</v>
      </c>
      <c r="H33" s="20" t="n">
        <v>2.24759177</v>
      </c>
      <c r="I33" s="18" t="s">
        <v>349</v>
      </c>
      <c r="J33" s="20" t="s">
        <v>349</v>
      </c>
      <c r="K33" s="18" t="n">
        <v>0.32640646</v>
      </c>
      <c r="L33" s="20" t="n">
        <v>0.22357438</v>
      </c>
      <c r="M33" s="18" t="n">
        <v>0</v>
      </c>
      <c r="N33" s="20" t="n">
        <v>0</v>
      </c>
      <c r="O33" s="18" t="n">
        <v>0</v>
      </c>
      <c r="P33" s="20" t="n">
        <v>0</v>
      </c>
      <c r="Q33" s="18" t="n">
        <v>0.83200391</v>
      </c>
      <c r="R33" s="20" t="n">
        <v>0.36187208</v>
      </c>
    </row>
    <row r="34" spans="1:18">
      <c r="A34" s="15" t="s">
        <v>376</v>
      </c>
      <c r="B34" s="17" t="n">
        <v>6350</v>
      </c>
      <c r="C34" s="18">
        <f>(5450.0/B34*100)</f>
        <v/>
      </c>
      <c r="D34" s="19" t="n">
        <v>900</v>
      </c>
      <c r="E34" s="18" t="n">
        <v>42.81088566</v>
      </c>
      <c r="F34" s="20" t="n">
        <v>1.62523754</v>
      </c>
      <c r="G34" s="18" t="n">
        <v>55.72296034</v>
      </c>
      <c r="H34" s="20" t="n">
        <v>1.68593135</v>
      </c>
      <c r="I34" s="18" t="s">
        <v>349</v>
      </c>
      <c r="J34" s="20" t="s">
        <v>349</v>
      </c>
      <c r="K34" s="18" t="n">
        <v>0.21129869</v>
      </c>
      <c r="L34" s="20" t="n">
        <v>0.15437134</v>
      </c>
      <c r="M34" s="18" t="n">
        <v>0</v>
      </c>
      <c r="N34" s="20" t="n">
        <v>0</v>
      </c>
      <c r="O34" s="18" t="n">
        <v>0</v>
      </c>
      <c r="P34" s="20" t="n">
        <v>0</v>
      </c>
      <c r="Q34" s="18" t="n">
        <v>1.25485531</v>
      </c>
      <c r="R34" s="20" t="n">
        <v>0.45509851</v>
      </c>
    </row>
    <row r="35" spans="1:18">
      <c r="A35" s="15" t="s">
        <v>377</v>
      </c>
      <c r="B35" s="17" t="n">
        <v>6406</v>
      </c>
      <c r="C35" s="18">
        <f>(5524.0/B35*100)</f>
        <v/>
      </c>
      <c r="D35" s="19" t="n">
        <v>882</v>
      </c>
      <c r="E35" s="18" t="n">
        <v>36.18009337</v>
      </c>
      <c r="F35" s="20" t="n">
        <v>2.18704125</v>
      </c>
      <c r="G35" s="18" t="n">
        <v>62.77839167</v>
      </c>
      <c r="H35" s="20" t="n">
        <v>2.10162902</v>
      </c>
      <c r="I35" s="18" t="s">
        <v>349</v>
      </c>
      <c r="J35" s="20" t="s">
        <v>349</v>
      </c>
      <c r="K35" s="18" t="n">
        <v>0</v>
      </c>
      <c r="L35" s="20" t="n">
        <v>0</v>
      </c>
      <c r="M35" s="18" t="n">
        <v>0</v>
      </c>
      <c r="N35" s="20" t="n">
        <v>0</v>
      </c>
      <c r="O35" s="18" t="n">
        <v>0</v>
      </c>
      <c r="P35" s="20" t="n">
        <v>0</v>
      </c>
      <c r="Q35" s="18" t="n">
        <v>1.04151496</v>
      </c>
      <c r="R35" s="20" t="n">
        <v>0.38840019</v>
      </c>
    </row>
    <row r="36" spans="1:18">
      <c r="A36" s="15" t="s">
        <v>378</v>
      </c>
      <c r="B36" s="17" t="n">
        <v>6736</v>
      </c>
      <c r="C36" s="18">
        <f>(5893.0/B36*100)</f>
        <v/>
      </c>
      <c r="D36" s="19" t="n">
        <v>843</v>
      </c>
      <c r="E36" s="18" t="n">
        <v>45.2662688</v>
      </c>
      <c r="F36" s="20" t="n">
        <v>1.71911599</v>
      </c>
      <c r="G36" s="18" t="n">
        <v>52.67477697</v>
      </c>
      <c r="H36" s="20" t="n">
        <v>1.66964704</v>
      </c>
      <c r="I36" s="18" t="s">
        <v>349</v>
      </c>
      <c r="J36" s="20" t="s">
        <v>349</v>
      </c>
      <c r="K36" s="18" t="n">
        <v>0.27614487</v>
      </c>
      <c r="L36" s="20" t="n">
        <v>0.16183635</v>
      </c>
      <c r="M36" s="18" t="n">
        <v>0</v>
      </c>
      <c r="N36" s="20" t="n">
        <v>0</v>
      </c>
      <c r="O36" s="18" t="n">
        <v>0</v>
      </c>
      <c r="P36" s="20" t="n">
        <v>0</v>
      </c>
      <c r="Q36" s="18" t="n">
        <v>1.78280937</v>
      </c>
      <c r="R36" s="20" t="n">
        <v>0.50189003</v>
      </c>
    </row>
    <row r="37" spans="1:18">
      <c r="A37" s="15" t="s">
        <v>379</v>
      </c>
      <c r="B37" s="17" t="n">
        <v>5458</v>
      </c>
      <c r="C37" s="18">
        <f>(4786.0/B37*100)</f>
        <v/>
      </c>
      <c r="D37" s="19" t="n">
        <v>672</v>
      </c>
      <c r="E37" s="18" t="n">
        <v>37.79127754</v>
      </c>
      <c r="F37" s="20" t="n">
        <v>1.83647267</v>
      </c>
      <c r="G37" s="18" t="n">
        <v>59.82157091</v>
      </c>
      <c r="H37" s="20" t="n">
        <v>1.96248038</v>
      </c>
      <c r="I37" s="18" t="s">
        <v>349</v>
      </c>
      <c r="J37" s="20" t="s">
        <v>349</v>
      </c>
      <c r="K37" s="18" t="n">
        <v>0.39143227</v>
      </c>
      <c r="L37" s="20" t="n">
        <v>0.28418807</v>
      </c>
      <c r="M37" s="18" t="n">
        <v>0</v>
      </c>
      <c r="N37" s="20" t="n">
        <v>0</v>
      </c>
      <c r="O37" s="18" t="n">
        <v>0</v>
      </c>
      <c r="P37" s="20" t="n">
        <v>0</v>
      </c>
      <c r="Q37" s="18" t="n">
        <v>1.99571928</v>
      </c>
      <c r="R37" s="20" t="n">
        <v>0.58076718</v>
      </c>
    </row>
    <row r="38" spans="1:18">
      <c r="A38" s="15" t="s">
        <v>380</v>
      </c>
      <c r="B38" s="17" t="n">
        <v>5860</v>
      </c>
      <c r="C38" s="18">
        <f>(4865.0/B38*100)</f>
        <v/>
      </c>
      <c r="D38" s="19" t="n">
        <v>995</v>
      </c>
      <c r="E38" s="18" t="n">
        <v>27.92023313</v>
      </c>
      <c r="F38" s="20" t="n">
        <v>1.78756996</v>
      </c>
      <c r="G38" s="18" t="n">
        <v>70.25485336</v>
      </c>
      <c r="H38" s="20" t="n">
        <v>1.75148696</v>
      </c>
      <c r="I38" s="18" t="s">
        <v>349</v>
      </c>
      <c r="J38" s="20" t="s">
        <v>349</v>
      </c>
      <c r="K38" s="18" t="n">
        <v>0</v>
      </c>
      <c r="L38" s="20" t="n">
        <v>0</v>
      </c>
      <c r="M38" s="18" t="n">
        <v>0</v>
      </c>
      <c r="N38" s="20" t="n">
        <v>0</v>
      </c>
      <c r="O38" s="18" t="n">
        <v>0</v>
      </c>
      <c r="P38" s="20" t="n">
        <v>0</v>
      </c>
      <c r="Q38" s="18" t="n">
        <v>1.8249135</v>
      </c>
      <c r="R38" s="20" t="n">
        <v>0.44941165</v>
      </c>
    </row>
    <row r="39" spans="1:18">
      <c r="A39" s="15" t="s">
        <v>381</v>
      </c>
      <c r="B39" s="17" t="n">
        <v>5895</v>
      </c>
      <c r="C39" s="18">
        <f>(5171.0/B39*100)</f>
        <v/>
      </c>
      <c r="D39" s="19" t="n">
        <v>724</v>
      </c>
      <c r="E39" s="18" t="n">
        <v>73.13072988</v>
      </c>
      <c r="F39" s="20" t="n">
        <v>1.94193178</v>
      </c>
      <c r="G39" s="18" t="n">
        <v>24.25652174</v>
      </c>
      <c r="H39" s="20" t="n">
        <v>1.88486378</v>
      </c>
      <c r="I39" s="18" t="s">
        <v>349</v>
      </c>
      <c r="J39" s="20" t="s">
        <v>349</v>
      </c>
      <c r="K39" s="18" t="n">
        <v>0</v>
      </c>
      <c r="L39" s="20" t="n">
        <v>0</v>
      </c>
      <c r="M39" s="18" t="n">
        <v>0</v>
      </c>
      <c r="N39" s="20" t="n">
        <v>0</v>
      </c>
      <c r="O39" s="18" t="n">
        <v>0</v>
      </c>
      <c r="P39" s="20" t="n">
        <v>0</v>
      </c>
      <c r="Q39" s="18" t="n">
        <v>2.61274838</v>
      </c>
      <c r="R39" s="20" t="n">
        <v>0.52420448</v>
      </c>
    </row>
    <row r="40" spans="1:18">
      <c r="A40" s="15" t="s">
        <v>382</v>
      </c>
      <c r="B40" s="17" t="n">
        <v>14157</v>
      </c>
      <c r="C40" s="18">
        <f>(12445.0/B40*100)</f>
        <v/>
      </c>
      <c r="D40" s="19" t="n">
        <v>1712</v>
      </c>
      <c r="E40" s="18" t="n">
        <v>43.24954546</v>
      </c>
      <c r="F40" s="20" t="n">
        <v>2.1464388</v>
      </c>
      <c r="G40" s="18" t="n">
        <v>54.44680007</v>
      </c>
      <c r="H40" s="20" t="n">
        <v>1.98787664</v>
      </c>
      <c r="I40" s="18" t="s">
        <v>349</v>
      </c>
      <c r="J40" s="20" t="s">
        <v>349</v>
      </c>
      <c r="K40" s="18" t="n">
        <v>0.12499997</v>
      </c>
      <c r="L40" s="20" t="n">
        <v>0.15678038</v>
      </c>
      <c r="M40" s="18" t="n">
        <v>0</v>
      </c>
      <c r="N40" s="20" t="n">
        <v>0</v>
      </c>
      <c r="O40" s="18" t="n">
        <v>0</v>
      </c>
      <c r="P40" s="20" t="n">
        <v>0</v>
      </c>
      <c r="Q40" s="18" t="n">
        <v>2.1786545</v>
      </c>
      <c r="R40" s="20" t="n">
        <v>0.66331001</v>
      </c>
    </row>
    <row r="41" spans="1:18">
      <c r="A41" s="15" t="s">
        <v>383</v>
      </c>
      <c r="B41" s="17" t="n">
        <v>5712</v>
      </c>
      <c r="C41" s="18">
        <f>(4976.0/B41*100)</f>
        <v/>
      </c>
      <c r="D41" s="19" t="n">
        <v>736</v>
      </c>
      <c r="E41" s="18" t="n">
        <v>44.15376625</v>
      </c>
      <c r="F41" s="20" t="n">
        <v>1.92407185</v>
      </c>
      <c r="G41" s="18" t="n">
        <v>54.98640386</v>
      </c>
      <c r="H41" s="20" t="n">
        <v>1.92464614</v>
      </c>
      <c r="I41" s="18" t="s">
        <v>349</v>
      </c>
      <c r="J41" s="20" t="s">
        <v>349</v>
      </c>
      <c r="K41" s="18" t="n">
        <v>0.12975366</v>
      </c>
      <c r="L41" s="20" t="n">
        <v>0.12557781</v>
      </c>
      <c r="M41" s="18" t="n">
        <v>0</v>
      </c>
      <c r="N41" s="20" t="n">
        <v>0</v>
      </c>
      <c r="O41" s="18" t="n">
        <v>0</v>
      </c>
      <c r="P41" s="20" t="n">
        <v>0</v>
      </c>
      <c r="Q41" s="18" t="n">
        <v>0.73007623</v>
      </c>
      <c r="R41" s="20" t="n">
        <v>0.30266141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(20370.0/B46*100)</f>
        <v/>
      </c>
      <c r="D46" s="19" t="n">
        <v>2771</v>
      </c>
      <c r="E46" s="18" t="n">
        <v>60.16967956</v>
      </c>
      <c r="F46" s="20" t="n">
        <v>1.3694867</v>
      </c>
      <c r="G46" s="18" t="n">
        <v>36.5010876</v>
      </c>
      <c r="H46" s="20" t="n">
        <v>1.36006196</v>
      </c>
      <c r="I46" s="18" t="s">
        <v>349</v>
      </c>
      <c r="J46" s="20" t="s">
        <v>349</v>
      </c>
      <c r="K46" s="18" t="n">
        <v>0.34076738</v>
      </c>
      <c r="L46" s="20" t="n">
        <v>0.14137656</v>
      </c>
      <c r="M46" s="18" t="n">
        <v>0</v>
      </c>
      <c r="N46" s="20" t="n">
        <v>0</v>
      </c>
      <c r="O46" s="18" t="n">
        <v>0</v>
      </c>
      <c r="P46" s="20" t="n">
        <v>0</v>
      </c>
      <c r="Q46" s="18" t="n">
        <v>2.98846546</v>
      </c>
      <c r="R46" s="20" t="n">
        <v>0.4688886</v>
      </c>
    </row>
    <row r="47" spans="1:18">
      <c r="A47" s="15" t="s">
        <v>389</v>
      </c>
      <c r="B47" s="17" t="n">
        <v>5928</v>
      </c>
      <c r="C47" s="18">
        <f>(5213.0/B47*100)</f>
        <v/>
      </c>
      <c r="D47" s="19" t="n">
        <v>715</v>
      </c>
      <c r="E47" s="18" t="n">
        <v>48.48736091</v>
      </c>
      <c r="F47" s="20" t="n">
        <v>2.46171189</v>
      </c>
      <c r="G47" s="18" t="n">
        <v>50.02870944</v>
      </c>
      <c r="H47" s="20" t="n">
        <v>2.42010383</v>
      </c>
      <c r="I47" s="18" t="s">
        <v>349</v>
      </c>
      <c r="J47" s="20" t="s">
        <v>349</v>
      </c>
      <c r="K47" s="18" t="n">
        <v>0.13155418</v>
      </c>
      <c r="L47" s="20" t="n">
        <v>0.12637131</v>
      </c>
      <c r="M47" s="18" t="n">
        <v>0</v>
      </c>
      <c r="N47" s="20" t="n">
        <v>0</v>
      </c>
      <c r="O47" s="18" t="n">
        <v>0</v>
      </c>
      <c r="P47" s="20" t="n">
        <v>0</v>
      </c>
      <c r="Q47" s="18" t="n">
        <v>1.35237546</v>
      </c>
      <c r="R47" s="20" t="n">
        <v>0.37843408</v>
      </c>
    </row>
    <row r="48" spans="1:18">
      <c r="A48" s="15" t="s">
        <v>390</v>
      </c>
      <c r="B48" s="17" t="n">
        <v>9841</v>
      </c>
      <c r="C48" s="18">
        <f>(8625.0/B48*100)</f>
        <v/>
      </c>
      <c r="D48" s="19" t="n">
        <v>1216</v>
      </c>
      <c r="E48" s="18" t="n">
        <v>42.1309042</v>
      </c>
      <c r="F48" s="20" t="n">
        <v>2.27768787</v>
      </c>
      <c r="G48" s="18" t="n">
        <v>56.09480675</v>
      </c>
      <c r="H48" s="20" t="n">
        <v>2.28182322</v>
      </c>
      <c r="I48" s="18" t="s">
        <v>349</v>
      </c>
      <c r="J48" s="20" t="s">
        <v>349</v>
      </c>
      <c r="K48" s="18" t="n">
        <v>0.49554632</v>
      </c>
      <c r="L48" s="20" t="n">
        <v>0.24885773</v>
      </c>
      <c r="M48" s="18" t="n">
        <v>0</v>
      </c>
      <c r="N48" s="20" t="n">
        <v>0</v>
      </c>
      <c r="O48" s="18" t="n">
        <v>0</v>
      </c>
      <c r="P48" s="20" t="n">
        <v>0</v>
      </c>
      <c r="Q48" s="18" t="n">
        <v>1.27874273</v>
      </c>
      <c r="R48" s="20" t="n">
        <v>0.372018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(10347.0/B50*100)</f>
        <v/>
      </c>
      <c r="D50" s="19" t="n">
        <v>1448</v>
      </c>
      <c r="E50" s="18" t="n">
        <v>64.97427356</v>
      </c>
      <c r="F50" s="20" t="n">
        <v>1.8053101</v>
      </c>
      <c r="G50" s="18" t="n">
        <v>33.01571667</v>
      </c>
      <c r="H50" s="20" t="n">
        <v>1.65130573</v>
      </c>
      <c r="I50" s="18" t="s">
        <v>349</v>
      </c>
      <c r="J50" s="20" t="s">
        <v>349</v>
      </c>
      <c r="K50" s="18" t="n">
        <v>0.49984686</v>
      </c>
      <c r="L50" s="20" t="n">
        <v>0.2559917</v>
      </c>
      <c r="M50" s="18" t="n">
        <v>0</v>
      </c>
      <c r="N50" s="20" t="n">
        <v>0</v>
      </c>
      <c r="O50" s="18" t="n">
        <v>0</v>
      </c>
      <c r="P50" s="20" t="n">
        <v>0</v>
      </c>
      <c r="Q50" s="18" t="n">
        <v>1.5101629</v>
      </c>
      <c r="R50" s="20" t="n">
        <v>0.43335601</v>
      </c>
    </row>
    <row r="51" spans="1:18">
      <c r="A51" s="15" t="s">
        <v>393</v>
      </c>
      <c r="B51" s="17" t="n">
        <v>6866</v>
      </c>
      <c r="C51" s="18">
        <f>(5417.0/B51*100)</f>
        <v/>
      </c>
      <c r="D51" s="19" t="n">
        <v>1449</v>
      </c>
      <c r="E51" s="18" t="n">
        <v>63.88707651</v>
      </c>
      <c r="F51" s="20" t="n">
        <v>1.18205358</v>
      </c>
      <c r="G51" s="18" t="n">
        <v>33.78259938</v>
      </c>
      <c r="H51" s="20" t="n">
        <v>1.11899783</v>
      </c>
      <c r="I51" s="18" t="s">
        <v>349</v>
      </c>
      <c r="J51" s="20" t="s">
        <v>349</v>
      </c>
      <c r="K51" s="18" t="n">
        <v>0.2176374</v>
      </c>
      <c r="L51" s="20" t="n">
        <v>0.1205871</v>
      </c>
      <c r="M51" s="18" t="n">
        <v>0</v>
      </c>
      <c r="N51" s="20" t="n">
        <v>0</v>
      </c>
      <c r="O51" s="18" t="n">
        <v>0</v>
      </c>
      <c r="P51" s="20" t="n">
        <v>0</v>
      </c>
      <c r="Q51" s="18" t="n">
        <v>2.11268671</v>
      </c>
      <c r="R51" s="20" t="n">
        <v>0.41133126</v>
      </c>
    </row>
    <row r="52" spans="1:18">
      <c r="A52" s="15" t="s">
        <v>394</v>
      </c>
      <c r="B52" s="17" t="n">
        <v>5809</v>
      </c>
      <c r="C52" s="18">
        <f>(5097.0/B52*100)</f>
        <v/>
      </c>
      <c r="D52" s="19" t="n">
        <v>712</v>
      </c>
      <c r="E52" s="18" t="n">
        <v>44.44661267</v>
      </c>
      <c r="F52" s="20" t="n">
        <v>1.96061046</v>
      </c>
      <c r="G52" s="18" t="n">
        <v>53.16698575</v>
      </c>
      <c r="H52" s="20" t="n">
        <v>1.91870556</v>
      </c>
      <c r="I52" s="18" t="s">
        <v>349</v>
      </c>
      <c r="J52" s="20" t="s">
        <v>349</v>
      </c>
      <c r="K52" s="18" t="n">
        <v>0</v>
      </c>
      <c r="L52" s="20" t="n">
        <v>0</v>
      </c>
      <c r="M52" s="18" t="n">
        <v>0</v>
      </c>
      <c r="N52" s="20" t="n">
        <v>0</v>
      </c>
      <c r="O52" s="18" t="n">
        <v>0</v>
      </c>
      <c r="P52" s="20" t="n">
        <v>0</v>
      </c>
      <c r="Q52" s="18" t="n">
        <v>2.38640158</v>
      </c>
      <c r="R52" s="20" t="n">
        <v>0.53792211</v>
      </c>
    </row>
    <row r="53" spans="1:18">
      <c r="A53" s="15" t="s">
        <v>395</v>
      </c>
      <c r="B53" s="17" t="n">
        <v>5571</v>
      </c>
      <c r="C53" s="18">
        <f>(4877.0/B53*100)</f>
        <v/>
      </c>
      <c r="D53" s="19" t="n">
        <v>694</v>
      </c>
      <c r="E53" s="18" t="n">
        <v>57.28610678</v>
      </c>
      <c r="F53" s="20" t="n">
        <v>1.95792018</v>
      </c>
      <c r="G53" s="18" t="n">
        <v>40.09692781</v>
      </c>
      <c r="H53" s="20" t="n">
        <v>1.93911201</v>
      </c>
      <c r="I53" s="18" t="s">
        <v>349</v>
      </c>
      <c r="J53" s="20" t="s">
        <v>349</v>
      </c>
      <c r="K53" s="18" t="n">
        <v>0.19440288</v>
      </c>
      <c r="L53" s="20" t="n">
        <v>0.19281668</v>
      </c>
      <c r="M53" s="18" t="n">
        <v>0</v>
      </c>
      <c r="N53" s="20" t="n">
        <v>0</v>
      </c>
      <c r="O53" s="18" t="n">
        <v>0</v>
      </c>
      <c r="P53" s="20" t="n">
        <v>0</v>
      </c>
      <c r="Q53" s="18" t="n">
        <v>2.42256252</v>
      </c>
      <c r="R53" s="20" t="n">
        <v>0.60256373</v>
      </c>
    </row>
    <row r="54" spans="1:18">
      <c r="A54" s="15" t="s">
        <v>396</v>
      </c>
      <c r="B54" s="17" t="n">
        <v>4740</v>
      </c>
      <c r="C54" s="18">
        <f>(3964.0/B54*100)</f>
        <v/>
      </c>
      <c r="D54" s="19" t="n">
        <v>776</v>
      </c>
      <c r="E54" s="18" t="n">
        <v>65.61599739</v>
      </c>
      <c r="F54" s="20" t="n">
        <v>1.78063903</v>
      </c>
      <c r="G54" s="18" t="n">
        <v>26.70764619</v>
      </c>
      <c r="H54" s="20" t="n">
        <v>1.72584659</v>
      </c>
      <c r="I54" s="18" t="s">
        <v>349</v>
      </c>
      <c r="J54" s="20" t="s">
        <v>349</v>
      </c>
      <c r="K54" s="18" t="n">
        <v>3.47694751</v>
      </c>
      <c r="L54" s="20" t="n">
        <v>0.7748191</v>
      </c>
      <c r="M54" s="18" t="n">
        <v>0</v>
      </c>
      <c r="N54" s="20" t="n">
        <v>0</v>
      </c>
      <c r="O54" s="18" t="n">
        <v>0</v>
      </c>
      <c r="P54" s="20" t="n">
        <v>0</v>
      </c>
      <c r="Q54" s="18" t="n">
        <v>4.1994089</v>
      </c>
      <c r="R54" s="20" t="n">
        <v>0.8014011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34.81433064</v>
      </c>
      <c r="F56" s="20" t="n">
        <v>2.12937213</v>
      </c>
      <c r="G56" s="18" t="n">
        <v>64.52755395</v>
      </c>
      <c r="H56" s="20" t="n">
        <v>2.10347165</v>
      </c>
      <c r="I56" s="18" t="s">
        <v>349</v>
      </c>
      <c r="J56" s="20" t="s">
        <v>349</v>
      </c>
      <c r="K56" s="18" t="n">
        <v>0</v>
      </c>
      <c r="L56" s="20" t="n">
        <v>0</v>
      </c>
      <c r="M56" s="18" t="n">
        <v>0</v>
      </c>
      <c r="N56" s="20" t="n">
        <v>0</v>
      </c>
      <c r="O56" s="18" t="n">
        <v>0</v>
      </c>
      <c r="P56" s="20" t="n">
        <v>0</v>
      </c>
      <c r="Q56" s="18" t="n">
        <v>0.65811541</v>
      </c>
      <c r="R56" s="20" t="n">
        <v>0.30016447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(5703.0/B61*100)</f>
        <v/>
      </c>
      <c r="D61" s="19" t="n">
        <v>822</v>
      </c>
      <c r="E61" s="18" t="n">
        <v>44.64276828</v>
      </c>
      <c r="F61" s="20" t="n">
        <v>1.9111605</v>
      </c>
      <c r="G61" s="18" t="n">
        <v>54.59210136</v>
      </c>
      <c r="H61" s="20" t="n">
        <v>1.92839005</v>
      </c>
      <c r="I61" s="18" t="s">
        <v>349</v>
      </c>
      <c r="J61" s="20" t="s">
        <v>349</v>
      </c>
      <c r="K61" s="18" t="n">
        <v>0.35678322</v>
      </c>
      <c r="L61" s="20" t="n">
        <v>0.35098483</v>
      </c>
      <c r="M61" s="18" t="n">
        <v>0</v>
      </c>
      <c r="N61" s="20" t="n">
        <v>0</v>
      </c>
      <c r="O61" s="18" t="n">
        <v>0</v>
      </c>
      <c r="P61" s="20" t="n">
        <v>0</v>
      </c>
      <c r="Q61" s="18" t="n">
        <v>0.40834714</v>
      </c>
      <c r="R61" s="20" t="n">
        <v>0.23081365</v>
      </c>
    </row>
    <row r="62" spans="1:18">
      <c r="A62" s="15" t="s">
        <v>404</v>
      </c>
      <c r="B62" s="17" t="n">
        <v>4476</v>
      </c>
      <c r="C62" s="18">
        <f>(3919.0/B62*100)</f>
        <v/>
      </c>
      <c r="D62" s="19" t="n">
        <v>557</v>
      </c>
      <c r="E62" s="18" t="n">
        <v>40.25636328</v>
      </c>
      <c r="F62" s="20" t="n">
        <v>2.14526211</v>
      </c>
      <c r="G62" s="18" t="n">
        <v>59.20178504</v>
      </c>
      <c r="H62" s="20" t="n">
        <v>2.10226321</v>
      </c>
      <c r="I62" s="18" t="s">
        <v>349</v>
      </c>
      <c r="J62" s="20" t="s">
        <v>349</v>
      </c>
      <c r="K62" s="18" t="n">
        <v>0</v>
      </c>
      <c r="L62" s="20" t="n">
        <v>0</v>
      </c>
      <c r="M62" s="18" t="n">
        <v>0</v>
      </c>
      <c r="N62" s="20" t="n">
        <v>0</v>
      </c>
      <c r="O62" s="18" t="n">
        <v>0</v>
      </c>
      <c r="P62" s="20" t="n">
        <v>0</v>
      </c>
      <c r="Q62" s="18" t="n">
        <v>0.5418516799999999</v>
      </c>
      <c r="R62" s="20" t="n">
        <v>0.31279467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47.83478756</v>
      </c>
      <c r="F66" s="20" t="n">
        <v>1.77628891</v>
      </c>
      <c r="G66" s="18" t="n">
        <v>47.03019416</v>
      </c>
      <c r="H66" s="20" t="n">
        <v>1.58340824</v>
      </c>
      <c r="I66" s="18" t="s">
        <v>349</v>
      </c>
      <c r="J66" s="20" t="s">
        <v>349</v>
      </c>
      <c r="K66" s="18" t="n">
        <v>0.18633997</v>
      </c>
      <c r="L66" s="20" t="n">
        <v>0.18567261</v>
      </c>
      <c r="M66" s="18" t="n">
        <v>0</v>
      </c>
      <c r="N66" s="20" t="n">
        <v>0</v>
      </c>
      <c r="O66" s="18" t="n">
        <v>0</v>
      </c>
      <c r="P66" s="20" t="n">
        <v>0</v>
      </c>
      <c r="Q66" s="18" t="n">
        <v>4.94867832</v>
      </c>
      <c r="R66" s="20" t="n">
        <v>0.94235346</v>
      </c>
    </row>
    <row r="67" spans="1:18">
      <c r="A67" s="15" t="s">
        <v>409</v>
      </c>
      <c r="B67" s="17" t="n">
        <v>6971</v>
      </c>
      <c r="C67" s="18">
        <f>(6127.0/B67*100)</f>
        <v/>
      </c>
      <c r="D67" s="19" t="n">
        <v>844</v>
      </c>
      <c r="E67" s="18" t="n">
        <v>70.53246861</v>
      </c>
      <c r="F67" s="20" t="n">
        <v>1.71820798</v>
      </c>
      <c r="G67" s="18" t="n">
        <v>25.97883803</v>
      </c>
      <c r="H67" s="20" t="n">
        <v>1.63454633</v>
      </c>
      <c r="I67" s="18" t="s">
        <v>349</v>
      </c>
      <c r="J67" s="20" t="s">
        <v>349</v>
      </c>
      <c r="K67" s="18" t="n">
        <v>0</v>
      </c>
      <c r="L67" s="20" t="n">
        <v>0</v>
      </c>
      <c r="M67" s="18" t="n">
        <v>0</v>
      </c>
      <c r="N67" s="20" t="n">
        <v>0</v>
      </c>
      <c r="O67" s="18" t="n">
        <v>0</v>
      </c>
      <c r="P67" s="20" t="n">
        <v>0</v>
      </c>
      <c r="Q67" s="18" t="n">
        <v>3.48869337</v>
      </c>
      <c r="R67" s="20" t="n">
        <v>0.58155067</v>
      </c>
    </row>
    <row r="68" spans="1:18">
      <c r="A68" s="15" t="s">
        <v>410</v>
      </c>
      <c r="B68" s="17" t="n">
        <v>12083</v>
      </c>
      <c r="C68" s="18">
        <f>(10086.0/B68*100)</f>
        <v/>
      </c>
      <c r="D68" s="19" t="n">
        <v>1997</v>
      </c>
      <c r="E68" s="18" t="n">
        <v>62.32326012</v>
      </c>
      <c r="F68" s="20" t="n">
        <v>1.1569961</v>
      </c>
      <c r="G68" s="18" t="n">
        <v>33.64125567</v>
      </c>
      <c r="H68" s="20" t="n">
        <v>1.14095542</v>
      </c>
      <c r="I68" s="18" t="s">
        <v>349</v>
      </c>
      <c r="J68" s="20" t="s">
        <v>349</v>
      </c>
      <c r="K68" s="18" t="n">
        <v>0.91319395</v>
      </c>
      <c r="L68" s="20" t="n">
        <v>0.22162014</v>
      </c>
      <c r="M68" s="18" t="n">
        <v>0</v>
      </c>
      <c r="N68" s="20" t="n">
        <v>0</v>
      </c>
      <c r="O68" s="18" t="n">
        <v>0</v>
      </c>
      <c r="P68" s="20" t="n">
        <v>0</v>
      </c>
      <c r="Q68" s="18" t="n">
        <v>3.12229026</v>
      </c>
      <c r="R68" s="20" t="n">
        <v>0.41200139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(5286.0/B70*100)</f>
        <v/>
      </c>
      <c r="D70" s="19" t="n">
        <v>750</v>
      </c>
      <c r="E70" s="18" t="n">
        <v>36.31018871</v>
      </c>
      <c r="F70" s="20" t="n">
        <v>2.05133387</v>
      </c>
      <c r="G70" s="18" t="n">
        <v>62.76526754</v>
      </c>
      <c r="H70" s="20" t="n">
        <v>2.08926195</v>
      </c>
      <c r="I70" s="18" t="s">
        <v>349</v>
      </c>
      <c r="J70" s="20" t="s">
        <v>349</v>
      </c>
      <c r="K70" s="18" t="n">
        <v>0.10453849</v>
      </c>
      <c r="L70" s="20" t="n">
        <v>0.10398515</v>
      </c>
      <c r="M70" s="18" t="n">
        <v>0</v>
      </c>
      <c r="N70" s="20" t="n">
        <v>0</v>
      </c>
      <c r="O70" s="18" t="n">
        <v>0</v>
      </c>
      <c r="P70" s="20" t="n">
        <v>0</v>
      </c>
      <c r="Q70" s="18" t="n">
        <v>0.82000526</v>
      </c>
      <c r="R70" s="20" t="n">
        <v>0.32236125</v>
      </c>
    </row>
    <row r="71" spans="1:18">
      <c r="A71" s="15" t="s">
        <v>413</v>
      </c>
      <c r="B71" s="17" t="n">
        <v>6115</v>
      </c>
      <c r="C71" s="18">
        <f>(5348.0/B71*100)</f>
        <v/>
      </c>
      <c r="D71" s="19" t="n">
        <v>767</v>
      </c>
      <c r="E71" s="18" t="n">
        <v>30.95492431</v>
      </c>
      <c r="F71" s="20" t="n">
        <v>1.7007566</v>
      </c>
      <c r="G71" s="18" t="n">
        <v>68.57964877000001</v>
      </c>
      <c r="H71" s="20" t="n">
        <v>1.69407749</v>
      </c>
      <c r="I71" s="18" t="s">
        <v>349</v>
      </c>
      <c r="J71" s="20" t="s">
        <v>349</v>
      </c>
      <c r="K71" s="18" t="n">
        <v>0.22662423</v>
      </c>
      <c r="L71" s="20" t="n">
        <v>0.16720832</v>
      </c>
      <c r="M71" s="18" t="n">
        <v>0</v>
      </c>
      <c r="N71" s="20" t="n">
        <v>0</v>
      </c>
      <c r="O71" s="18" t="n">
        <v>0</v>
      </c>
      <c r="P71" s="20" t="n">
        <v>0</v>
      </c>
      <c r="Q71" s="18" t="n">
        <v>0.23880269</v>
      </c>
      <c r="R71" s="20" t="n">
        <v>0.17017863</v>
      </c>
    </row>
    <row r="72" spans="1:18">
      <c r="A72" s="15" t="s">
        <v>414</v>
      </c>
      <c r="B72" s="17" t="n">
        <v>7708</v>
      </c>
      <c r="C72" s="18">
        <f>(6749.0/B72*100)</f>
        <v/>
      </c>
      <c r="D72" s="19" t="n">
        <v>959</v>
      </c>
      <c r="E72" s="18" t="n">
        <v>42.09520269</v>
      </c>
      <c r="F72" s="20" t="n">
        <v>1.67922258</v>
      </c>
      <c r="G72" s="18" t="n">
        <v>57.24529994</v>
      </c>
      <c r="H72" s="20" t="n">
        <v>1.66563019</v>
      </c>
      <c r="I72" s="18" t="s">
        <v>349</v>
      </c>
      <c r="J72" s="20" t="s">
        <v>349</v>
      </c>
      <c r="K72" s="18" t="n">
        <v>0.11181069</v>
      </c>
      <c r="L72" s="20" t="n">
        <v>0.11182754</v>
      </c>
      <c r="M72" s="18" t="n">
        <v>0</v>
      </c>
      <c r="N72" s="20" t="n">
        <v>0</v>
      </c>
      <c r="O72" s="18" t="n">
        <v>0</v>
      </c>
      <c r="P72" s="20" t="n">
        <v>0</v>
      </c>
      <c r="Q72" s="18" t="n">
        <v>0.54768668</v>
      </c>
      <c r="R72" s="20" t="n">
        <v>0.25048633</v>
      </c>
    </row>
    <row r="73" spans="1:18">
      <c r="A73" s="15" t="s">
        <v>415</v>
      </c>
      <c r="B73" s="17" t="n">
        <v>8249</v>
      </c>
      <c r="C73" s="18">
        <f>(7249.0/B73*100)</f>
        <v/>
      </c>
      <c r="D73" s="19" t="n">
        <v>1000</v>
      </c>
      <c r="E73" s="18" t="n">
        <v>75.7311558</v>
      </c>
      <c r="F73" s="20" t="n">
        <v>1.73557156</v>
      </c>
      <c r="G73" s="18" t="n">
        <v>24.12038339</v>
      </c>
      <c r="H73" s="20" t="n">
        <v>1.75348584</v>
      </c>
      <c r="I73" s="18" t="s">
        <v>349</v>
      </c>
      <c r="J73" s="20" t="s">
        <v>349</v>
      </c>
      <c r="K73" s="18" t="n">
        <v>0</v>
      </c>
      <c r="L73" s="20" t="n">
        <v>0</v>
      </c>
      <c r="M73" s="18" t="n">
        <v>0</v>
      </c>
      <c r="N73" s="20" t="n">
        <v>0</v>
      </c>
      <c r="O73" s="18" t="n">
        <v>0</v>
      </c>
      <c r="P73" s="20" t="n">
        <v>0</v>
      </c>
      <c r="Q73" s="18" t="n">
        <v>0.14846081</v>
      </c>
      <c r="R73" s="20" t="n">
        <v>0.14039167</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(4743.0/B75*100)</f>
        <v/>
      </c>
      <c r="D75" s="19" t="n">
        <v>632</v>
      </c>
      <c r="E75" s="18" t="n">
        <v>69.52007865</v>
      </c>
      <c r="F75" s="20" t="n">
        <v>2.11861978</v>
      </c>
      <c r="G75" s="18" t="n">
        <v>25.35613478</v>
      </c>
      <c r="H75" s="20" t="n">
        <v>2.01196755</v>
      </c>
      <c r="I75" s="18" t="s">
        <v>349</v>
      </c>
      <c r="J75" s="20" t="s">
        <v>349</v>
      </c>
      <c r="K75" s="18" t="n">
        <v>1.2389578</v>
      </c>
      <c r="L75" s="20" t="n">
        <v>0.43030101</v>
      </c>
      <c r="M75" s="18" t="n">
        <v>0</v>
      </c>
      <c r="N75" s="20" t="n">
        <v>0</v>
      </c>
      <c r="O75" s="18" t="n">
        <v>0</v>
      </c>
      <c r="P75" s="20" t="n">
        <v>0</v>
      </c>
      <c r="Q75" s="18" t="n">
        <v>3.88482877</v>
      </c>
      <c r="R75" s="20" t="n">
        <v>0.95189207</v>
      </c>
    </row>
    <row r="76" spans="1:18">
      <c r="A76" s="15" t="s">
        <v>418</v>
      </c>
      <c r="B76" s="17" t="n">
        <v>14167</v>
      </c>
      <c r="C76" s="18">
        <f>(12411.0/B76*100)</f>
        <v/>
      </c>
      <c r="D76" s="19" t="n">
        <v>1756</v>
      </c>
      <c r="E76" s="18" t="n">
        <v>58.16944052</v>
      </c>
      <c r="F76" s="20" t="n">
        <v>1.56728085</v>
      </c>
      <c r="G76" s="18" t="n">
        <v>40.52091304</v>
      </c>
      <c r="H76" s="20" t="n">
        <v>1.53824922</v>
      </c>
      <c r="I76" s="18" t="s">
        <v>349</v>
      </c>
      <c r="J76" s="20" t="s">
        <v>349</v>
      </c>
      <c r="K76" s="18" t="n">
        <v>0.14123041</v>
      </c>
      <c r="L76" s="20" t="n">
        <v>0.09482525</v>
      </c>
      <c r="M76" s="18" t="n">
        <v>0</v>
      </c>
      <c r="N76" s="20" t="n">
        <v>0</v>
      </c>
      <c r="O76" s="18" t="n">
        <v>0</v>
      </c>
      <c r="P76" s="20" t="n">
        <v>0</v>
      </c>
      <c r="Q76" s="18" t="n">
        <v>1.16841602</v>
      </c>
      <c r="R76" s="20" t="n">
        <v>0.23737737</v>
      </c>
    </row>
    <row r="77" spans="1:18">
      <c r="A77" s="15" t="s">
        <v>419</v>
      </c>
      <c r="B77" s="17" t="n">
        <v>6062</v>
      </c>
      <c r="C77" s="18">
        <f>(5302.0/B77*100)</f>
        <v/>
      </c>
      <c r="D77" s="19" t="n">
        <v>760</v>
      </c>
      <c r="E77" s="18" t="n">
        <v>56.90526101</v>
      </c>
      <c r="F77" s="20" t="n">
        <v>1.94122249</v>
      </c>
      <c r="G77" s="18" t="n">
        <v>38.78540557</v>
      </c>
      <c r="H77" s="20" t="n">
        <v>1.97335098</v>
      </c>
      <c r="I77" s="18" t="s">
        <v>349</v>
      </c>
      <c r="J77" s="20" t="s">
        <v>349</v>
      </c>
      <c r="K77" s="18" t="n">
        <v>0.44723927</v>
      </c>
      <c r="L77" s="20" t="n">
        <v>0.30107442</v>
      </c>
      <c r="M77" s="18" t="n">
        <v>0</v>
      </c>
      <c r="N77" s="20" t="n">
        <v>0</v>
      </c>
      <c r="O77" s="18" t="n">
        <v>0</v>
      </c>
      <c r="P77" s="20" t="n">
        <v>0</v>
      </c>
      <c r="Q77" s="18" t="n">
        <v>3.86209414</v>
      </c>
      <c r="R77" s="20" t="n">
        <v>0.85711528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(7756.0/B81*100)</f>
        <v/>
      </c>
      <c r="D81" s="19" t="n">
        <v>1105</v>
      </c>
      <c r="E81" s="18" t="n">
        <v>65.64509308</v>
      </c>
      <c r="F81" s="20" t="n">
        <v>1.80991202</v>
      </c>
      <c r="G81" s="18" t="n">
        <v>33.27451294</v>
      </c>
      <c r="H81" s="20" t="n">
        <v>1.82334272</v>
      </c>
      <c r="I81" s="18" t="s">
        <v>349</v>
      </c>
      <c r="J81" s="20" t="s">
        <v>349</v>
      </c>
      <c r="K81" s="18" t="n">
        <v>0</v>
      </c>
      <c r="L81" s="20" t="n">
        <v>0</v>
      </c>
      <c r="M81" s="18" t="n">
        <v>0</v>
      </c>
      <c r="N81" s="20" t="n">
        <v>0</v>
      </c>
      <c r="O81" s="18" t="n">
        <v>0</v>
      </c>
      <c r="P81" s="20" t="n">
        <v>0</v>
      </c>
      <c r="Q81" s="18" t="n">
        <v>1.08039398</v>
      </c>
      <c r="R81" s="20" t="n">
        <v>0.36979591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(12699.0/B7*100)</f>
        <v/>
      </c>
      <c r="D7" s="19" t="n">
        <v>1831</v>
      </c>
      <c r="E7" s="18" t="n">
        <v>60.20150241</v>
      </c>
      <c r="F7" s="20" t="n">
        <v>1.4262506</v>
      </c>
      <c r="G7" s="18" t="n">
        <v>33.26647418</v>
      </c>
      <c r="H7" s="20" t="n">
        <v>1.33995037</v>
      </c>
      <c r="I7" s="18" t="s">
        <v>349</v>
      </c>
      <c r="J7" s="20" t="s">
        <v>349</v>
      </c>
      <c r="K7" s="18" t="n">
        <v>0.18485213</v>
      </c>
      <c r="L7" s="20" t="n">
        <v>0.10648714</v>
      </c>
      <c r="M7" s="18" t="n">
        <v>0</v>
      </c>
      <c r="N7" s="20" t="n">
        <v>0</v>
      </c>
      <c r="O7" s="18" t="n">
        <v>0</v>
      </c>
      <c r="P7" s="20" t="n">
        <v>0</v>
      </c>
      <c r="Q7" s="18" t="n">
        <v>6.34717127</v>
      </c>
      <c r="R7" s="20" t="n">
        <v>0.64425689</v>
      </c>
    </row>
    <row r="8" spans="1:18">
      <c r="A8" s="15" t="s">
        <v>350</v>
      </c>
      <c r="B8" s="17" t="n">
        <v>7007</v>
      </c>
      <c r="C8" s="18">
        <f>(6119.0/B8*100)</f>
        <v/>
      </c>
      <c r="D8" s="19" t="n">
        <v>888</v>
      </c>
      <c r="E8" s="18" t="n">
        <v>55.53284592</v>
      </c>
      <c r="F8" s="20" t="n">
        <v>1.71399618</v>
      </c>
      <c r="G8" s="18" t="n">
        <v>35.71251626</v>
      </c>
      <c r="H8" s="20" t="n">
        <v>1.64411487</v>
      </c>
      <c r="I8" s="18" t="s">
        <v>349</v>
      </c>
      <c r="J8" s="20" t="s">
        <v>349</v>
      </c>
      <c r="K8" s="18" t="n">
        <v>0.04049684</v>
      </c>
      <c r="L8" s="20" t="n">
        <v>0.0405811</v>
      </c>
      <c r="M8" s="18" t="n">
        <v>0</v>
      </c>
      <c r="N8" s="20" t="n">
        <v>0</v>
      </c>
      <c r="O8" s="18" t="n">
        <v>0</v>
      </c>
      <c r="P8" s="20" t="n">
        <v>0</v>
      </c>
      <c r="Q8" s="18" t="n">
        <v>8.714140970000001</v>
      </c>
      <c r="R8" s="20" t="n">
        <v>1.05709946</v>
      </c>
    </row>
    <row r="9" spans="1:18">
      <c r="A9" s="15" t="s">
        <v>351</v>
      </c>
      <c r="B9" s="17" t="n">
        <v>9651</v>
      </c>
      <c r="C9" s="18">
        <f>(8242.0/B9*100)</f>
        <v/>
      </c>
      <c r="D9" s="19" t="n">
        <v>1409</v>
      </c>
      <c r="E9" s="18" t="n">
        <v>56.37205784</v>
      </c>
      <c r="F9" s="20" t="n">
        <v>1.53111785</v>
      </c>
      <c r="G9" s="18" t="n">
        <v>32.9038497</v>
      </c>
      <c r="H9" s="20" t="n">
        <v>1.84471873</v>
      </c>
      <c r="I9" s="18" t="s">
        <v>349</v>
      </c>
      <c r="J9" s="20" t="s">
        <v>349</v>
      </c>
      <c r="K9" s="18" t="n">
        <v>1.04437685</v>
      </c>
      <c r="L9" s="20" t="n">
        <v>0.31821251</v>
      </c>
      <c r="M9" s="18" t="n">
        <v>0</v>
      </c>
      <c r="N9" s="20" t="n">
        <v>0</v>
      </c>
      <c r="O9" s="18" t="n">
        <v>0</v>
      </c>
      <c r="P9" s="20" t="n">
        <v>0</v>
      </c>
      <c r="Q9" s="18" t="n">
        <v>9.679715610000001</v>
      </c>
      <c r="R9" s="20" t="n">
        <v>1.00895439</v>
      </c>
    </row>
    <row r="10" spans="1:18">
      <c r="A10" s="15" t="s">
        <v>352</v>
      </c>
      <c r="B10" s="17" t="n">
        <v>20058</v>
      </c>
      <c r="C10" s="18">
        <f>(17558.0/B10*100)</f>
        <v/>
      </c>
      <c r="D10" s="19" t="n">
        <v>2500</v>
      </c>
      <c r="E10" s="18" t="n">
        <v>60.90658895</v>
      </c>
      <c r="F10" s="20" t="n">
        <v>1.41772304</v>
      </c>
      <c r="G10" s="18" t="n">
        <v>34.57928083</v>
      </c>
      <c r="H10" s="20" t="n">
        <v>1.3472666</v>
      </c>
      <c r="I10" s="18" t="s">
        <v>349</v>
      </c>
      <c r="J10" s="20" t="s">
        <v>349</v>
      </c>
      <c r="K10" s="18" t="n">
        <v>0.12731521</v>
      </c>
      <c r="L10" s="20" t="n">
        <v>0.05266772</v>
      </c>
      <c r="M10" s="18" t="n">
        <v>0</v>
      </c>
      <c r="N10" s="20" t="n">
        <v>0</v>
      </c>
      <c r="O10" s="18" t="n">
        <v>0</v>
      </c>
      <c r="P10" s="20" t="n">
        <v>0</v>
      </c>
      <c r="Q10" s="18" t="n">
        <v>4.38681501</v>
      </c>
      <c r="R10" s="20" t="n">
        <v>0.54882921</v>
      </c>
    </row>
    <row r="11" spans="1:18">
      <c r="A11" s="15" t="s">
        <v>353</v>
      </c>
      <c r="B11" s="17" t="n">
        <v>7053</v>
      </c>
      <c r="C11" s="18">
        <f>(6207.0/B11*100)</f>
        <v/>
      </c>
      <c r="D11" s="19" t="n">
        <v>846</v>
      </c>
      <c r="E11" s="18" t="n">
        <v>72.65198340000001</v>
      </c>
      <c r="F11" s="20" t="n">
        <v>1.75130914</v>
      </c>
      <c r="G11" s="18" t="n">
        <v>14.91327978</v>
      </c>
      <c r="H11" s="20" t="n">
        <v>1.51624041</v>
      </c>
      <c r="I11" s="18" t="s">
        <v>349</v>
      </c>
      <c r="J11" s="20" t="s">
        <v>349</v>
      </c>
      <c r="K11" s="18" t="n">
        <v>0.14252613</v>
      </c>
      <c r="L11" s="20" t="n">
        <v>0.14119816</v>
      </c>
      <c r="M11" s="18" t="n">
        <v>0</v>
      </c>
      <c r="N11" s="20" t="n">
        <v>0</v>
      </c>
      <c r="O11" s="18" t="n">
        <v>0</v>
      </c>
      <c r="P11" s="20" t="n">
        <v>0</v>
      </c>
      <c r="Q11" s="18" t="n">
        <v>12.29221069</v>
      </c>
      <c r="R11" s="20" t="n">
        <v>1.45832637</v>
      </c>
    </row>
    <row r="12" spans="1:18">
      <c r="A12" s="15" t="s">
        <v>354</v>
      </c>
      <c r="B12" s="17" t="n">
        <v>6894</v>
      </c>
      <c r="C12" s="18">
        <f>(5988.0/B12*100)</f>
        <v/>
      </c>
      <c r="D12" s="19" t="n">
        <v>906</v>
      </c>
      <c r="E12" s="18" t="n">
        <v>60.87508433</v>
      </c>
      <c r="F12" s="20" t="n">
        <v>2.04558494</v>
      </c>
      <c r="G12" s="18" t="n">
        <v>29.58857958</v>
      </c>
      <c r="H12" s="20" t="n">
        <v>2.28976404</v>
      </c>
      <c r="I12" s="18" t="s">
        <v>349</v>
      </c>
      <c r="J12" s="20" t="s">
        <v>349</v>
      </c>
      <c r="K12" s="18" t="n">
        <v>0</v>
      </c>
      <c r="L12" s="20" t="n">
        <v>0</v>
      </c>
      <c r="M12" s="18" t="n">
        <v>0</v>
      </c>
      <c r="N12" s="20" t="n">
        <v>0</v>
      </c>
      <c r="O12" s="18" t="n">
        <v>0</v>
      </c>
      <c r="P12" s="20" t="n">
        <v>0</v>
      </c>
      <c r="Q12" s="18" t="n">
        <v>9.536336090000001</v>
      </c>
      <c r="R12" s="20" t="n">
        <v>1.49506702</v>
      </c>
    </row>
    <row r="13" spans="1:18">
      <c r="A13" s="15" t="s">
        <v>355</v>
      </c>
      <c r="B13" s="17" t="n">
        <v>7161</v>
      </c>
      <c r="C13" s="18">
        <f>(5983.0/B13*100)</f>
        <v/>
      </c>
      <c r="D13" s="19" t="n">
        <v>1178</v>
      </c>
      <c r="E13" s="18" t="n">
        <v>58.44415721</v>
      </c>
      <c r="F13" s="20" t="n">
        <v>1.8726637</v>
      </c>
      <c r="G13" s="18" t="n">
        <v>33.98486905</v>
      </c>
      <c r="H13" s="20" t="n">
        <v>1.98691613</v>
      </c>
      <c r="I13" s="18" t="s">
        <v>349</v>
      </c>
      <c r="J13" s="20" t="s">
        <v>349</v>
      </c>
      <c r="K13" s="18" t="n">
        <v>0.74183815</v>
      </c>
      <c r="L13" s="20" t="n">
        <v>0.32373322</v>
      </c>
      <c r="M13" s="18" t="n">
        <v>0</v>
      </c>
      <c r="N13" s="20" t="n">
        <v>0</v>
      </c>
      <c r="O13" s="18" t="n">
        <v>0</v>
      </c>
      <c r="P13" s="20" t="n">
        <v>0</v>
      </c>
      <c r="Q13" s="18" t="n">
        <v>6.82913559</v>
      </c>
      <c r="R13" s="20" t="n">
        <v>0.9260760099999999</v>
      </c>
    </row>
    <row r="14" spans="1:18">
      <c r="A14" s="15" t="s">
        <v>356</v>
      </c>
      <c r="B14" s="17" t="n">
        <v>5587</v>
      </c>
      <c r="C14" s="18">
        <f>(4905.0/B14*100)</f>
        <v/>
      </c>
      <c r="D14" s="19" t="n">
        <v>682</v>
      </c>
      <c r="E14" s="18" t="n">
        <v>58.6658089</v>
      </c>
      <c r="F14" s="20" t="n">
        <v>2.30437277</v>
      </c>
      <c r="G14" s="18" t="n">
        <v>37.10978817</v>
      </c>
      <c r="H14" s="20" t="n">
        <v>2.13341106</v>
      </c>
      <c r="I14" s="18" t="s">
        <v>349</v>
      </c>
      <c r="J14" s="20" t="s">
        <v>349</v>
      </c>
      <c r="K14" s="18" t="n">
        <v>0</v>
      </c>
      <c r="L14" s="20" t="n">
        <v>0</v>
      </c>
      <c r="M14" s="18" t="n">
        <v>0</v>
      </c>
      <c r="N14" s="20" t="n">
        <v>0</v>
      </c>
      <c r="O14" s="18" t="n">
        <v>0</v>
      </c>
      <c r="P14" s="20" t="n">
        <v>0</v>
      </c>
      <c r="Q14" s="18" t="n">
        <v>4.22440293</v>
      </c>
      <c r="R14" s="20" t="n">
        <v>0.88488172</v>
      </c>
    </row>
    <row r="15" spans="1:18">
      <c r="A15" s="15" t="s">
        <v>357</v>
      </c>
      <c r="B15" s="17" t="n">
        <v>5882</v>
      </c>
      <c r="C15" s="18">
        <f>(5132.0/B15*100)</f>
        <v/>
      </c>
      <c r="D15" s="19" t="n">
        <v>750</v>
      </c>
      <c r="E15" s="18" t="n">
        <v>70.06325150000001</v>
      </c>
      <c r="F15" s="20" t="n">
        <v>1.91064817</v>
      </c>
      <c r="G15" s="18" t="n">
        <v>19.98432847</v>
      </c>
      <c r="H15" s="20" t="n">
        <v>1.71941314</v>
      </c>
      <c r="I15" s="18" t="s">
        <v>349</v>
      </c>
      <c r="J15" s="20" t="s">
        <v>349</v>
      </c>
      <c r="K15" s="18" t="n">
        <v>0.90831527</v>
      </c>
      <c r="L15" s="20" t="n">
        <v>0.55768012</v>
      </c>
      <c r="M15" s="18" t="n">
        <v>0</v>
      </c>
      <c r="N15" s="20" t="n">
        <v>0</v>
      </c>
      <c r="O15" s="18" t="n">
        <v>0</v>
      </c>
      <c r="P15" s="20" t="n">
        <v>0</v>
      </c>
      <c r="Q15" s="18" t="n">
        <v>9.04410476</v>
      </c>
      <c r="R15" s="20" t="n">
        <v>1.28420468</v>
      </c>
    </row>
    <row r="16" spans="1:18">
      <c r="A16" s="15" t="s">
        <v>358</v>
      </c>
      <c r="B16" s="17" t="n">
        <v>6108</v>
      </c>
      <c r="C16" s="18">
        <f>(5381.0/B16*100)</f>
        <v/>
      </c>
      <c r="D16" s="19" t="n">
        <v>727</v>
      </c>
      <c r="E16" s="18" t="n">
        <v>50.21564716</v>
      </c>
      <c r="F16" s="20" t="n">
        <v>2.04375748</v>
      </c>
      <c r="G16" s="18" t="n">
        <v>39.49418682</v>
      </c>
      <c r="H16" s="20" t="n">
        <v>2.09369361</v>
      </c>
      <c r="I16" s="18" t="s">
        <v>349</v>
      </c>
      <c r="J16" s="20" t="s">
        <v>349</v>
      </c>
      <c r="K16" s="18" t="n">
        <v>0.68174729</v>
      </c>
      <c r="L16" s="20" t="n">
        <v>0.29253971</v>
      </c>
      <c r="M16" s="18" t="n">
        <v>0</v>
      </c>
      <c r="N16" s="20" t="n">
        <v>0</v>
      </c>
      <c r="O16" s="18" t="n">
        <v>0</v>
      </c>
      <c r="P16" s="20" t="n">
        <v>0</v>
      </c>
      <c r="Q16" s="18" t="n">
        <v>9.60841873</v>
      </c>
      <c r="R16" s="20" t="n">
        <v>1.32769472</v>
      </c>
    </row>
    <row r="17" spans="1:18">
      <c r="A17" s="15" t="s">
        <v>359</v>
      </c>
      <c r="B17" s="17" t="n">
        <v>6504</v>
      </c>
      <c r="C17" s="18">
        <f>(5606.0/B17*100)</f>
        <v/>
      </c>
      <c r="D17" s="19" t="n">
        <v>898</v>
      </c>
      <c r="E17" s="18" t="n">
        <v>53.03289</v>
      </c>
      <c r="F17" s="20" t="n">
        <v>1.87036899</v>
      </c>
      <c r="G17" s="18" t="n">
        <v>35.94781177</v>
      </c>
      <c r="H17" s="20" t="n">
        <v>1.75484835</v>
      </c>
      <c r="I17" s="18" t="s">
        <v>349</v>
      </c>
      <c r="J17" s="20" t="s">
        <v>349</v>
      </c>
      <c r="K17" s="18" t="n">
        <v>1.48219946</v>
      </c>
      <c r="L17" s="20" t="n">
        <v>0.5706084</v>
      </c>
      <c r="M17" s="18" t="n">
        <v>0</v>
      </c>
      <c r="N17" s="20" t="n">
        <v>0</v>
      </c>
      <c r="O17" s="18" t="n">
        <v>0</v>
      </c>
      <c r="P17" s="20" t="n">
        <v>0</v>
      </c>
      <c r="Q17" s="18" t="n">
        <v>9.53709877</v>
      </c>
      <c r="R17" s="20" t="n">
        <v>1.17443704</v>
      </c>
    </row>
    <row r="18" spans="1:18">
      <c r="A18" s="15" t="s">
        <v>360</v>
      </c>
      <c r="B18" s="17" t="n">
        <v>5532</v>
      </c>
      <c r="C18" s="18">
        <f>(4859.0/B18*100)</f>
        <v/>
      </c>
      <c r="D18" s="19" t="n">
        <v>673</v>
      </c>
      <c r="E18" s="18" t="n">
        <v>66.66363065</v>
      </c>
      <c r="F18" s="20" t="n">
        <v>2.20633116</v>
      </c>
      <c r="G18" s="18" t="n">
        <v>24.91050838</v>
      </c>
      <c r="H18" s="20" t="n">
        <v>2.23577062</v>
      </c>
      <c r="I18" s="18" t="s">
        <v>349</v>
      </c>
      <c r="J18" s="20" t="s">
        <v>349</v>
      </c>
      <c r="K18" s="18" t="n">
        <v>0.66884493</v>
      </c>
      <c r="L18" s="20" t="n">
        <v>0.39588475</v>
      </c>
      <c r="M18" s="18" t="n">
        <v>0</v>
      </c>
      <c r="N18" s="20" t="n">
        <v>0</v>
      </c>
      <c r="O18" s="18" t="n">
        <v>0</v>
      </c>
      <c r="P18" s="20" t="n">
        <v>0</v>
      </c>
      <c r="Q18" s="18" t="n">
        <v>7.75701605</v>
      </c>
      <c r="R18" s="20" t="n">
        <v>1.21951549</v>
      </c>
    </row>
    <row r="19" spans="1:18">
      <c r="A19" s="15" t="s">
        <v>361</v>
      </c>
      <c r="B19" s="17" t="n">
        <v>5658</v>
      </c>
      <c r="C19" s="18">
        <f>(4978.0/B19*100)</f>
        <v/>
      </c>
      <c r="D19" s="19" t="n">
        <v>680</v>
      </c>
      <c r="E19" s="18" t="n">
        <v>67.46439633</v>
      </c>
      <c r="F19" s="20" t="n">
        <v>2.06579159</v>
      </c>
      <c r="G19" s="18" t="n">
        <v>23.86629029</v>
      </c>
      <c r="H19" s="20" t="n">
        <v>1.815214</v>
      </c>
      <c r="I19" s="18" t="s">
        <v>349</v>
      </c>
      <c r="J19" s="20" t="s">
        <v>349</v>
      </c>
      <c r="K19" s="18" t="n">
        <v>0</v>
      </c>
      <c r="L19" s="20" t="n">
        <v>0</v>
      </c>
      <c r="M19" s="18" t="n">
        <v>0</v>
      </c>
      <c r="N19" s="20" t="n">
        <v>0</v>
      </c>
      <c r="O19" s="18" t="n">
        <v>0</v>
      </c>
      <c r="P19" s="20" t="n">
        <v>0</v>
      </c>
      <c r="Q19" s="18" t="n">
        <v>8.66931338</v>
      </c>
      <c r="R19" s="20" t="n">
        <v>1.13868967</v>
      </c>
    </row>
    <row r="20" spans="1:18">
      <c r="A20" s="15" t="s">
        <v>362</v>
      </c>
      <c r="B20" s="17" t="n">
        <v>3371</v>
      </c>
      <c r="C20" s="18">
        <f>(2960.0/B20*100)</f>
        <v/>
      </c>
      <c r="D20" s="19" t="n">
        <v>411</v>
      </c>
      <c r="E20" s="18" t="n">
        <v>63.54278161</v>
      </c>
      <c r="F20" s="20" t="n">
        <v>2.42966586</v>
      </c>
      <c r="G20" s="18" t="n">
        <v>30.29339371</v>
      </c>
      <c r="H20" s="20" t="n">
        <v>2.12615193</v>
      </c>
      <c r="I20" s="18" t="s">
        <v>349</v>
      </c>
      <c r="J20" s="20" t="s">
        <v>349</v>
      </c>
      <c r="K20" s="18" t="n">
        <v>0.23221277</v>
      </c>
      <c r="L20" s="20" t="n">
        <v>0.21279971</v>
      </c>
      <c r="M20" s="18" t="n">
        <v>0</v>
      </c>
      <c r="N20" s="20" t="n">
        <v>0</v>
      </c>
      <c r="O20" s="18" t="n">
        <v>0</v>
      </c>
      <c r="P20" s="20" t="n">
        <v>0</v>
      </c>
      <c r="Q20" s="18" t="n">
        <v>5.93161192</v>
      </c>
      <c r="R20" s="20" t="n">
        <v>1.18408796</v>
      </c>
    </row>
    <row r="21" spans="1:18">
      <c r="A21" s="15" t="s">
        <v>363</v>
      </c>
      <c r="B21" s="17" t="n">
        <v>5741</v>
      </c>
      <c r="C21" s="18">
        <f>(4776.0/B21*100)</f>
        <v/>
      </c>
      <c r="D21" s="19" t="n">
        <v>965</v>
      </c>
      <c r="E21" s="18" t="n">
        <v>64.58195808000001</v>
      </c>
      <c r="F21" s="20" t="n">
        <v>1.34893368</v>
      </c>
      <c r="G21" s="18" t="n">
        <v>28.85063793</v>
      </c>
      <c r="H21" s="20" t="n">
        <v>1.4339053</v>
      </c>
      <c r="I21" s="18" t="s">
        <v>349</v>
      </c>
      <c r="J21" s="20" t="s">
        <v>349</v>
      </c>
      <c r="K21" s="18" t="n">
        <v>0.16104554</v>
      </c>
      <c r="L21" s="20" t="n">
        <v>0.11377921</v>
      </c>
      <c r="M21" s="18" t="n">
        <v>0</v>
      </c>
      <c r="N21" s="20" t="n">
        <v>0</v>
      </c>
      <c r="O21" s="18" t="n">
        <v>0</v>
      </c>
      <c r="P21" s="20" t="n">
        <v>0</v>
      </c>
      <c r="Q21" s="18" t="n">
        <v>6.40635845</v>
      </c>
      <c r="R21" s="20" t="n">
        <v>0.68094261</v>
      </c>
    </row>
    <row r="22" spans="1:18">
      <c r="A22" s="15" t="s">
        <v>364</v>
      </c>
      <c r="B22" s="17" t="n">
        <v>6598</v>
      </c>
      <c r="C22" s="18">
        <f>(5747.0/B22*100)</f>
        <v/>
      </c>
      <c r="D22" s="19" t="n">
        <v>851</v>
      </c>
      <c r="E22" s="18" t="n">
        <v>56.66723606</v>
      </c>
      <c r="F22" s="20" t="n">
        <v>2.01432746</v>
      </c>
      <c r="G22" s="18" t="n">
        <v>34.98770473</v>
      </c>
      <c r="H22" s="20" t="n">
        <v>2.15687601</v>
      </c>
      <c r="I22" s="18" t="s">
        <v>349</v>
      </c>
      <c r="J22" s="20" t="s">
        <v>349</v>
      </c>
      <c r="K22" s="18" t="n">
        <v>0.49670424</v>
      </c>
      <c r="L22" s="20" t="n">
        <v>0.28378552</v>
      </c>
      <c r="M22" s="18" t="n">
        <v>0</v>
      </c>
      <c r="N22" s="20" t="n">
        <v>0</v>
      </c>
      <c r="O22" s="18" t="n">
        <v>0</v>
      </c>
      <c r="P22" s="20" t="n">
        <v>0</v>
      </c>
      <c r="Q22" s="18" t="n">
        <v>7.84835497</v>
      </c>
      <c r="R22" s="20" t="n">
        <v>1.00770695</v>
      </c>
    </row>
    <row r="23" spans="1:18">
      <c r="A23" s="15" t="s">
        <v>365</v>
      </c>
      <c r="B23" s="17" t="n">
        <v>11583</v>
      </c>
      <c r="C23" s="18">
        <f>(10139.0/B23*100)</f>
        <v/>
      </c>
      <c r="D23" s="19" t="n">
        <v>1444</v>
      </c>
      <c r="E23" s="18" t="n">
        <v>57.2365464</v>
      </c>
      <c r="F23" s="20" t="n">
        <v>1.9680227</v>
      </c>
      <c r="G23" s="18" t="n">
        <v>32.46130802</v>
      </c>
      <c r="H23" s="20" t="n">
        <v>1.61335996</v>
      </c>
      <c r="I23" s="18" t="s">
        <v>349</v>
      </c>
      <c r="J23" s="20" t="s">
        <v>349</v>
      </c>
      <c r="K23" s="18" t="n">
        <v>0.11181189</v>
      </c>
      <c r="L23" s="20" t="n">
        <v>0.11175676</v>
      </c>
      <c r="M23" s="18" t="n">
        <v>0</v>
      </c>
      <c r="N23" s="20" t="n">
        <v>0</v>
      </c>
      <c r="O23" s="18" t="n">
        <v>0</v>
      </c>
      <c r="P23" s="20" t="n">
        <v>0</v>
      </c>
      <c r="Q23" s="18" t="n">
        <v>10.1903337</v>
      </c>
      <c r="R23" s="20" t="n">
        <v>1.30786669</v>
      </c>
    </row>
    <row r="24" spans="1:18">
      <c r="A24" s="15" t="s">
        <v>366</v>
      </c>
      <c r="B24" s="17" t="n">
        <v>6647</v>
      </c>
      <c r="C24" s="18">
        <f>(5841.0/B24*100)</f>
        <v/>
      </c>
      <c r="D24" s="19" t="n">
        <v>806</v>
      </c>
      <c r="E24" s="18" t="n">
        <v>37.58996857</v>
      </c>
      <c r="F24" s="20" t="n">
        <v>1.63277475</v>
      </c>
      <c r="G24" s="18" t="n">
        <v>54.71556702</v>
      </c>
      <c r="H24" s="20" t="n">
        <v>1.69169461</v>
      </c>
      <c r="I24" s="18" t="s">
        <v>349</v>
      </c>
      <c r="J24" s="20" t="s">
        <v>349</v>
      </c>
      <c r="K24" s="18" t="n">
        <v>0.08849753</v>
      </c>
      <c r="L24" s="20" t="n">
        <v>0.08865061</v>
      </c>
      <c r="M24" s="18" t="n">
        <v>0</v>
      </c>
      <c r="N24" s="20" t="n">
        <v>0</v>
      </c>
      <c r="O24" s="18" t="n">
        <v>0</v>
      </c>
      <c r="P24" s="20" t="n">
        <v>0</v>
      </c>
      <c r="Q24" s="18" t="n">
        <v>7.60596688</v>
      </c>
      <c r="R24" s="20" t="n">
        <v>1.0795261</v>
      </c>
    </row>
    <row r="25" spans="1:18">
      <c r="A25" s="15" t="s">
        <v>367</v>
      </c>
      <c r="B25" s="17" t="n">
        <v>5581</v>
      </c>
      <c r="C25" s="18">
        <f>(4882.0/B25*100)</f>
        <v/>
      </c>
      <c r="D25" s="19" t="n">
        <v>699</v>
      </c>
      <c r="E25" s="18" t="n">
        <v>54.60884754</v>
      </c>
      <c r="F25" s="20" t="n">
        <v>2.00319074</v>
      </c>
      <c r="G25" s="18" t="n">
        <v>38.49181893</v>
      </c>
      <c r="H25" s="20" t="n">
        <v>1.99470105</v>
      </c>
      <c r="I25" s="18" t="s">
        <v>349</v>
      </c>
      <c r="J25" s="20" t="s">
        <v>349</v>
      </c>
      <c r="K25" s="18" t="n">
        <v>1.01391793</v>
      </c>
      <c r="L25" s="20" t="n">
        <v>0.40507536</v>
      </c>
      <c r="M25" s="18" t="n">
        <v>0</v>
      </c>
      <c r="N25" s="20" t="n">
        <v>0</v>
      </c>
      <c r="O25" s="18" t="n">
        <v>0</v>
      </c>
      <c r="P25" s="20" t="n">
        <v>0</v>
      </c>
      <c r="Q25" s="18" t="n">
        <v>5.8854156</v>
      </c>
      <c r="R25" s="20" t="n">
        <v>0.89586331</v>
      </c>
    </row>
    <row r="26" spans="1:18">
      <c r="A26" s="15" t="s">
        <v>368</v>
      </c>
      <c r="B26" s="17" t="n">
        <v>4869</v>
      </c>
      <c r="C26" s="18">
        <f>(4264.0/B26*100)</f>
        <v/>
      </c>
      <c r="D26" s="19" t="n">
        <v>605</v>
      </c>
      <c r="E26" s="18" t="n">
        <v>65.71440819</v>
      </c>
      <c r="F26" s="20" t="n">
        <v>2.16280328</v>
      </c>
      <c r="G26" s="18" t="n">
        <v>28.09259259</v>
      </c>
      <c r="H26" s="20" t="n">
        <v>2.03398964</v>
      </c>
      <c r="I26" s="18" t="s">
        <v>349</v>
      </c>
      <c r="J26" s="20" t="s">
        <v>349</v>
      </c>
      <c r="K26" s="18" t="n">
        <v>0.12496009</v>
      </c>
      <c r="L26" s="20" t="n">
        <v>0.12578988</v>
      </c>
      <c r="M26" s="18" t="n">
        <v>0</v>
      </c>
      <c r="N26" s="20" t="n">
        <v>0</v>
      </c>
      <c r="O26" s="18" t="n">
        <v>0</v>
      </c>
      <c r="P26" s="20" t="n">
        <v>0</v>
      </c>
      <c r="Q26" s="18" t="n">
        <v>6.06803913</v>
      </c>
      <c r="R26" s="20" t="n">
        <v>1.13629607</v>
      </c>
    </row>
    <row r="27" spans="1:18">
      <c r="A27" s="15" t="s">
        <v>369</v>
      </c>
      <c r="B27" s="17" t="n">
        <v>5299</v>
      </c>
      <c r="C27" s="18">
        <f>(4651.0/B27*100)</f>
        <v/>
      </c>
      <c r="D27" s="19" t="n">
        <v>648</v>
      </c>
      <c r="E27" s="18" t="n">
        <v>61.35549067</v>
      </c>
      <c r="F27" s="20" t="n">
        <v>2.00531958</v>
      </c>
      <c r="G27" s="18" t="n">
        <v>31.93584813</v>
      </c>
      <c r="H27" s="20" t="n">
        <v>1.79024893</v>
      </c>
      <c r="I27" s="18" t="s">
        <v>349</v>
      </c>
      <c r="J27" s="20" t="s">
        <v>349</v>
      </c>
      <c r="K27" s="18" t="n">
        <v>0.31124107</v>
      </c>
      <c r="L27" s="20" t="n">
        <v>0.21995088</v>
      </c>
      <c r="M27" s="18" t="n">
        <v>0</v>
      </c>
      <c r="N27" s="20" t="n">
        <v>0</v>
      </c>
      <c r="O27" s="18" t="n">
        <v>0</v>
      </c>
      <c r="P27" s="20" t="n">
        <v>0</v>
      </c>
      <c r="Q27" s="18" t="n">
        <v>6.39742013</v>
      </c>
      <c r="R27" s="20" t="n">
        <v>0.92200518</v>
      </c>
    </row>
    <row r="28" spans="1:18">
      <c r="A28" s="15" t="s">
        <v>370</v>
      </c>
      <c r="B28" s="17" t="n">
        <v>7568</v>
      </c>
      <c r="C28" s="18">
        <f>(6623.0/B28*100)</f>
        <v/>
      </c>
      <c r="D28" s="19" t="n">
        <v>945</v>
      </c>
      <c r="E28" s="18" t="n">
        <v>86.60038637</v>
      </c>
      <c r="F28" s="20" t="n">
        <v>1.27698493</v>
      </c>
      <c r="G28" s="18" t="n">
        <v>9.01556532</v>
      </c>
      <c r="H28" s="20" t="n">
        <v>1.00116549</v>
      </c>
      <c r="I28" s="18" t="s">
        <v>349</v>
      </c>
      <c r="J28" s="20" t="s">
        <v>349</v>
      </c>
      <c r="K28" s="18" t="n">
        <v>0.21398853</v>
      </c>
      <c r="L28" s="20" t="n">
        <v>0.20697919</v>
      </c>
      <c r="M28" s="18" t="n">
        <v>0</v>
      </c>
      <c r="N28" s="20" t="n">
        <v>0</v>
      </c>
      <c r="O28" s="18" t="n">
        <v>0</v>
      </c>
      <c r="P28" s="20" t="n">
        <v>0</v>
      </c>
      <c r="Q28" s="18" t="n">
        <v>4.17005978</v>
      </c>
      <c r="R28" s="20" t="n">
        <v>0.89579094</v>
      </c>
    </row>
    <row r="29" spans="1:18">
      <c r="A29" s="15" t="s">
        <v>371</v>
      </c>
      <c r="B29" s="17" t="n">
        <v>5385</v>
      </c>
      <c r="C29" s="18">
        <f>(4601.0/B29*100)</f>
        <v/>
      </c>
      <c r="D29" s="19" t="n">
        <v>784</v>
      </c>
      <c r="E29" s="18" t="n">
        <v>57.40627648</v>
      </c>
      <c r="F29" s="20" t="n">
        <v>1.82193007</v>
      </c>
      <c r="G29" s="18" t="n">
        <v>37.34207611</v>
      </c>
      <c r="H29" s="20" t="n">
        <v>2.1777383</v>
      </c>
      <c r="I29" s="18" t="s">
        <v>349</v>
      </c>
      <c r="J29" s="20" t="s">
        <v>349</v>
      </c>
      <c r="K29" s="18" t="n">
        <v>1.06685872</v>
      </c>
      <c r="L29" s="20" t="n">
        <v>0.81774021</v>
      </c>
      <c r="M29" s="18" t="n">
        <v>0</v>
      </c>
      <c r="N29" s="20" t="n">
        <v>0</v>
      </c>
      <c r="O29" s="18" t="n">
        <v>0</v>
      </c>
      <c r="P29" s="20" t="n">
        <v>0</v>
      </c>
      <c r="Q29" s="18" t="n">
        <v>4.18478869</v>
      </c>
      <c r="R29" s="20" t="n">
        <v>0.74639319</v>
      </c>
    </row>
    <row r="30" spans="1:18">
      <c r="A30" s="15" t="s">
        <v>372</v>
      </c>
      <c r="B30" s="17" t="n">
        <v>4520</v>
      </c>
      <c r="C30" s="18">
        <f>(3955.0/B30*100)</f>
        <v/>
      </c>
      <c r="D30" s="19" t="n">
        <v>565</v>
      </c>
      <c r="E30" s="18" t="n">
        <v>58.86696233</v>
      </c>
      <c r="F30" s="20" t="n">
        <v>2.24436631</v>
      </c>
      <c r="G30" s="18" t="n">
        <v>33.12900209</v>
      </c>
      <c r="H30" s="20" t="n">
        <v>2.12726872</v>
      </c>
      <c r="I30" s="18" t="s">
        <v>349</v>
      </c>
      <c r="J30" s="20" t="s">
        <v>349</v>
      </c>
      <c r="K30" s="18" t="n">
        <v>0.16053808</v>
      </c>
      <c r="L30" s="20" t="n">
        <v>0.16237169</v>
      </c>
      <c r="M30" s="18" t="n">
        <v>0</v>
      </c>
      <c r="N30" s="20" t="n">
        <v>0</v>
      </c>
      <c r="O30" s="18" t="n">
        <v>0</v>
      </c>
      <c r="P30" s="20" t="n">
        <v>0</v>
      </c>
      <c r="Q30" s="18" t="n">
        <v>7.84349749</v>
      </c>
      <c r="R30" s="20" t="n">
        <v>1.17360748</v>
      </c>
    </row>
    <row r="31" spans="1:18">
      <c r="A31" s="15" t="s">
        <v>373</v>
      </c>
      <c r="B31" s="17" t="n">
        <v>5456</v>
      </c>
      <c r="C31" s="18">
        <f>(4808.0/B31*100)</f>
        <v/>
      </c>
      <c r="D31" s="19" t="n">
        <v>648</v>
      </c>
      <c r="E31" s="18" t="n">
        <v>59.44417944</v>
      </c>
      <c r="F31" s="20" t="n">
        <v>2.14268215</v>
      </c>
      <c r="G31" s="18" t="n">
        <v>31.48643776</v>
      </c>
      <c r="H31" s="20" t="n">
        <v>2.24917452</v>
      </c>
      <c r="I31" s="18" t="s">
        <v>349</v>
      </c>
      <c r="J31" s="20" t="s">
        <v>349</v>
      </c>
      <c r="K31" s="18" t="n">
        <v>0.47010097</v>
      </c>
      <c r="L31" s="20" t="n">
        <v>0.17558323</v>
      </c>
      <c r="M31" s="18" t="n">
        <v>0</v>
      </c>
      <c r="N31" s="20" t="n">
        <v>0</v>
      </c>
      <c r="O31" s="18" t="n">
        <v>0</v>
      </c>
      <c r="P31" s="20" t="n">
        <v>0</v>
      </c>
      <c r="Q31" s="18" t="n">
        <v>8.599281830000001</v>
      </c>
      <c r="R31" s="20" t="n">
        <v>1.12172903</v>
      </c>
    </row>
    <row r="32" spans="1:18">
      <c r="A32" s="15" t="s">
        <v>374</v>
      </c>
      <c r="B32" s="17" t="n">
        <v>4478</v>
      </c>
      <c r="C32" s="18">
        <f>(3736.0/B32*100)</f>
        <v/>
      </c>
      <c r="D32" s="19" t="n">
        <v>742</v>
      </c>
      <c r="E32" s="18" t="n">
        <v>58.12032569</v>
      </c>
      <c r="F32" s="20" t="n">
        <v>1.87208874</v>
      </c>
      <c r="G32" s="18" t="n">
        <v>36.98335728</v>
      </c>
      <c r="H32" s="20" t="n">
        <v>1.88590054</v>
      </c>
      <c r="I32" s="18" t="s">
        <v>349</v>
      </c>
      <c r="J32" s="20" t="s">
        <v>349</v>
      </c>
      <c r="K32" s="18" t="n">
        <v>0</v>
      </c>
      <c r="L32" s="20" t="n">
        <v>0</v>
      </c>
      <c r="M32" s="18" t="n">
        <v>0</v>
      </c>
      <c r="N32" s="20" t="n">
        <v>0</v>
      </c>
      <c r="O32" s="18" t="n">
        <v>0</v>
      </c>
      <c r="P32" s="20" t="n">
        <v>0</v>
      </c>
      <c r="Q32" s="18" t="n">
        <v>4.89631703</v>
      </c>
      <c r="R32" s="20" t="n">
        <v>0.84057581</v>
      </c>
    </row>
    <row r="33" spans="1:18">
      <c r="A33" s="15" t="s">
        <v>375</v>
      </c>
      <c r="B33" s="17" t="n">
        <v>7325</v>
      </c>
      <c r="C33" s="18">
        <f>(6433.0/B33*100)</f>
        <v/>
      </c>
      <c r="D33" s="19" t="n">
        <v>892</v>
      </c>
      <c r="E33" s="18" t="n">
        <v>64.66835181</v>
      </c>
      <c r="F33" s="20" t="n">
        <v>2.07791439</v>
      </c>
      <c r="G33" s="18" t="n">
        <v>28.15302435</v>
      </c>
      <c r="H33" s="20" t="n">
        <v>1.9160888</v>
      </c>
      <c r="I33" s="18" t="s">
        <v>349</v>
      </c>
      <c r="J33" s="20" t="s">
        <v>349</v>
      </c>
      <c r="K33" s="18" t="n">
        <v>0.32640646</v>
      </c>
      <c r="L33" s="20" t="n">
        <v>0.22357438</v>
      </c>
      <c r="M33" s="18" t="n">
        <v>0</v>
      </c>
      <c r="N33" s="20" t="n">
        <v>0</v>
      </c>
      <c r="O33" s="18" t="n">
        <v>0</v>
      </c>
      <c r="P33" s="20" t="n">
        <v>0</v>
      </c>
      <c r="Q33" s="18" t="n">
        <v>6.85221737</v>
      </c>
      <c r="R33" s="20" t="n">
        <v>1.14871292</v>
      </c>
    </row>
    <row r="34" spans="1:18">
      <c r="A34" s="15" t="s">
        <v>376</v>
      </c>
      <c r="B34" s="17" t="n">
        <v>6350</v>
      </c>
      <c r="C34" s="18">
        <f>(5450.0/B34*100)</f>
        <v/>
      </c>
      <c r="D34" s="19" t="n">
        <v>900</v>
      </c>
      <c r="E34" s="18" t="n">
        <v>69.35018617999999</v>
      </c>
      <c r="F34" s="20" t="n">
        <v>1.92143787</v>
      </c>
      <c r="G34" s="18" t="n">
        <v>23.8675706</v>
      </c>
      <c r="H34" s="20" t="n">
        <v>1.80671957</v>
      </c>
      <c r="I34" s="18" t="s">
        <v>349</v>
      </c>
      <c r="J34" s="20" t="s">
        <v>349</v>
      </c>
      <c r="K34" s="18" t="n">
        <v>0.21129869</v>
      </c>
      <c r="L34" s="20" t="n">
        <v>0.15437134</v>
      </c>
      <c r="M34" s="18" t="n">
        <v>0</v>
      </c>
      <c r="N34" s="20" t="n">
        <v>0</v>
      </c>
      <c r="O34" s="18" t="n">
        <v>0</v>
      </c>
      <c r="P34" s="20" t="n">
        <v>0</v>
      </c>
      <c r="Q34" s="18" t="n">
        <v>6.57094453</v>
      </c>
      <c r="R34" s="20" t="n">
        <v>0.9572146</v>
      </c>
    </row>
    <row r="35" spans="1:18">
      <c r="A35" s="15" t="s">
        <v>377</v>
      </c>
      <c r="B35" s="17" t="n">
        <v>6406</v>
      </c>
      <c r="C35" s="18">
        <f>(5524.0/B35*100)</f>
        <v/>
      </c>
      <c r="D35" s="19" t="n">
        <v>882</v>
      </c>
      <c r="E35" s="18" t="n">
        <v>56.21342936</v>
      </c>
      <c r="F35" s="20" t="n">
        <v>2.28205236</v>
      </c>
      <c r="G35" s="18" t="n">
        <v>36.81873972</v>
      </c>
      <c r="H35" s="20" t="n">
        <v>2.26408699</v>
      </c>
      <c r="I35" s="18" t="s">
        <v>349</v>
      </c>
      <c r="J35" s="20" t="s">
        <v>349</v>
      </c>
      <c r="K35" s="18" t="n">
        <v>0</v>
      </c>
      <c r="L35" s="20" t="n">
        <v>0</v>
      </c>
      <c r="M35" s="18" t="n">
        <v>0</v>
      </c>
      <c r="N35" s="20" t="n">
        <v>0</v>
      </c>
      <c r="O35" s="18" t="n">
        <v>0</v>
      </c>
      <c r="P35" s="20" t="n">
        <v>0</v>
      </c>
      <c r="Q35" s="18" t="n">
        <v>6.96783091</v>
      </c>
      <c r="R35" s="20" t="n">
        <v>1.09122524</v>
      </c>
    </row>
    <row r="36" spans="1:18">
      <c r="A36" s="15" t="s">
        <v>378</v>
      </c>
      <c r="B36" s="17" t="n">
        <v>6736</v>
      </c>
      <c r="C36" s="18">
        <f>(5893.0/B36*100)</f>
        <v/>
      </c>
      <c r="D36" s="19" t="n">
        <v>843</v>
      </c>
      <c r="E36" s="18" t="n">
        <v>65.29799886000001</v>
      </c>
      <c r="F36" s="20" t="n">
        <v>1.67232888</v>
      </c>
      <c r="G36" s="18" t="n">
        <v>25.62268368</v>
      </c>
      <c r="H36" s="20" t="n">
        <v>1.68708194</v>
      </c>
      <c r="I36" s="18" t="s">
        <v>349</v>
      </c>
      <c r="J36" s="20" t="s">
        <v>349</v>
      </c>
      <c r="K36" s="18" t="n">
        <v>0.27614487</v>
      </c>
      <c r="L36" s="20" t="n">
        <v>0.16183635</v>
      </c>
      <c r="M36" s="18" t="n">
        <v>0</v>
      </c>
      <c r="N36" s="20" t="n">
        <v>0</v>
      </c>
      <c r="O36" s="18" t="n">
        <v>0</v>
      </c>
      <c r="P36" s="20" t="n">
        <v>0</v>
      </c>
      <c r="Q36" s="18" t="n">
        <v>8.8031726</v>
      </c>
      <c r="R36" s="20" t="n">
        <v>1.09477415</v>
      </c>
    </row>
    <row r="37" spans="1:18">
      <c r="A37" s="15" t="s">
        <v>379</v>
      </c>
      <c r="B37" s="17" t="n">
        <v>5458</v>
      </c>
      <c r="C37" s="18">
        <f>(4786.0/B37*100)</f>
        <v/>
      </c>
      <c r="D37" s="19" t="n">
        <v>672</v>
      </c>
      <c r="E37" s="18" t="n">
        <v>62.85017729</v>
      </c>
      <c r="F37" s="20" t="n">
        <v>2.23412441</v>
      </c>
      <c r="G37" s="18" t="n">
        <v>27.23512934</v>
      </c>
      <c r="H37" s="20" t="n">
        <v>2.13195468</v>
      </c>
      <c r="I37" s="18" t="s">
        <v>349</v>
      </c>
      <c r="J37" s="20" t="s">
        <v>349</v>
      </c>
      <c r="K37" s="18" t="n">
        <v>0.39143227</v>
      </c>
      <c r="L37" s="20" t="n">
        <v>0.28418807</v>
      </c>
      <c r="M37" s="18" t="n">
        <v>0</v>
      </c>
      <c r="N37" s="20" t="n">
        <v>0</v>
      </c>
      <c r="O37" s="18" t="n">
        <v>0</v>
      </c>
      <c r="P37" s="20" t="n">
        <v>0</v>
      </c>
      <c r="Q37" s="18" t="n">
        <v>9.523261099999999</v>
      </c>
      <c r="R37" s="20" t="n">
        <v>1.13183151</v>
      </c>
    </row>
    <row r="38" spans="1:18">
      <c r="A38" s="15" t="s">
        <v>380</v>
      </c>
      <c r="B38" s="17" t="n">
        <v>5860</v>
      </c>
      <c r="C38" s="18">
        <f>(4865.0/B38*100)</f>
        <v/>
      </c>
      <c r="D38" s="19" t="n">
        <v>995</v>
      </c>
      <c r="E38" s="18" t="n">
        <v>44.17566602</v>
      </c>
      <c r="F38" s="20" t="n">
        <v>2.03076066</v>
      </c>
      <c r="G38" s="18" t="n">
        <v>48.4098592</v>
      </c>
      <c r="H38" s="20" t="n">
        <v>2.03042669</v>
      </c>
      <c r="I38" s="18" t="s">
        <v>349</v>
      </c>
      <c r="J38" s="20" t="s">
        <v>349</v>
      </c>
      <c r="K38" s="18" t="n">
        <v>0</v>
      </c>
      <c r="L38" s="20" t="n">
        <v>0</v>
      </c>
      <c r="M38" s="18" t="n">
        <v>0</v>
      </c>
      <c r="N38" s="20" t="n">
        <v>0</v>
      </c>
      <c r="O38" s="18" t="n">
        <v>0</v>
      </c>
      <c r="P38" s="20" t="n">
        <v>0</v>
      </c>
      <c r="Q38" s="18" t="n">
        <v>7.41447478</v>
      </c>
      <c r="R38" s="20" t="n">
        <v>1.0879231</v>
      </c>
    </row>
    <row r="39" spans="1:18">
      <c r="A39" s="15" t="s">
        <v>381</v>
      </c>
      <c r="B39" s="17" t="n">
        <v>5895</v>
      </c>
      <c r="C39" s="18">
        <f>(5171.0/B39*100)</f>
        <v/>
      </c>
      <c r="D39" s="19" t="n">
        <v>724</v>
      </c>
      <c r="E39" s="18" t="n">
        <v>83.76646436</v>
      </c>
      <c r="F39" s="20" t="n">
        <v>1.29942924</v>
      </c>
      <c r="G39" s="18" t="n">
        <v>8.96915136</v>
      </c>
      <c r="H39" s="20" t="n">
        <v>1.06036314</v>
      </c>
      <c r="I39" s="18" t="s">
        <v>349</v>
      </c>
      <c r="J39" s="20" t="s">
        <v>349</v>
      </c>
      <c r="K39" s="18" t="n">
        <v>0</v>
      </c>
      <c r="L39" s="20" t="n">
        <v>0</v>
      </c>
      <c r="M39" s="18" t="n">
        <v>0</v>
      </c>
      <c r="N39" s="20" t="n">
        <v>0</v>
      </c>
      <c r="O39" s="18" t="n">
        <v>0</v>
      </c>
      <c r="P39" s="20" t="n">
        <v>0</v>
      </c>
      <c r="Q39" s="18" t="n">
        <v>7.26438428</v>
      </c>
      <c r="R39" s="20" t="n">
        <v>0.88324208</v>
      </c>
    </row>
    <row r="40" spans="1:18">
      <c r="A40" s="15" t="s">
        <v>382</v>
      </c>
      <c r="B40" s="17" t="n">
        <v>14157</v>
      </c>
      <c r="C40" s="18">
        <f>(12445.0/B40*100)</f>
        <v/>
      </c>
      <c r="D40" s="19" t="n">
        <v>1712</v>
      </c>
      <c r="E40" s="18" t="n">
        <v>62.89959133</v>
      </c>
      <c r="F40" s="20" t="n">
        <v>2.08792238</v>
      </c>
      <c r="G40" s="18" t="n">
        <v>27.48047644</v>
      </c>
      <c r="H40" s="20" t="n">
        <v>1.87700646</v>
      </c>
      <c r="I40" s="18" t="s">
        <v>349</v>
      </c>
      <c r="J40" s="20" t="s">
        <v>349</v>
      </c>
      <c r="K40" s="18" t="n">
        <v>0.12499997</v>
      </c>
      <c r="L40" s="20" t="n">
        <v>0.15678038</v>
      </c>
      <c r="M40" s="18" t="n">
        <v>0</v>
      </c>
      <c r="N40" s="20" t="n">
        <v>0</v>
      </c>
      <c r="O40" s="18" t="n">
        <v>0</v>
      </c>
      <c r="P40" s="20" t="n">
        <v>0</v>
      </c>
      <c r="Q40" s="18" t="n">
        <v>9.49493227</v>
      </c>
      <c r="R40" s="20" t="n">
        <v>1.26928109</v>
      </c>
    </row>
    <row r="41" spans="1:18">
      <c r="A41" s="15" t="s">
        <v>383</v>
      </c>
      <c r="B41" s="17" t="n">
        <v>5712</v>
      </c>
      <c r="C41" s="18">
        <f>(4978.0/B41*100)</f>
        <v/>
      </c>
      <c r="D41" s="19" t="n">
        <v>734</v>
      </c>
      <c r="E41" s="18" t="n">
        <v>72.45814824999999</v>
      </c>
      <c r="F41" s="20" t="n">
        <v>1.87980953</v>
      </c>
      <c r="G41" s="18" t="n">
        <v>25.50406133</v>
      </c>
      <c r="H41" s="20" t="n">
        <v>1.77521627</v>
      </c>
      <c r="I41" s="18" t="s">
        <v>349</v>
      </c>
      <c r="J41" s="20" t="s">
        <v>349</v>
      </c>
      <c r="K41" s="18" t="n">
        <v>0.13002375</v>
      </c>
      <c r="L41" s="20" t="n">
        <v>0.12583748</v>
      </c>
      <c r="M41" s="18" t="n">
        <v>0</v>
      </c>
      <c r="N41" s="20" t="n">
        <v>0</v>
      </c>
      <c r="O41" s="18" t="n">
        <v>0</v>
      </c>
      <c r="P41" s="20" t="n">
        <v>0</v>
      </c>
      <c r="Q41" s="18" t="n">
        <v>1.90776667</v>
      </c>
      <c r="R41" s="20" t="n">
        <v>0.55319834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(20399.0/B46*100)</f>
        <v/>
      </c>
      <c r="D46" s="19" t="n">
        <v>2742</v>
      </c>
      <c r="E46" s="18" t="n">
        <v>80.20808404</v>
      </c>
      <c r="F46" s="20" t="n">
        <v>1.03447258</v>
      </c>
      <c r="G46" s="18" t="n">
        <v>8.338966579999999</v>
      </c>
      <c r="H46" s="20" t="n">
        <v>0.71822613</v>
      </c>
      <c r="I46" s="18" t="s">
        <v>349</v>
      </c>
      <c r="J46" s="20" t="s">
        <v>349</v>
      </c>
      <c r="K46" s="18" t="n">
        <v>0.48255746</v>
      </c>
      <c r="L46" s="20" t="n">
        <v>0.16713243</v>
      </c>
      <c r="M46" s="18" t="n">
        <v>0</v>
      </c>
      <c r="N46" s="20" t="n">
        <v>0</v>
      </c>
      <c r="O46" s="18" t="n">
        <v>0</v>
      </c>
      <c r="P46" s="20" t="n">
        <v>0</v>
      </c>
      <c r="Q46" s="18" t="n">
        <v>10.97039192</v>
      </c>
      <c r="R46" s="20" t="n">
        <v>0.80333389</v>
      </c>
    </row>
    <row r="47" spans="1:18">
      <c r="A47" s="15" t="s">
        <v>389</v>
      </c>
      <c r="B47" s="17" t="n">
        <v>5928</v>
      </c>
      <c r="C47" s="18">
        <f>(5213.0/B47*100)</f>
        <v/>
      </c>
      <c r="D47" s="19" t="n">
        <v>715</v>
      </c>
      <c r="E47" s="18" t="n">
        <v>69.95305619</v>
      </c>
      <c r="F47" s="20" t="n">
        <v>2.1590154</v>
      </c>
      <c r="G47" s="18" t="n">
        <v>22.07314768</v>
      </c>
      <c r="H47" s="20" t="n">
        <v>2.10366217</v>
      </c>
      <c r="I47" s="18" t="s">
        <v>349</v>
      </c>
      <c r="J47" s="20" t="s">
        <v>349</v>
      </c>
      <c r="K47" s="18" t="n">
        <v>0.13155418</v>
      </c>
      <c r="L47" s="20" t="n">
        <v>0.12637131</v>
      </c>
      <c r="M47" s="18" t="n">
        <v>0</v>
      </c>
      <c r="N47" s="20" t="n">
        <v>0</v>
      </c>
      <c r="O47" s="18" t="n">
        <v>0</v>
      </c>
      <c r="P47" s="20" t="n">
        <v>0</v>
      </c>
      <c r="Q47" s="18" t="n">
        <v>7.84224195</v>
      </c>
      <c r="R47" s="20" t="n">
        <v>1.34500784</v>
      </c>
    </row>
    <row r="48" spans="1:18">
      <c r="A48" s="15" t="s">
        <v>390</v>
      </c>
      <c r="B48" s="17" t="n">
        <v>9841</v>
      </c>
      <c r="C48" s="18">
        <f>(8625.0/B48*100)</f>
        <v/>
      </c>
      <c r="D48" s="19" t="n">
        <v>1216</v>
      </c>
      <c r="E48" s="18" t="n">
        <v>51.73047859</v>
      </c>
      <c r="F48" s="20" t="n">
        <v>2.51883675</v>
      </c>
      <c r="G48" s="18" t="n">
        <v>46.66307588</v>
      </c>
      <c r="H48" s="20" t="n">
        <v>2.51813686</v>
      </c>
      <c r="I48" s="18" t="s">
        <v>349</v>
      </c>
      <c r="J48" s="20" t="s">
        <v>349</v>
      </c>
      <c r="K48" s="18" t="n">
        <v>0.49554632</v>
      </c>
      <c r="L48" s="20" t="n">
        <v>0.24885773</v>
      </c>
      <c r="M48" s="18" t="n">
        <v>0</v>
      </c>
      <c r="N48" s="20" t="n">
        <v>0</v>
      </c>
      <c r="O48" s="18" t="n">
        <v>0</v>
      </c>
      <c r="P48" s="20" t="n">
        <v>0</v>
      </c>
      <c r="Q48" s="18" t="n">
        <v>1.11089922</v>
      </c>
      <c r="R48" s="20" t="n">
        <v>0.40124615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(10349.0/B50*100)</f>
        <v/>
      </c>
      <c r="D50" s="19" t="n">
        <v>1446</v>
      </c>
      <c r="E50" s="18" t="n">
        <v>88.20836958</v>
      </c>
      <c r="F50" s="20" t="n">
        <v>1.13096359</v>
      </c>
      <c r="G50" s="18" t="n">
        <v>6.9270617</v>
      </c>
      <c r="H50" s="20" t="n">
        <v>0.88021605</v>
      </c>
      <c r="I50" s="18" t="s">
        <v>349</v>
      </c>
      <c r="J50" s="20" t="s">
        <v>349</v>
      </c>
      <c r="K50" s="18" t="n">
        <v>0.70752016</v>
      </c>
      <c r="L50" s="20" t="n">
        <v>0.30485869</v>
      </c>
      <c r="M50" s="18" t="n">
        <v>0</v>
      </c>
      <c r="N50" s="20" t="n">
        <v>0</v>
      </c>
      <c r="O50" s="18" t="n">
        <v>0</v>
      </c>
      <c r="P50" s="20" t="n">
        <v>0</v>
      </c>
      <c r="Q50" s="18" t="n">
        <v>4.15704856</v>
      </c>
      <c r="R50" s="20" t="n">
        <v>0.69982839</v>
      </c>
    </row>
    <row r="51" spans="1:18">
      <c r="A51" s="15" t="s">
        <v>393</v>
      </c>
      <c r="B51" s="17" t="n">
        <v>6866</v>
      </c>
      <c r="C51" s="18">
        <f>(5422.0/B51*100)</f>
        <v/>
      </c>
      <c r="D51" s="19" t="n">
        <v>1444</v>
      </c>
      <c r="E51" s="18" t="n">
        <v>87.35552106</v>
      </c>
      <c r="F51" s="20" t="n">
        <v>0.97347141</v>
      </c>
      <c r="G51" s="18" t="n">
        <v>6.34387253</v>
      </c>
      <c r="H51" s="20" t="n">
        <v>0.6114601</v>
      </c>
      <c r="I51" s="18" t="s">
        <v>349</v>
      </c>
      <c r="J51" s="20" t="s">
        <v>349</v>
      </c>
      <c r="K51" s="18" t="n">
        <v>0.28949528</v>
      </c>
      <c r="L51" s="20" t="n">
        <v>0.14300128</v>
      </c>
      <c r="M51" s="18" t="n">
        <v>0</v>
      </c>
      <c r="N51" s="20" t="n">
        <v>0</v>
      </c>
      <c r="O51" s="18" t="n">
        <v>0</v>
      </c>
      <c r="P51" s="20" t="n">
        <v>0</v>
      </c>
      <c r="Q51" s="18" t="n">
        <v>6.01111113</v>
      </c>
      <c r="R51" s="20" t="n">
        <v>0.73393115</v>
      </c>
    </row>
    <row r="52" spans="1:18">
      <c r="A52" s="15" t="s">
        <v>394</v>
      </c>
      <c r="B52" s="17" t="n">
        <v>5809</v>
      </c>
      <c r="C52" s="18">
        <f>(5097.0/B52*100)</f>
        <v/>
      </c>
      <c r="D52" s="19" t="n">
        <v>712</v>
      </c>
      <c r="E52" s="18" t="n">
        <v>63.12310762</v>
      </c>
      <c r="F52" s="20" t="n">
        <v>1.93684002</v>
      </c>
      <c r="G52" s="18" t="n">
        <v>25.24394556</v>
      </c>
      <c r="H52" s="20" t="n">
        <v>1.70403858</v>
      </c>
      <c r="I52" s="18" t="s">
        <v>349</v>
      </c>
      <c r="J52" s="20" t="s">
        <v>349</v>
      </c>
      <c r="K52" s="18" t="n">
        <v>0</v>
      </c>
      <c r="L52" s="20" t="n">
        <v>0</v>
      </c>
      <c r="M52" s="18" t="n">
        <v>0</v>
      </c>
      <c r="N52" s="20" t="n">
        <v>0</v>
      </c>
      <c r="O52" s="18" t="n">
        <v>0</v>
      </c>
      <c r="P52" s="20" t="n">
        <v>0</v>
      </c>
      <c r="Q52" s="18" t="n">
        <v>11.63294682</v>
      </c>
      <c r="R52" s="20" t="n">
        <v>1.38697158</v>
      </c>
    </row>
    <row r="53" spans="1:18">
      <c r="A53" s="15" t="s">
        <v>395</v>
      </c>
      <c r="B53" s="17" t="n">
        <v>5571</v>
      </c>
      <c r="C53" s="18">
        <f>(4878.0/B53*100)</f>
        <v/>
      </c>
      <c r="D53" s="19" t="n">
        <v>693</v>
      </c>
      <c r="E53" s="18" t="n">
        <v>72.33569539</v>
      </c>
      <c r="F53" s="20" t="n">
        <v>1.61897607</v>
      </c>
      <c r="G53" s="18" t="n">
        <v>18.12423429</v>
      </c>
      <c r="H53" s="20" t="n">
        <v>1.45074666</v>
      </c>
      <c r="I53" s="18" t="s">
        <v>349</v>
      </c>
      <c r="J53" s="20" t="s">
        <v>349</v>
      </c>
      <c r="K53" s="18" t="n">
        <v>0.3365811</v>
      </c>
      <c r="L53" s="20" t="n">
        <v>0.23694619</v>
      </c>
      <c r="M53" s="18" t="n">
        <v>0</v>
      </c>
      <c r="N53" s="20" t="n">
        <v>0</v>
      </c>
      <c r="O53" s="18" t="n">
        <v>0</v>
      </c>
      <c r="P53" s="20" t="n">
        <v>0</v>
      </c>
      <c r="Q53" s="18" t="n">
        <v>9.203489230000001</v>
      </c>
      <c r="R53" s="20" t="n">
        <v>1.11501606</v>
      </c>
    </row>
    <row r="54" spans="1:18">
      <c r="A54" s="15" t="s">
        <v>396</v>
      </c>
      <c r="B54" s="17" t="n">
        <v>4740</v>
      </c>
      <c r="C54" s="18">
        <f>(3964.0/B54*100)</f>
        <v/>
      </c>
      <c r="D54" s="19" t="n">
        <v>776</v>
      </c>
      <c r="E54" s="18" t="n">
        <v>81.3353639</v>
      </c>
      <c r="F54" s="20" t="n">
        <v>1.56553468</v>
      </c>
      <c r="G54" s="18" t="n">
        <v>1.7943896</v>
      </c>
      <c r="H54" s="20" t="n">
        <v>0.39515181</v>
      </c>
      <c r="I54" s="18" t="s">
        <v>349</v>
      </c>
      <c r="J54" s="20" t="s">
        <v>349</v>
      </c>
      <c r="K54" s="18" t="n">
        <v>4.22345181</v>
      </c>
      <c r="L54" s="20" t="n">
        <v>0.84025088</v>
      </c>
      <c r="M54" s="18" t="n">
        <v>0</v>
      </c>
      <c r="N54" s="20" t="n">
        <v>0</v>
      </c>
      <c r="O54" s="18" t="n">
        <v>0</v>
      </c>
      <c r="P54" s="20" t="n">
        <v>0</v>
      </c>
      <c r="Q54" s="18" t="n">
        <v>12.64679468</v>
      </c>
      <c r="R54" s="20" t="n">
        <v>1.32604132</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54.33456346</v>
      </c>
      <c r="F56" s="20" t="n">
        <v>1.86816747</v>
      </c>
      <c r="G56" s="18" t="n">
        <v>44.42998675</v>
      </c>
      <c r="H56" s="20" t="n">
        <v>1.96526041</v>
      </c>
      <c r="I56" s="18" t="s">
        <v>349</v>
      </c>
      <c r="J56" s="20" t="s">
        <v>349</v>
      </c>
      <c r="K56" s="18" t="n">
        <v>0</v>
      </c>
      <c r="L56" s="20" t="n">
        <v>0</v>
      </c>
      <c r="M56" s="18" t="n">
        <v>0</v>
      </c>
      <c r="N56" s="20" t="n">
        <v>0</v>
      </c>
      <c r="O56" s="18" t="n">
        <v>0</v>
      </c>
      <c r="P56" s="20" t="n">
        <v>0</v>
      </c>
      <c r="Q56" s="18" t="n">
        <v>1.2354498</v>
      </c>
      <c r="R56" s="20" t="n">
        <v>0.43930362</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(5703.0/B61*100)</f>
        <v/>
      </c>
      <c r="D61" s="19" t="n">
        <v>822</v>
      </c>
      <c r="E61" s="18" t="n">
        <v>71.14105121999999</v>
      </c>
      <c r="F61" s="20" t="n">
        <v>1.89189194</v>
      </c>
      <c r="G61" s="18" t="n">
        <v>24.83709967</v>
      </c>
      <c r="H61" s="20" t="n">
        <v>1.93141772</v>
      </c>
      <c r="I61" s="18" t="s">
        <v>349</v>
      </c>
      <c r="J61" s="20" t="s">
        <v>349</v>
      </c>
      <c r="K61" s="18" t="n">
        <v>0.35678322</v>
      </c>
      <c r="L61" s="20" t="n">
        <v>0.35098483</v>
      </c>
      <c r="M61" s="18" t="n">
        <v>0</v>
      </c>
      <c r="N61" s="20" t="n">
        <v>0</v>
      </c>
      <c r="O61" s="18" t="n">
        <v>0</v>
      </c>
      <c r="P61" s="20" t="n">
        <v>0</v>
      </c>
      <c r="Q61" s="18" t="n">
        <v>3.66506589</v>
      </c>
      <c r="R61" s="20" t="n">
        <v>0.7072162</v>
      </c>
    </row>
    <row r="62" spans="1:18">
      <c r="A62" s="15" t="s">
        <v>404</v>
      </c>
      <c r="B62" s="17" t="n">
        <v>4476</v>
      </c>
      <c r="C62" s="18">
        <f>(3919.0/B62*100)</f>
        <v/>
      </c>
      <c r="D62" s="19" t="n">
        <v>557</v>
      </c>
      <c r="E62" s="18" t="n">
        <v>51.88097597</v>
      </c>
      <c r="F62" s="20" t="n">
        <v>2.22036729</v>
      </c>
      <c r="G62" s="18" t="n">
        <v>47.02874905</v>
      </c>
      <c r="H62" s="20" t="n">
        <v>2.11043637</v>
      </c>
      <c r="I62" s="18" t="s">
        <v>349</v>
      </c>
      <c r="J62" s="20" t="s">
        <v>349</v>
      </c>
      <c r="K62" s="18" t="n">
        <v>0</v>
      </c>
      <c r="L62" s="20" t="n">
        <v>0</v>
      </c>
      <c r="M62" s="18" t="n">
        <v>0</v>
      </c>
      <c r="N62" s="20" t="n">
        <v>0</v>
      </c>
      <c r="O62" s="18" t="n">
        <v>0</v>
      </c>
      <c r="P62" s="20" t="n">
        <v>0</v>
      </c>
      <c r="Q62" s="18" t="n">
        <v>1.09027498</v>
      </c>
      <c r="R62" s="20" t="n">
        <v>0.44624555</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(4975.0/B66*100)</f>
        <v/>
      </c>
      <c r="D66" s="19" t="n">
        <v>690</v>
      </c>
      <c r="E66" s="18" t="n">
        <v>64.06593621</v>
      </c>
      <c r="F66" s="20" t="n">
        <v>1.66639892</v>
      </c>
      <c r="G66" s="18" t="n">
        <v>18.93761314</v>
      </c>
      <c r="H66" s="20" t="n">
        <v>1.23595446</v>
      </c>
      <c r="I66" s="18" t="s">
        <v>349</v>
      </c>
      <c r="J66" s="20" t="s">
        <v>349</v>
      </c>
      <c r="K66" s="18" t="n">
        <v>0.3300662</v>
      </c>
      <c r="L66" s="20" t="n">
        <v>0.2345401</v>
      </c>
      <c r="M66" s="18" t="n">
        <v>0</v>
      </c>
      <c r="N66" s="20" t="n">
        <v>0</v>
      </c>
      <c r="O66" s="18" t="n">
        <v>0</v>
      </c>
      <c r="P66" s="20" t="n">
        <v>0</v>
      </c>
      <c r="Q66" s="18" t="n">
        <v>16.66638445</v>
      </c>
      <c r="R66" s="20" t="n">
        <v>1.38798217</v>
      </c>
    </row>
    <row r="67" spans="1:18">
      <c r="A67" s="15" t="s">
        <v>409</v>
      </c>
      <c r="B67" s="17" t="n">
        <v>6971</v>
      </c>
      <c r="C67" s="18">
        <f>(6132.0/B67*100)</f>
        <v/>
      </c>
      <c r="D67" s="19" t="n">
        <v>839</v>
      </c>
      <c r="E67" s="18" t="n">
        <v>83.99858740000001</v>
      </c>
      <c r="F67" s="20" t="n">
        <v>1.49505001</v>
      </c>
      <c r="G67" s="18" t="n">
        <v>7.53289105</v>
      </c>
      <c r="H67" s="20" t="n">
        <v>1.15150862</v>
      </c>
      <c r="I67" s="18" t="s">
        <v>349</v>
      </c>
      <c r="J67" s="20" t="s">
        <v>349</v>
      </c>
      <c r="K67" s="18" t="n">
        <v>0</v>
      </c>
      <c r="L67" s="20" t="n">
        <v>0</v>
      </c>
      <c r="M67" s="18" t="n">
        <v>0</v>
      </c>
      <c r="N67" s="20" t="n">
        <v>0</v>
      </c>
      <c r="O67" s="18" t="n">
        <v>0</v>
      </c>
      <c r="P67" s="20" t="n">
        <v>0</v>
      </c>
      <c r="Q67" s="18" t="n">
        <v>8.46852155</v>
      </c>
      <c r="R67" s="20" t="n">
        <v>1.04559602</v>
      </c>
    </row>
    <row r="68" spans="1:18">
      <c r="A68" s="15" t="s">
        <v>410</v>
      </c>
      <c r="B68" s="17" t="n">
        <v>12083</v>
      </c>
      <c r="C68" s="18">
        <f>(10087.0/B68*100)</f>
        <v/>
      </c>
      <c r="D68" s="19" t="n">
        <v>1996</v>
      </c>
      <c r="E68" s="18" t="n">
        <v>80.5659289</v>
      </c>
      <c r="F68" s="20" t="n">
        <v>1.00417478</v>
      </c>
      <c r="G68" s="18" t="n">
        <v>11.51352592</v>
      </c>
      <c r="H68" s="20" t="n">
        <v>0.83517613</v>
      </c>
      <c r="I68" s="18" t="s">
        <v>349</v>
      </c>
      <c r="J68" s="20" t="s">
        <v>349</v>
      </c>
      <c r="K68" s="18" t="n">
        <v>0.96558744</v>
      </c>
      <c r="L68" s="20" t="n">
        <v>0.2274542</v>
      </c>
      <c r="M68" s="18" t="n">
        <v>0</v>
      </c>
      <c r="N68" s="20" t="n">
        <v>0</v>
      </c>
      <c r="O68" s="18" t="n">
        <v>0</v>
      </c>
      <c r="P68" s="20" t="n">
        <v>0</v>
      </c>
      <c r="Q68" s="18" t="n">
        <v>6.95495774</v>
      </c>
      <c r="R68" s="20" t="n">
        <v>0.51603727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(5286.0/B70*100)</f>
        <v/>
      </c>
      <c r="D70" s="19" t="n">
        <v>750</v>
      </c>
      <c r="E70" s="18" t="n">
        <v>66.29469211999999</v>
      </c>
      <c r="F70" s="20" t="n">
        <v>1.87869152</v>
      </c>
      <c r="G70" s="18" t="n">
        <v>28.56882351</v>
      </c>
      <c r="H70" s="20" t="n">
        <v>1.8686694</v>
      </c>
      <c r="I70" s="18" t="s">
        <v>349</v>
      </c>
      <c r="J70" s="20" t="s">
        <v>349</v>
      </c>
      <c r="K70" s="18" t="n">
        <v>0.10453849</v>
      </c>
      <c r="L70" s="20" t="n">
        <v>0.10398515</v>
      </c>
      <c r="M70" s="18" t="n">
        <v>0</v>
      </c>
      <c r="N70" s="20" t="n">
        <v>0</v>
      </c>
      <c r="O70" s="18" t="n">
        <v>0</v>
      </c>
      <c r="P70" s="20" t="n">
        <v>0</v>
      </c>
      <c r="Q70" s="18" t="n">
        <v>5.03194587</v>
      </c>
      <c r="R70" s="20" t="n">
        <v>0.65287264</v>
      </c>
    </row>
    <row r="71" spans="1:18">
      <c r="A71" s="15" t="s">
        <v>413</v>
      </c>
      <c r="B71" s="17" t="n">
        <v>6115</v>
      </c>
      <c r="C71" s="18">
        <f>(5348.0/B71*100)</f>
        <v/>
      </c>
      <c r="D71" s="19" t="n">
        <v>767</v>
      </c>
      <c r="E71" s="18" t="n">
        <v>52.04124236</v>
      </c>
      <c r="F71" s="20" t="n">
        <v>2.14295391</v>
      </c>
      <c r="G71" s="18" t="n">
        <v>45.83320348</v>
      </c>
      <c r="H71" s="20" t="n">
        <v>2.19297288</v>
      </c>
      <c r="I71" s="18" t="s">
        <v>349</v>
      </c>
      <c r="J71" s="20" t="s">
        <v>349</v>
      </c>
      <c r="K71" s="18" t="n">
        <v>0.22662423</v>
      </c>
      <c r="L71" s="20" t="n">
        <v>0.16720832</v>
      </c>
      <c r="M71" s="18" t="n">
        <v>0</v>
      </c>
      <c r="N71" s="20" t="n">
        <v>0</v>
      </c>
      <c r="O71" s="18" t="n">
        <v>0</v>
      </c>
      <c r="P71" s="20" t="n">
        <v>0</v>
      </c>
      <c r="Q71" s="18" t="n">
        <v>1.89892993</v>
      </c>
      <c r="R71" s="20" t="n">
        <v>0.52746982</v>
      </c>
    </row>
    <row r="72" spans="1:18">
      <c r="A72" s="15" t="s">
        <v>414</v>
      </c>
      <c r="B72" s="17" t="n">
        <v>7708</v>
      </c>
      <c r="C72" s="18">
        <f>(6749.0/B72*100)</f>
        <v/>
      </c>
      <c r="D72" s="19" t="n">
        <v>959</v>
      </c>
      <c r="E72" s="18" t="n">
        <v>52.40938629</v>
      </c>
      <c r="F72" s="20" t="n">
        <v>1.75608963</v>
      </c>
      <c r="G72" s="18" t="n">
        <v>45.34019394</v>
      </c>
      <c r="H72" s="20" t="n">
        <v>1.70215965</v>
      </c>
      <c r="I72" s="18" t="s">
        <v>349</v>
      </c>
      <c r="J72" s="20" t="s">
        <v>349</v>
      </c>
      <c r="K72" s="18" t="n">
        <v>0.11181069</v>
      </c>
      <c r="L72" s="20" t="n">
        <v>0.11182754</v>
      </c>
      <c r="M72" s="18" t="n">
        <v>0</v>
      </c>
      <c r="N72" s="20" t="n">
        <v>0</v>
      </c>
      <c r="O72" s="18" t="n">
        <v>0</v>
      </c>
      <c r="P72" s="20" t="n">
        <v>0</v>
      </c>
      <c r="Q72" s="18" t="n">
        <v>2.13860908</v>
      </c>
      <c r="R72" s="20" t="n">
        <v>0.49412529</v>
      </c>
    </row>
    <row r="73" spans="1:18">
      <c r="A73" s="15" t="s">
        <v>415</v>
      </c>
      <c r="B73" s="17" t="n">
        <v>8249</v>
      </c>
      <c r="C73" s="18">
        <f>(7251.0/B73*100)</f>
        <v/>
      </c>
      <c r="D73" s="19" t="n">
        <v>998</v>
      </c>
      <c r="E73" s="18" t="n">
        <v>90.91974394</v>
      </c>
      <c r="F73" s="20" t="n">
        <v>1.30566988</v>
      </c>
      <c r="G73" s="18" t="n">
        <v>8.084518839999999</v>
      </c>
      <c r="H73" s="20" t="n">
        <v>1.31357076</v>
      </c>
      <c r="I73" s="18" t="s">
        <v>349</v>
      </c>
      <c r="J73" s="20" t="s">
        <v>349</v>
      </c>
      <c r="K73" s="18" t="n">
        <v>0</v>
      </c>
      <c r="L73" s="20" t="n">
        <v>0</v>
      </c>
      <c r="M73" s="18" t="n">
        <v>0</v>
      </c>
      <c r="N73" s="20" t="n">
        <v>0</v>
      </c>
      <c r="O73" s="18" t="n">
        <v>0</v>
      </c>
      <c r="P73" s="20" t="n">
        <v>0</v>
      </c>
      <c r="Q73" s="18" t="n">
        <v>0.99573722</v>
      </c>
      <c r="R73" s="20" t="n">
        <v>0.35649325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(4749.0/B75*100)</f>
        <v/>
      </c>
      <c r="D75" s="19" t="n">
        <v>626</v>
      </c>
      <c r="E75" s="18" t="n">
        <v>77.82323223</v>
      </c>
      <c r="F75" s="20" t="n">
        <v>2.05840543</v>
      </c>
      <c r="G75" s="18" t="n">
        <v>6.81141273</v>
      </c>
      <c r="H75" s="20" t="n">
        <v>1.1958557</v>
      </c>
      <c r="I75" s="18" t="s">
        <v>349</v>
      </c>
      <c r="J75" s="20" t="s">
        <v>349</v>
      </c>
      <c r="K75" s="18" t="n">
        <v>1.57456638</v>
      </c>
      <c r="L75" s="20" t="n">
        <v>0.49601081</v>
      </c>
      <c r="M75" s="18" t="n">
        <v>0</v>
      </c>
      <c r="N75" s="20" t="n">
        <v>0</v>
      </c>
      <c r="O75" s="18" t="n">
        <v>0</v>
      </c>
      <c r="P75" s="20" t="n">
        <v>0</v>
      </c>
      <c r="Q75" s="18" t="n">
        <v>13.79078866</v>
      </c>
      <c r="R75" s="20" t="n">
        <v>1.45536149</v>
      </c>
    </row>
    <row r="76" spans="1:18">
      <c r="A76" s="15" t="s">
        <v>418</v>
      </c>
      <c r="B76" s="17" t="n">
        <v>14167</v>
      </c>
      <c r="C76" s="18">
        <f>(12411.0/B76*100)</f>
        <v/>
      </c>
      <c r="D76" s="19" t="n">
        <v>1756</v>
      </c>
      <c r="E76" s="18" t="n">
        <v>81.56641358</v>
      </c>
      <c r="F76" s="20" t="n">
        <v>1.11640451</v>
      </c>
      <c r="G76" s="18" t="n">
        <v>14.97085689</v>
      </c>
      <c r="H76" s="20" t="n">
        <v>1.00855358</v>
      </c>
      <c r="I76" s="18" t="s">
        <v>349</v>
      </c>
      <c r="J76" s="20" t="s">
        <v>349</v>
      </c>
      <c r="K76" s="18" t="n">
        <v>0.14123041</v>
      </c>
      <c r="L76" s="20" t="n">
        <v>0.09482525</v>
      </c>
      <c r="M76" s="18" t="n">
        <v>0</v>
      </c>
      <c r="N76" s="20" t="n">
        <v>0</v>
      </c>
      <c r="O76" s="18" t="n">
        <v>0</v>
      </c>
      <c r="P76" s="20" t="n">
        <v>0</v>
      </c>
      <c r="Q76" s="18" t="n">
        <v>3.32149912</v>
      </c>
      <c r="R76" s="20" t="n">
        <v>0.45600754</v>
      </c>
    </row>
    <row r="77" spans="1:18">
      <c r="A77" s="15" t="s">
        <v>419</v>
      </c>
      <c r="B77" s="17" t="n">
        <v>6062</v>
      </c>
      <c r="C77" s="18">
        <f>(5303.0/B77*100)</f>
        <v/>
      </c>
      <c r="D77" s="19" t="n">
        <v>759</v>
      </c>
      <c r="E77" s="18" t="n">
        <v>71.92908807000001</v>
      </c>
      <c r="F77" s="20" t="n">
        <v>1.61215504</v>
      </c>
      <c r="G77" s="18" t="n">
        <v>13.94982856</v>
      </c>
      <c r="H77" s="20" t="n">
        <v>1.21151927</v>
      </c>
      <c r="I77" s="18" t="s">
        <v>349</v>
      </c>
      <c r="J77" s="20" t="s">
        <v>349</v>
      </c>
      <c r="K77" s="18" t="n">
        <v>0.59456414</v>
      </c>
      <c r="L77" s="20" t="n">
        <v>0.33595661</v>
      </c>
      <c r="M77" s="18" t="n">
        <v>0</v>
      </c>
      <c r="N77" s="20" t="n">
        <v>0</v>
      </c>
      <c r="O77" s="18" t="n">
        <v>0</v>
      </c>
      <c r="P77" s="20" t="n">
        <v>0</v>
      </c>
      <c r="Q77" s="18" t="n">
        <v>13.52651923</v>
      </c>
      <c r="R77" s="20" t="n">
        <v>1.15505519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(7756.0/B81*100)</f>
        <v/>
      </c>
      <c r="D81" s="19" t="n">
        <v>1105</v>
      </c>
      <c r="E81" s="18" t="n">
        <v>87.27038023</v>
      </c>
      <c r="F81" s="20" t="n">
        <v>1.25487073</v>
      </c>
      <c r="G81" s="18" t="n">
        <v>9.92378761</v>
      </c>
      <c r="H81" s="20" t="n">
        <v>1.05702742</v>
      </c>
      <c r="I81" s="18" t="s">
        <v>349</v>
      </c>
      <c r="J81" s="20" t="s">
        <v>349</v>
      </c>
      <c r="K81" s="18" t="n">
        <v>0</v>
      </c>
      <c r="L81" s="20" t="n">
        <v>0</v>
      </c>
      <c r="M81" s="18" t="n">
        <v>0</v>
      </c>
      <c r="N81" s="20" t="n">
        <v>0</v>
      </c>
      <c r="O81" s="18" t="n">
        <v>0</v>
      </c>
      <c r="P81" s="20" t="n">
        <v>0</v>
      </c>
      <c r="Q81" s="18" t="n">
        <v>2.80583216</v>
      </c>
      <c r="R81" s="20" t="n">
        <v>0.70086989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499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(12702.0/B7*100)</f>
        <v/>
      </c>
      <c r="D7" s="19" t="n">
        <v>1828</v>
      </c>
      <c r="E7" s="18" t="n">
        <v>31.21865003</v>
      </c>
      <c r="F7" s="20" t="n">
        <v>1.44750334</v>
      </c>
      <c r="G7" s="18" t="n">
        <v>68.09567538</v>
      </c>
      <c r="H7" s="20" t="n">
        <v>1.40921588</v>
      </c>
      <c r="I7" s="18" t="s">
        <v>349</v>
      </c>
      <c r="J7" s="20" t="s">
        <v>349</v>
      </c>
      <c r="K7" s="18" t="n">
        <v>0.1854557</v>
      </c>
      <c r="L7" s="20" t="n">
        <v>0.1068409</v>
      </c>
      <c r="M7" s="18" t="n">
        <v>0</v>
      </c>
      <c r="N7" s="20" t="n">
        <v>0</v>
      </c>
      <c r="O7" s="18" t="n">
        <v>0</v>
      </c>
      <c r="P7" s="20" t="n">
        <v>0</v>
      </c>
      <c r="Q7" s="18" t="n">
        <v>0.50021889</v>
      </c>
      <c r="R7" s="20" t="n">
        <v>0.18790278</v>
      </c>
    </row>
    <row r="8" spans="1:18">
      <c r="A8" s="15" t="s">
        <v>350</v>
      </c>
      <c r="B8" s="17" t="n">
        <v>7007</v>
      </c>
      <c r="C8" s="18">
        <f>(6120.0/B8*100)</f>
        <v/>
      </c>
      <c r="D8" s="19" t="n">
        <v>887</v>
      </c>
      <c r="E8" s="18" t="n">
        <v>28.03528306</v>
      </c>
      <c r="F8" s="20" t="n">
        <v>2.0059465</v>
      </c>
      <c r="G8" s="18" t="n">
        <v>71.00152831</v>
      </c>
      <c r="H8" s="20" t="n">
        <v>2.00030475</v>
      </c>
      <c r="I8" s="18" t="s">
        <v>349</v>
      </c>
      <c r="J8" s="20" t="s">
        <v>349</v>
      </c>
      <c r="K8" s="18" t="n">
        <v>0.04050114</v>
      </c>
      <c r="L8" s="20" t="n">
        <v>0.04058543</v>
      </c>
      <c r="M8" s="18" t="n">
        <v>0</v>
      </c>
      <c r="N8" s="20" t="n">
        <v>0</v>
      </c>
      <c r="O8" s="18" t="n">
        <v>0</v>
      </c>
      <c r="P8" s="20" t="n">
        <v>0</v>
      </c>
      <c r="Q8" s="18" t="n">
        <v>0.9226874900000001</v>
      </c>
      <c r="R8" s="20" t="n">
        <v>0.33938702</v>
      </c>
    </row>
    <row r="9" spans="1:18">
      <c r="A9" s="15" t="s">
        <v>351</v>
      </c>
      <c r="B9" s="17" t="n">
        <v>9651</v>
      </c>
      <c r="C9" s="18">
        <f>(8244.0/B9*100)</f>
        <v/>
      </c>
      <c r="D9" s="19" t="n">
        <v>1407</v>
      </c>
      <c r="E9" s="18" t="n">
        <v>31.95472701</v>
      </c>
      <c r="F9" s="20" t="n">
        <v>1.58206638</v>
      </c>
      <c r="G9" s="18" t="n">
        <v>66.28340858</v>
      </c>
      <c r="H9" s="20" t="n">
        <v>1.70837365</v>
      </c>
      <c r="I9" s="18" t="s">
        <v>349</v>
      </c>
      <c r="J9" s="20" t="s">
        <v>349</v>
      </c>
      <c r="K9" s="18" t="n">
        <v>1.04576557</v>
      </c>
      <c r="L9" s="20" t="n">
        <v>0.3186184</v>
      </c>
      <c r="M9" s="18" t="n">
        <v>0</v>
      </c>
      <c r="N9" s="20" t="n">
        <v>0</v>
      </c>
      <c r="O9" s="18" t="n">
        <v>0</v>
      </c>
      <c r="P9" s="20" t="n">
        <v>0</v>
      </c>
      <c r="Q9" s="18" t="n">
        <v>0.71609884</v>
      </c>
      <c r="R9" s="20" t="n">
        <v>0.26409036</v>
      </c>
    </row>
    <row r="10" spans="1:18">
      <c r="A10" s="15" t="s">
        <v>352</v>
      </c>
      <c r="B10" s="17" t="n">
        <v>20058</v>
      </c>
      <c r="C10" s="18">
        <f>(17557.0/B10*100)</f>
        <v/>
      </c>
      <c r="D10" s="19" t="n">
        <v>2501</v>
      </c>
      <c r="E10" s="18" t="n">
        <v>21.0747135</v>
      </c>
      <c r="F10" s="20" t="n">
        <v>1.09716057</v>
      </c>
      <c r="G10" s="18" t="n">
        <v>78.46365491</v>
      </c>
      <c r="H10" s="20" t="n">
        <v>1.07945767</v>
      </c>
      <c r="I10" s="18" t="s">
        <v>349</v>
      </c>
      <c r="J10" s="20" t="s">
        <v>349</v>
      </c>
      <c r="K10" s="18" t="n">
        <v>0.12719812</v>
      </c>
      <c r="L10" s="20" t="n">
        <v>0.05261225</v>
      </c>
      <c r="M10" s="18" t="n">
        <v>0</v>
      </c>
      <c r="N10" s="20" t="n">
        <v>0</v>
      </c>
      <c r="O10" s="18" t="n">
        <v>0</v>
      </c>
      <c r="P10" s="20" t="n">
        <v>0</v>
      </c>
      <c r="Q10" s="18" t="n">
        <v>0.33443347</v>
      </c>
      <c r="R10" s="20" t="n">
        <v>0.15158484</v>
      </c>
    </row>
    <row r="11" spans="1:18">
      <c r="A11" s="15" t="s">
        <v>353</v>
      </c>
      <c r="B11" s="17" t="n">
        <v>7053</v>
      </c>
      <c r="C11" s="18">
        <f>(6208.0/B11*100)</f>
        <v/>
      </c>
      <c r="D11" s="19" t="n">
        <v>845</v>
      </c>
      <c r="E11" s="18" t="n">
        <v>53.57056798</v>
      </c>
      <c r="F11" s="20" t="n">
        <v>2.22207246</v>
      </c>
      <c r="G11" s="18" t="n">
        <v>44.48330146</v>
      </c>
      <c r="H11" s="20" t="n">
        <v>2.2066697</v>
      </c>
      <c r="I11" s="18" t="s">
        <v>349</v>
      </c>
      <c r="J11" s="20" t="s">
        <v>349</v>
      </c>
      <c r="K11" s="18" t="n">
        <v>0.14284727</v>
      </c>
      <c r="L11" s="20" t="n">
        <v>0.14151122</v>
      </c>
      <c r="M11" s="18" t="n">
        <v>0</v>
      </c>
      <c r="N11" s="20" t="n">
        <v>0</v>
      </c>
      <c r="O11" s="18" t="n">
        <v>0</v>
      </c>
      <c r="P11" s="20" t="n">
        <v>0</v>
      </c>
      <c r="Q11" s="18" t="n">
        <v>1.80328329</v>
      </c>
      <c r="R11" s="20" t="n">
        <v>0.44553922</v>
      </c>
    </row>
    <row r="12" spans="1:18">
      <c r="A12" s="15" t="s">
        <v>354</v>
      </c>
      <c r="B12" s="17" t="n">
        <v>6894</v>
      </c>
      <c r="C12" s="18">
        <f>(5989.0/B12*100)</f>
        <v/>
      </c>
      <c r="D12" s="19" t="n">
        <v>905</v>
      </c>
      <c r="E12" s="18" t="n">
        <v>37.59418968</v>
      </c>
      <c r="F12" s="20" t="n">
        <v>2.61001646</v>
      </c>
      <c r="G12" s="18" t="n">
        <v>61.43630156</v>
      </c>
      <c r="H12" s="20" t="n">
        <v>2.93776267</v>
      </c>
      <c r="I12" s="18" t="s">
        <v>349</v>
      </c>
      <c r="J12" s="20" t="s">
        <v>349</v>
      </c>
      <c r="K12" s="18" t="n">
        <v>0</v>
      </c>
      <c r="L12" s="20" t="n">
        <v>0</v>
      </c>
      <c r="M12" s="18" t="n">
        <v>0</v>
      </c>
      <c r="N12" s="20" t="n">
        <v>0</v>
      </c>
      <c r="O12" s="18" t="n">
        <v>0</v>
      </c>
      <c r="P12" s="20" t="n">
        <v>0</v>
      </c>
      <c r="Q12" s="18" t="n">
        <v>0.96950876</v>
      </c>
      <c r="R12" s="20" t="n">
        <v>0.50892396</v>
      </c>
    </row>
    <row r="13" spans="1:18">
      <c r="A13" s="15" t="s">
        <v>355</v>
      </c>
      <c r="B13" s="17" t="n">
        <v>7161</v>
      </c>
      <c r="C13" s="18">
        <f>(5984.0/B13*100)</f>
        <v/>
      </c>
      <c r="D13" s="19" t="n">
        <v>1177</v>
      </c>
      <c r="E13" s="18" t="n">
        <v>26.96575283</v>
      </c>
      <c r="F13" s="20" t="n">
        <v>1.50955973</v>
      </c>
      <c r="G13" s="18" t="n">
        <v>71.60048691</v>
      </c>
      <c r="H13" s="20" t="n">
        <v>1.5803712</v>
      </c>
      <c r="I13" s="18" t="s">
        <v>349</v>
      </c>
      <c r="J13" s="20" t="s">
        <v>349</v>
      </c>
      <c r="K13" s="18" t="n">
        <v>0.74244951</v>
      </c>
      <c r="L13" s="20" t="n">
        <v>0.32398808</v>
      </c>
      <c r="M13" s="18" t="n">
        <v>0</v>
      </c>
      <c r="N13" s="20" t="n">
        <v>0</v>
      </c>
      <c r="O13" s="18" t="n">
        <v>0</v>
      </c>
      <c r="P13" s="20" t="n">
        <v>0</v>
      </c>
      <c r="Q13" s="18" t="n">
        <v>0.69131075</v>
      </c>
      <c r="R13" s="20" t="n">
        <v>0.25113091</v>
      </c>
    </row>
    <row r="14" spans="1:18">
      <c r="A14" s="15" t="s">
        <v>356</v>
      </c>
      <c r="B14" s="17" t="n">
        <v>5587</v>
      </c>
      <c r="C14" s="18">
        <f>(4906.0/B14*100)</f>
        <v/>
      </c>
      <c r="D14" s="19" t="n">
        <v>681</v>
      </c>
      <c r="E14" s="18" t="n">
        <v>18.57278058</v>
      </c>
      <c r="F14" s="20" t="n">
        <v>1.59796983</v>
      </c>
      <c r="G14" s="18" t="n">
        <v>81.06280852</v>
      </c>
      <c r="H14" s="20" t="n">
        <v>1.62245303</v>
      </c>
      <c r="I14" s="18" t="s">
        <v>349</v>
      </c>
      <c r="J14" s="20" t="s">
        <v>349</v>
      </c>
      <c r="K14" s="18" t="n">
        <v>0</v>
      </c>
      <c r="L14" s="20" t="n">
        <v>0</v>
      </c>
      <c r="M14" s="18" t="n">
        <v>0</v>
      </c>
      <c r="N14" s="20" t="n">
        <v>0</v>
      </c>
      <c r="O14" s="18" t="n">
        <v>0</v>
      </c>
      <c r="P14" s="20" t="n">
        <v>0</v>
      </c>
      <c r="Q14" s="18" t="n">
        <v>0.36441091</v>
      </c>
      <c r="R14" s="20" t="n">
        <v>0.35649293</v>
      </c>
    </row>
    <row r="15" spans="1:18">
      <c r="A15" s="15" t="s">
        <v>357</v>
      </c>
      <c r="B15" s="17" t="n">
        <v>5882</v>
      </c>
      <c r="C15" s="18">
        <f>(5132.0/B15*100)</f>
        <v/>
      </c>
      <c r="D15" s="19" t="n">
        <v>750</v>
      </c>
      <c r="E15" s="18" t="n">
        <v>26.43182224</v>
      </c>
      <c r="F15" s="20" t="n">
        <v>1.77819139</v>
      </c>
      <c r="G15" s="18" t="n">
        <v>72.25478568</v>
      </c>
      <c r="H15" s="20" t="n">
        <v>2.04977257</v>
      </c>
      <c r="I15" s="18" t="s">
        <v>349</v>
      </c>
      <c r="J15" s="20" t="s">
        <v>349</v>
      </c>
      <c r="K15" s="18" t="n">
        <v>0.90831527</v>
      </c>
      <c r="L15" s="20" t="n">
        <v>0.55768012</v>
      </c>
      <c r="M15" s="18" t="n">
        <v>0</v>
      </c>
      <c r="N15" s="20" t="n">
        <v>0</v>
      </c>
      <c r="O15" s="18" t="n">
        <v>0</v>
      </c>
      <c r="P15" s="20" t="n">
        <v>0</v>
      </c>
      <c r="Q15" s="18" t="n">
        <v>0.4050768</v>
      </c>
      <c r="R15" s="20" t="n">
        <v>0.22103846</v>
      </c>
    </row>
    <row r="16" spans="1:18">
      <c r="A16" s="15" t="s">
        <v>358</v>
      </c>
      <c r="B16" s="17" t="n">
        <v>6108</v>
      </c>
      <c r="C16" s="18">
        <f>(5381.0/B16*100)</f>
        <v/>
      </c>
      <c r="D16" s="19" t="n">
        <v>727</v>
      </c>
      <c r="E16" s="18" t="n">
        <v>24.21642876</v>
      </c>
      <c r="F16" s="20" t="n">
        <v>1.42952791</v>
      </c>
      <c r="G16" s="18" t="n">
        <v>74.26063395</v>
      </c>
      <c r="H16" s="20" t="n">
        <v>1.45493284</v>
      </c>
      <c r="I16" s="18" t="s">
        <v>349</v>
      </c>
      <c r="J16" s="20" t="s">
        <v>349</v>
      </c>
      <c r="K16" s="18" t="n">
        <v>0.68174729</v>
      </c>
      <c r="L16" s="20" t="n">
        <v>0.29253971</v>
      </c>
      <c r="M16" s="18" t="n">
        <v>0</v>
      </c>
      <c r="N16" s="20" t="n">
        <v>0</v>
      </c>
      <c r="O16" s="18" t="n">
        <v>0</v>
      </c>
      <c r="P16" s="20" t="n">
        <v>0</v>
      </c>
      <c r="Q16" s="18" t="n">
        <v>0.84119</v>
      </c>
      <c r="R16" s="20" t="n">
        <v>0.35295461</v>
      </c>
    </row>
    <row r="17" spans="1:18">
      <c r="A17" s="15" t="s">
        <v>359</v>
      </c>
      <c r="B17" s="17" t="n">
        <v>6504</v>
      </c>
      <c r="C17" s="18">
        <f>(5606.0/B17*100)</f>
        <v/>
      </c>
      <c r="D17" s="19" t="n">
        <v>898</v>
      </c>
      <c r="E17" s="18" t="n">
        <v>29.7403038</v>
      </c>
      <c r="F17" s="20" t="n">
        <v>1.8510388</v>
      </c>
      <c r="G17" s="18" t="n">
        <v>66.27384428000001</v>
      </c>
      <c r="H17" s="20" t="n">
        <v>1.87801929</v>
      </c>
      <c r="I17" s="18" t="s">
        <v>349</v>
      </c>
      <c r="J17" s="20" t="s">
        <v>349</v>
      </c>
      <c r="K17" s="18" t="n">
        <v>1.87660936</v>
      </c>
      <c r="L17" s="20" t="n">
        <v>0.60519057</v>
      </c>
      <c r="M17" s="18" t="n">
        <v>0</v>
      </c>
      <c r="N17" s="20" t="n">
        <v>0</v>
      </c>
      <c r="O17" s="18" t="n">
        <v>0</v>
      </c>
      <c r="P17" s="20" t="n">
        <v>0</v>
      </c>
      <c r="Q17" s="18" t="n">
        <v>2.10924256</v>
      </c>
      <c r="R17" s="20" t="n">
        <v>0.52250168</v>
      </c>
    </row>
    <row r="18" spans="1:18">
      <c r="A18" s="15" t="s">
        <v>360</v>
      </c>
      <c r="B18" s="17" t="n">
        <v>5532</v>
      </c>
      <c r="C18" s="18">
        <f>(4860.0/B18*100)</f>
        <v/>
      </c>
      <c r="D18" s="19" t="n">
        <v>672</v>
      </c>
      <c r="E18" s="18" t="n">
        <v>40.01887089</v>
      </c>
      <c r="F18" s="20" t="n">
        <v>2.20963921</v>
      </c>
      <c r="G18" s="18" t="n">
        <v>58.94986145</v>
      </c>
      <c r="H18" s="20" t="n">
        <v>2.1986616</v>
      </c>
      <c r="I18" s="18" t="s">
        <v>349</v>
      </c>
      <c r="J18" s="20" t="s">
        <v>349</v>
      </c>
      <c r="K18" s="18" t="n">
        <v>0.66977108</v>
      </c>
      <c r="L18" s="20" t="n">
        <v>0.3964389</v>
      </c>
      <c r="M18" s="18" t="n">
        <v>0</v>
      </c>
      <c r="N18" s="20" t="n">
        <v>0</v>
      </c>
      <c r="O18" s="18" t="n">
        <v>0</v>
      </c>
      <c r="P18" s="20" t="n">
        <v>0</v>
      </c>
      <c r="Q18" s="18" t="n">
        <v>0.36149659</v>
      </c>
      <c r="R18" s="20" t="n">
        <v>0.25526791</v>
      </c>
    </row>
    <row r="19" spans="1:18">
      <c r="A19" s="15" t="s">
        <v>361</v>
      </c>
      <c r="B19" s="17" t="n">
        <v>5658</v>
      </c>
      <c r="C19" s="18">
        <f>(4978.0/B19*100)</f>
        <v/>
      </c>
      <c r="D19" s="19" t="n">
        <v>680</v>
      </c>
      <c r="E19" s="18" t="n">
        <v>36.97528076</v>
      </c>
      <c r="F19" s="20" t="n">
        <v>1.97888376</v>
      </c>
      <c r="G19" s="18" t="n">
        <v>62.78616497</v>
      </c>
      <c r="H19" s="20" t="n">
        <v>1.96644402</v>
      </c>
      <c r="I19" s="18" t="s">
        <v>349</v>
      </c>
      <c r="J19" s="20" t="s">
        <v>349</v>
      </c>
      <c r="K19" s="18" t="n">
        <v>0</v>
      </c>
      <c r="L19" s="20" t="n">
        <v>0</v>
      </c>
      <c r="M19" s="18" t="n">
        <v>0</v>
      </c>
      <c r="N19" s="20" t="n">
        <v>0</v>
      </c>
      <c r="O19" s="18" t="n">
        <v>0</v>
      </c>
      <c r="P19" s="20" t="n">
        <v>0</v>
      </c>
      <c r="Q19" s="18" t="n">
        <v>0.23855427</v>
      </c>
      <c r="R19" s="20" t="n">
        <v>0.16879481</v>
      </c>
    </row>
    <row r="20" spans="1:18">
      <c r="A20" s="15" t="s">
        <v>362</v>
      </c>
      <c r="B20" s="17" t="n">
        <v>3371</v>
      </c>
      <c r="C20" s="18">
        <f>(2960.0/B20*100)</f>
        <v/>
      </c>
      <c r="D20" s="19" t="n">
        <v>411</v>
      </c>
      <c r="E20" s="18" t="n">
        <v>32.47712462</v>
      </c>
      <c r="F20" s="20" t="n">
        <v>2.27484227</v>
      </c>
      <c r="G20" s="18" t="n">
        <v>66.33135556000001</v>
      </c>
      <c r="H20" s="20" t="n">
        <v>2.25583864</v>
      </c>
      <c r="I20" s="18" t="s">
        <v>349</v>
      </c>
      <c r="J20" s="20" t="s">
        <v>349</v>
      </c>
      <c r="K20" s="18" t="n">
        <v>0.23221277</v>
      </c>
      <c r="L20" s="20" t="n">
        <v>0.21279971</v>
      </c>
      <c r="M20" s="18" t="n">
        <v>0</v>
      </c>
      <c r="N20" s="20" t="n">
        <v>0</v>
      </c>
      <c r="O20" s="18" t="n">
        <v>0</v>
      </c>
      <c r="P20" s="20" t="n">
        <v>0</v>
      </c>
      <c r="Q20" s="18" t="n">
        <v>0.95930706</v>
      </c>
      <c r="R20" s="20" t="n">
        <v>0.47413381</v>
      </c>
    </row>
    <row r="21" spans="1:18">
      <c r="A21" s="15" t="s">
        <v>363</v>
      </c>
      <c r="B21" s="17" t="n">
        <v>5741</v>
      </c>
      <c r="C21" s="18">
        <f>(4776.0/B21*100)</f>
        <v/>
      </c>
      <c r="D21" s="19" t="n">
        <v>965</v>
      </c>
      <c r="E21" s="18" t="n">
        <v>30.91368064</v>
      </c>
      <c r="F21" s="20" t="n">
        <v>1.46741282</v>
      </c>
      <c r="G21" s="18" t="n">
        <v>68.83064071</v>
      </c>
      <c r="H21" s="20" t="n">
        <v>1.44513759</v>
      </c>
      <c r="I21" s="18" t="s">
        <v>349</v>
      </c>
      <c r="J21" s="20" t="s">
        <v>349</v>
      </c>
      <c r="K21" s="18" t="n">
        <v>0.16104554</v>
      </c>
      <c r="L21" s="20" t="n">
        <v>0.11377921</v>
      </c>
      <c r="M21" s="18" t="n">
        <v>0</v>
      </c>
      <c r="N21" s="20" t="n">
        <v>0</v>
      </c>
      <c r="O21" s="18" t="n">
        <v>0</v>
      </c>
      <c r="P21" s="20" t="n">
        <v>0</v>
      </c>
      <c r="Q21" s="18" t="n">
        <v>0.09463312</v>
      </c>
      <c r="R21" s="20" t="n">
        <v>0.0945587</v>
      </c>
    </row>
    <row r="22" spans="1:18">
      <c r="A22" s="15" t="s">
        <v>364</v>
      </c>
      <c r="B22" s="17" t="n">
        <v>6598</v>
      </c>
      <c r="C22" s="18">
        <f>(5748.0/B22*100)</f>
        <v/>
      </c>
      <c r="D22" s="19" t="n">
        <v>850</v>
      </c>
      <c r="E22" s="18" t="n">
        <v>38.47984383</v>
      </c>
      <c r="F22" s="20" t="n">
        <v>1.88309802</v>
      </c>
      <c r="G22" s="18" t="n">
        <v>59.75431813</v>
      </c>
      <c r="H22" s="20" t="n">
        <v>2.05698251</v>
      </c>
      <c r="I22" s="18" t="s">
        <v>349</v>
      </c>
      <c r="J22" s="20" t="s">
        <v>349</v>
      </c>
      <c r="K22" s="18" t="n">
        <v>0.49764651</v>
      </c>
      <c r="L22" s="20" t="n">
        <v>0.28428828</v>
      </c>
      <c r="M22" s="18" t="n">
        <v>0</v>
      </c>
      <c r="N22" s="20" t="n">
        <v>0</v>
      </c>
      <c r="O22" s="18" t="n">
        <v>0</v>
      </c>
      <c r="P22" s="20" t="n">
        <v>0</v>
      </c>
      <c r="Q22" s="18" t="n">
        <v>1.26819153</v>
      </c>
      <c r="R22" s="20" t="n">
        <v>0.6061407</v>
      </c>
    </row>
    <row r="23" spans="1:18">
      <c r="A23" s="15" t="s">
        <v>365</v>
      </c>
      <c r="B23" s="17" t="n">
        <v>11583</v>
      </c>
      <c r="C23" s="18">
        <f>(10141.0/B23*100)</f>
        <v/>
      </c>
      <c r="D23" s="19" t="n">
        <v>1442</v>
      </c>
      <c r="E23" s="18" t="n">
        <v>29.96123106</v>
      </c>
      <c r="F23" s="20" t="n">
        <v>1.5927996</v>
      </c>
      <c r="G23" s="18" t="n">
        <v>69.29497250999999</v>
      </c>
      <c r="H23" s="20" t="n">
        <v>1.65812751</v>
      </c>
      <c r="I23" s="18" t="s">
        <v>349</v>
      </c>
      <c r="J23" s="20" t="s">
        <v>349</v>
      </c>
      <c r="K23" s="18" t="n">
        <v>0.11194113</v>
      </c>
      <c r="L23" s="20" t="n">
        <v>0.11188643</v>
      </c>
      <c r="M23" s="18" t="n">
        <v>0</v>
      </c>
      <c r="N23" s="20" t="n">
        <v>0</v>
      </c>
      <c r="O23" s="18" t="n">
        <v>0</v>
      </c>
      <c r="P23" s="20" t="n">
        <v>0</v>
      </c>
      <c r="Q23" s="18" t="n">
        <v>0.6318553</v>
      </c>
      <c r="R23" s="20" t="n">
        <v>0.40080265</v>
      </c>
    </row>
    <row r="24" spans="1:18">
      <c r="A24" s="15" t="s">
        <v>366</v>
      </c>
      <c r="B24" s="17" t="n">
        <v>6647</v>
      </c>
      <c r="C24" s="18">
        <f>(5841.0/B24*100)</f>
        <v/>
      </c>
      <c r="D24" s="19" t="n">
        <v>806</v>
      </c>
      <c r="E24" s="18" t="n">
        <v>15.66494872</v>
      </c>
      <c r="F24" s="20" t="n">
        <v>1.44863479</v>
      </c>
      <c r="G24" s="18" t="n">
        <v>83.97787119</v>
      </c>
      <c r="H24" s="20" t="n">
        <v>1.48943133</v>
      </c>
      <c r="I24" s="18" t="s">
        <v>349</v>
      </c>
      <c r="J24" s="20" t="s">
        <v>349</v>
      </c>
      <c r="K24" s="18" t="n">
        <v>0.08849753</v>
      </c>
      <c r="L24" s="20" t="n">
        <v>0.08865061</v>
      </c>
      <c r="M24" s="18" t="n">
        <v>0</v>
      </c>
      <c r="N24" s="20" t="n">
        <v>0</v>
      </c>
      <c r="O24" s="18" t="n">
        <v>0</v>
      </c>
      <c r="P24" s="20" t="n">
        <v>0</v>
      </c>
      <c r="Q24" s="18" t="n">
        <v>0.26868256</v>
      </c>
      <c r="R24" s="20" t="n">
        <v>0.19176183</v>
      </c>
    </row>
    <row r="25" spans="1:18">
      <c r="A25" s="15" t="s">
        <v>367</v>
      </c>
      <c r="B25" s="17" t="n">
        <v>5581</v>
      </c>
      <c r="C25" s="18">
        <f>(4882.0/B25*100)</f>
        <v/>
      </c>
      <c r="D25" s="19" t="n">
        <v>699</v>
      </c>
      <c r="E25" s="18" t="n">
        <v>16.8444343</v>
      </c>
      <c r="F25" s="20" t="n">
        <v>1.41790991</v>
      </c>
      <c r="G25" s="18" t="n">
        <v>82.1223413</v>
      </c>
      <c r="H25" s="20" t="n">
        <v>1.46978079</v>
      </c>
      <c r="I25" s="18" t="s">
        <v>349</v>
      </c>
      <c r="J25" s="20" t="s">
        <v>349</v>
      </c>
      <c r="K25" s="18" t="n">
        <v>1.01391793</v>
      </c>
      <c r="L25" s="20" t="n">
        <v>0.40507536</v>
      </c>
      <c r="M25" s="18" t="n">
        <v>0</v>
      </c>
      <c r="N25" s="20" t="n">
        <v>0</v>
      </c>
      <c r="O25" s="18" t="n">
        <v>0</v>
      </c>
      <c r="P25" s="20" t="n">
        <v>0</v>
      </c>
      <c r="Q25" s="18" t="n">
        <v>0.01930647</v>
      </c>
      <c r="R25" s="20" t="n">
        <v>0.01937473</v>
      </c>
    </row>
    <row r="26" spans="1:18">
      <c r="A26" s="15" t="s">
        <v>368</v>
      </c>
      <c r="B26" s="17" t="n">
        <v>4869</v>
      </c>
      <c r="C26" s="18">
        <f>(4264.0/B26*100)</f>
        <v/>
      </c>
      <c r="D26" s="19" t="n">
        <v>605</v>
      </c>
      <c r="E26" s="18" t="n">
        <v>24.15659908</v>
      </c>
      <c r="F26" s="20" t="n">
        <v>1.99788968</v>
      </c>
      <c r="G26" s="18" t="n">
        <v>75.41045004999999</v>
      </c>
      <c r="H26" s="20" t="n">
        <v>2.01496446</v>
      </c>
      <c r="I26" s="18" t="s">
        <v>349</v>
      </c>
      <c r="J26" s="20" t="s">
        <v>349</v>
      </c>
      <c r="K26" s="18" t="n">
        <v>0.12496009</v>
      </c>
      <c r="L26" s="20" t="n">
        <v>0.12578988</v>
      </c>
      <c r="M26" s="18" t="n">
        <v>0</v>
      </c>
      <c r="N26" s="20" t="n">
        <v>0</v>
      </c>
      <c r="O26" s="18" t="n">
        <v>0</v>
      </c>
      <c r="P26" s="20" t="n">
        <v>0</v>
      </c>
      <c r="Q26" s="18" t="n">
        <v>0.30799079</v>
      </c>
      <c r="R26" s="20" t="n">
        <v>0.30348172</v>
      </c>
    </row>
    <row r="27" spans="1:18">
      <c r="A27" s="15" t="s">
        <v>369</v>
      </c>
      <c r="B27" s="17" t="n">
        <v>5299</v>
      </c>
      <c r="C27" s="18">
        <f>(4651.0/B27*100)</f>
        <v/>
      </c>
      <c r="D27" s="19" t="n">
        <v>648</v>
      </c>
      <c r="E27" s="18" t="n">
        <v>31.41220104</v>
      </c>
      <c r="F27" s="20" t="n">
        <v>1.83447545</v>
      </c>
      <c r="G27" s="18" t="n">
        <v>67.80994788</v>
      </c>
      <c r="H27" s="20" t="n">
        <v>1.79367255</v>
      </c>
      <c r="I27" s="18" t="s">
        <v>349</v>
      </c>
      <c r="J27" s="20" t="s">
        <v>349</v>
      </c>
      <c r="K27" s="18" t="n">
        <v>0.31124107</v>
      </c>
      <c r="L27" s="20" t="n">
        <v>0.21995088</v>
      </c>
      <c r="M27" s="18" t="n">
        <v>0</v>
      </c>
      <c r="N27" s="20" t="n">
        <v>0</v>
      </c>
      <c r="O27" s="18" t="n">
        <v>0</v>
      </c>
      <c r="P27" s="20" t="n">
        <v>0</v>
      </c>
      <c r="Q27" s="18" t="n">
        <v>0.46661001</v>
      </c>
      <c r="R27" s="20" t="n">
        <v>0.26780993</v>
      </c>
    </row>
    <row r="28" spans="1:18">
      <c r="A28" s="15" t="s">
        <v>370</v>
      </c>
      <c r="B28" s="17" t="n">
        <v>7568</v>
      </c>
      <c r="C28" s="18">
        <f>(6625.0/B28*100)</f>
        <v/>
      </c>
      <c r="D28" s="19" t="n">
        <v>943</v>
      </c>
      <c r="E28" s="18" t="n">
        <v>53.87831071</v>
      </c>
      <c r="F28" s="20" t="n">
        <v>1.80903547</v>
      </c>
      <c r="G28" s="18" t="n">
        <v>45.90705324</v>
      </c>
      <c r="H28" s="20" t="n">
        <v>1.79444181</v>
      </c>
      <c r="I28" s="18" t="s">
        <v>349</v>
      </c>
      <c r="J28" s="20" t="s">
        <v>349</v>
      </c>
      <c r="K28" s="18" t="n">
        <v>0.21463604</v>
      </c>
      <c r="L28" s="20" t="n">
        <v>0.20757728</v>
      </c>
      <c r="M28" s="18" t="n">
        <v>0</v>
      </c>
      <c r="N28" s="20" t="n">
        <v>0</v>
      </c>
      <c r="O28" s="18" t="n">
        <v>0</v>
      </c>
      <c r="P28" s="20" t="n">
        <v>0</v>
      </c>
      <c r="Q28" s="18" t="n">
        <v>0</v>
      </c>
      <c r="R28" s="20" t="n">
        <v>0</v>
      </c>
    </row>
    <row r="29" spans="1:18">
      <c r="A29" s="15" t="s">
        <v>371</v>
      </c>
      <c r="B29" s="17" t="n">
        <v>5385</v>
      </c>
      <c r="C29" s="18">
        <f>(4601.0/B29*100)</f>
        <v/>
      </c>
      <c r="D29" s="19" t="n">
        <v>784</v>
      </c>
      <c r="E29" s="18" t="n">
        <v>28.39053234</v>
      </c>
      <c r="F29" s="20" t="n">
        <v>1.69883786</v>
      </c>
      <c r="G29" s="18" t="n">
        <v>69.83813458</v>
      </c>
      <c r="H29" s="20" t="n">
        <v>2.46198102</v>
      </c>
      <c r="I29" s="18" t="s">
        <v>349</v>
      </c>
      <c r="J29" s="20" t="s">
        <v>349</v>
      </c>
      <c r="K29" s="18" t="n">
        <v>1.06685872</v>
      </c>
      <c r="L29" s="20" t="n">
        <v>0.81774021</v>
      </c>
      <c r="M29" s="18" t="n">
        <v>0</v>
      </c>
      <c r="N29" s="20" t="n">
        <v>0</v>
      </c>
      <c r="O29" s="18" t="n">
        <v>0</v>
      </c>
      <c r="P29" s="20" t="n">
        <v>0</v>
      </c>
      <c r="Q29" s="18" t="n">
        <v>0.70447437</v>
      </c>
      <c r="R29" s="20" t="n">
        <v>0.38583737</v>
      </c>
    </row>
    <row r="30" spans="1:18">
      <c r="A30" s="15" t="s">
        <v>372</v>
      </c>
      <c r="B30" s="17" t="n">
        <v>4520</v>
      </c>
      <c r="C30" s="18">
        <f>(3958.0/B30*100)</f>
        <v/>
      </c>
      <c r="D30" s="19" t="n">
        <v>562</v>
      </c>
      <c r="E30" s="18" t="n">
        <v>31.79682792</v>
      </c>
      <c r="F30" s="20" t="n">
        <v>2.12253964</v>
      </c>
      <c r="G30" s="18" t="n">
        <v>67.17505314</v>
      </c>
      <c r="H30" s="20" t="n">
        <v>2.15423386</v>
      </c>
      <c r="I30" s="18" t="s">
        <v>349</v>
      </c>
      <c r="J30" s="20" t="s">
        <v>349</v>
      </c>
      <c r="K30" s="18" t="n">
        <v>0.1615335</v>
      </c>
      <c r="L30" s="20" t="n">
        <v>0.16339154</v>
      </c>
      <c r="M30" s="18" t="n">
        <v>0</v>
      </c>
      <c r="N30" s="20" t="n">
        <v>0</v>
      </c>
      <c r="O30" s="18" t="n">
        <v>0</v>
      </c>
      <c r="P30" s="20" t="n">
        <v>0</v>
      </c>
      <c r="Q30" s="18" t="n">
        <v>0.86658544</v>
      </c>
      <c r="R30" s="20" t="n">
        <v>0.42057205</v>
      </c>
    </row>
    <row r="31" spans="1:18">
      <c r="A31" s="15" t="s">
        <v>373</v>
      </c>
      <c r="B31" s="17" t="n">
        <v>5456</v>
      </c>
      <c r="C31" s="18">
        <f>(4809.0/B31*100)</f>
        <v/>
      </c>
      <c r="D31" s="19" t="n">
        <v>647</v>
      </c>
      <c r="E31" s="18" t="n">
        <v>24.75514914</v>
      </c>
      <c r="F31" s="20" t="n">
        <v>1.84272803</v>
      </c>
      <c r="G31" s="18" t="n">
        <v>73.99886735</v>
      </c>
      <c r="H31" s="20" t="n">
        <v>1.87332916</v>
      </c>
      <c r="I31" s="18" t="s">
        <v>349</v>
      </c>
      <c r="J31" s="20" t="s">
        <v>349</v>
      </c>
      <c r="K31" s="18" t="n">
        <v>0.47087288</v>
      </c>
      <c r="L31" s="20" t="n">
        <v>0.17587931</v>
      </c>
      <c r="M31" s="18" t="n">
        <v>0</v>
      </c>
      <c r="N31" s="20" t="n">
        <v>0</v>
      </c>
      <c r="O31" s="18" t="n">
        <v>0</v>
      </c>
      <c r="P31" s="20" t="n">
        <v>0</v>
      </c>
      <c r="Q31" s="18" t="n">
        <v>0.77511064</v>
      </c>
      <c r="R31" s="20" t="n">
        <v>0.35485332</v>
      </c>
    </row>
    <row r="32" spans="1:18">
      <c r="A32" s="15" t="s">
        <v>374</v>
      </c>
      <c r="B32" s="17" t="n">
        <v>4478</v>
      </c>
      <c r="C32" s="18">
        <f>(3736.0/B32*100)</f>
        <v/>
      </c>
      <c r="D32" s="19" t="n">
        <v>742</v>
      </c>
      <c r="E32" s="18" t="n">
        <v>24.2962905</v>
      </c>
      <c r="F32" s="20" t="n">
        <v>1.61860659</v>
      </c>
      <c r="G32" s="18" t="n">
        <v>75.7037095</v>
      </c>
      <c r="H32" s="20" t="n">
        <v>1.61860659</v>
      </c>
      <c r="I32" s="18" t="s">
        <v>349</v>
      </c>
      <c r="J32" s="20" t="s">
        <v>349</v>
      </c>
      <c r="K32" s="18" t="n">
        <v>0</v>
      </c>
      <c r="L32" s="20" t="n">
        <v>0</v>
      </c>
      <c r="M32" s="18" t="n">
        <v>0</v>
      </c>
      <c r="N32" s="20" t="n">
        <v>0</v>
      </c>
      <c r="O32" s="18" t="n">
        <v>0</v>
      </c>
      <c r="P32" s="20" t="n">
        <v>0</v>
      </c>
      <c r="Q32" s="18" t="n">
        <v>0</v>
      </c>
      <c r="R32" s="20" t="n">
        <v>0</v>
      </c>
    </row>
    <row r="33" spans="1:18">
      <c r="A33" s="15" t="s">
        <v>375</v>
      </c>
      <c r="B33" s="17" t="n">
        <v>7325</v>
      </c>
      <c r="C33" s="18">
        <f>(6436.0/B33*100)</f>
        <v/>
      </c>
      <c r="D33" s="19" t="n">
        <v>889</v>
      </c>
      <c r="E33" s="18" t="n">
        <v>27.85923669</v>
      </c>
      <c r="F33" s="20" t="n">
        <v>1.83476959</v>
      </c>
      <c r="G33" s="18" t="n">
        <v>71.76839923999999</v>
      </c>
      <c r="H33" s="20" t="n">
        <v>1.85485283</v>
      </c>
      <c r="I33" s="18" t="s">
        <v>349</v>
      </c>
      <c r="J33" s="20" t="s">
        <v>349</v>
      </c>
      <c r="K33" s="18" t="n">
        <v>0.32725454</v>
      </c>
      <c r="L33" s="20" t="n">
        <v>0.22416933</v>
      </c>
      <c r="M33" s="18" t="n">
        <v>0</v>
      </c>
      <c r="N33" s="20" t="n">
        <v>0</v>
      </c>
      <c r="O33" s="18" t="n">
        <v>0</v>
      </c>
      <c r="P33" s="20" t="n">
        <v>0</v>
      </c>
      <c r="Q33" s="18" t="n">
        <v>0.04510953</v>
      </c>
      <c r="R33" s="20" t="n">
        <v>0.03378847</v>
      </c>
    </row>
    <row r="34" spans="1:18">
      <c r="A34" s="15" t="s">
        <v>376</v>
      </c>
      <c r="B34" s="17" t="n">
        <v>6350</v>
      </c>
      <c r="C34" s="18">
        <f>(5452.0/B34*100)</f>
        <v/>
      </c>
      <c r="D34" s="19" t="n">
        <v>898</v>
      </c>
      <c r="E34" s="18" t="n">
        <v>45.78327228</v>
      </c>
      <c r="F34" s="20" t="n">
        <v>2.2624536</v>
      </c>
      <c r="G34" s="18" t="n">
        <v>52.56155393</v>
      </c>
      <c r="H34" s="20" t="n">
        <v>2.36351533</v>
      </c>
      <c r="I34" s="18" t="s">
        <v>349</v>
      </c>
      <c r="J34" s="20" t="s">
        <v>349</v>
      </c>
      <c r="K34" s="18" t="n">
        <v>0.40357695</v>
      </c>
      <c r="L34" s="20" t="n">
        <v>0.23308135</v>
      </c>
      <c r="M34" s="18" t="n">
        <v>0</v>
      </c>
      <c r="N34" s="20" t="n">
        <v>0</v>
      </c>
      <c r="O34" s="18" t="n">
        <v>0</v>
      </c>
      <c r="P34" s="20" t="n">
        <v>0</v>
      </c>
      <c r="Q34" s="18" t="n">
        <v>1.25159684</v>
      </c>
      <c r="R34" s="20" t="n">
        <v>0.60848904</v>
      </c>
    </row>
    <row r="35" spans="1:18">
      <c r="A35" s="15" t="s">
        <v>377</v>
      </c>
      <c r="B35" s="17" t="n">
        <v>6406</v>
      </c>
      <c r="C35" s="18">
        <f>(5526.0/B35*100)</f>
        <v/>
      </c>
      <c r="D35" s="19" t="n">
        <v>880</v>
      </c>
      <c r="E35" s="18" t="n">
        <v>28.28341202</v>
      </c>
      <c r="F35" s="20" t="n">
        <v>1.59782242</v>
      </c>
      <c r="G35" s="18" t="n">
        <v>71.28232388000001</v>
      </c>
      <c r="H35" s="20" t="n">
        <v>1.60752777</v>
      </c>
      <c r="I35" s="18" t="s">
        <v>349</v>
      </c>
      <c r="J35" s="20" t="s">
        <v>349</v>
      </c>
      <c r="K35" s="18" t="n">
        <v>0</v>
      </c>
      <c r="L35" s="20" t="n">
        <v>0</v>
      </c>
      <c r="M35" s="18" t="n">
        <v>0</v>
      </c>
      <c r="N35" s="20" t="n">
        <v>0</v>
      </c>
      <c r="O35" s="18" t="n">
        <v>0</v>
      </c>
      <c r="P35" s="20" t="n">
        <v>0</v>
      </c>
      <c r="Q35" s="18" t="n">
        <v>0.4342641</v>
      </c>
      <c r="R35" s="20" t="n">
        <v>0.33599937</v>
      </c>
    </row>
    <row r="36" spans="1:18">
      <c r="A36" s="15" t="s">
        <v>378</v>
      </c>
      <c r="B36" s="17" t="n">
        <v>6736</v>
      </c>
      <c r="C36" s="18">
        <f>(5894.0/B36*100)</f>
        <v/>
      </c>
      <c r="D36" s="19" t="n">
        <v>842</v>
      </c>
      <c r="E36" s="18" t="n">
        <v>35.5101023</v>
      </c>
      <c r="F36" s="20" t="n">
        <v>1.91626891</v>
      </c>
      <c r="G36" s="18" t="n">
        <v>63.79952122</v>
      </c>
      <c r="H36" s="20" t="n">
        <v>1.94173434</v>
      </c>
      <c r="I36" s="18" t="s">
        <v>349</v>
      </c>
      <c r="J36" s="20" t="s">
        <v>349</v>
      </c>
      <c r="K36" s="18" t="n">
        <v>0.27646013</v>
      </c>
      <c r="L36" s="20" t="n">
        <v>0.16201845</v>
      </c>
      <c r="M36" s="18" t="n">
        <v>0</v>
      </c>
      <c r="N36" s="20" t="n">
        <v>0</v>
      </c>
      <c r="O36" s="18" t="n">
        <v>0</v>
      </c>
      <c r="P36" s="20" t="n">
        <v>0</v>
      </c>
      <c r="Q36" s="18" t="n">
        <v>0.41391635</v>
      </c>
      <c r="R36" s="20" t="n">
        <v>0.23691393</v>
      </c>
    </row>
    <row r="37" spans="1:18">
      <c r="A37" s="15" t="s">
        <v>379</v>
      </c>
      <c r="B37" s="17" t="n">
        <v>5458</v>
      </c>
      <c r="C37" s="18">
        <f>(4788.0/B37*100)</f>
        <v/>
      </c>
      <c r="D37" s="19" t="n">
        <v>670</v>
      </c>
      <c r="E37" s="18" t="n">
        <v>28.43848963</v>
      </c>
      <c r="F37" s="20" t="n">
        <v>2.02728782</v>
      </c>
      <c r="G37" s="18" t="n">
        <v>69.50455454999999</v>
      </c>
      <c r="H37" s="20" t="n">
        <v>2.02825045</v>
      </c>
      <c r="I37" s="18" t="s">
        <v>349</v>
      </c>
      <c r="J37" s="20" t="s">
        <v>349</v>
      </c>
      <c r="K37" s="18" t="n">
        <v>0.53379993</v>
      </c>
      <c r="L37" s="20" t="n">
        <v>0.31804547</v>
      </c>
      <c r="M37" s="18" t="n">
        <v>0</v>
      </c>
      <c r="N37" s="20" t="n">
        <v>0</v>
      </c>
      <c r="O37" s="18" t="n">
        <v>0</v>
      </c>
      <c r="P37" s="20" t="n">
        <v>0</v>
      </c>
      <c r="Q37" s="18" t="n">
        <v>1.52315588</v>
      </c>
      <c r="R37" s="20" t="n">
        <v>0.53041317</v>
      </c>
    </row>
    <row r="38" spans="1:18">
      <c r="A38" s="15" t="s">
        <v>380</v>
      </c>
      <c r="B38" s="17" t="n">
        <v>5860</v>
      </c>
      <c r="C38" s="18">
        <f>(4865.0/B38*100)</f>
        <v/>
      </c>
      <c r="D38" s="19" t="n">
        <v>995</v>
      </c>
      <c r="E38" s="18" t="n">
        <v>19.01921999</v>
      </c>
      <c r="F38" s="20" t="n">
        <v>1.57394779</v>
      </c>
      <c r="G38" s="18" t="n">
        <v>80.8357529</v>
      </c>
      <c r="H38" s="20" t="n">
        <v>1.56705652</v>
      </c>
      <c r="I38" s="18" t="s">
        <v>349</v>
      </c>
      <c r="J38" s="20" t="s">
        <v>349</v>
      </c>
      <c r="K38" s="18" t="n">
        <v>0</v>
      </c>
      <c r="L38" s="20" t="n">
        <v>0</v>
      </c>
      <c r="M38" s="18" t="n">
        <v>0</v>
      </c>
      <c r="N38" s="20" t="n">
        <v>0</v>
      </c>
      <c r="O38" s="18" t="n">
        <v>0</v>
      </c>
      <c r="P38" s="20" t="n">
        <v>0</v>
      </c>
      <c r="Q38" s="18" t="n">
        <v>0.14502711</v>
      </c>
      <c r="R38" s="20" t="n">
        <v>0.1317104</v>
      </c>
    </row>
    <row r="39" spans="1:18">
      <c r="A39" s="15" t="s">
        <v>381</v>
      </c>
      <c r="B39" s="17" t="n">
        <v>5895</v>
      </c>
      <c r="C39" s="18">
        <f>(5172.0/B39*100)</f>
        <v/>
      </c>
      <c r="D39" s="19" t="n">
        <v>723</v>
      </c>
      <c r="E39" s="18" t="n">
        <v>57.09730362</v>
      </c>
      <c r="F39" s="20" t="n">
        <v>2.05003318</v>
      </c>
      <c r="G39" s="18" t="n">
        <v>42.90269638</v>
      </c>
      <c r="H39" s="20" t="n">
        <v>2.05003318</v>
      </c>
      <c r="I39" s="18" t="s">
        <v>349</v>
      </c>
      <c r="J39" s="20" t="s">
        <v>349</v>
      </c>
      <c r="K39" s="18" t="n">
        <v>0</v>
      </c>
      <c r="L39" s="20" t="n">
        <v>0</v>
      </c>
      <c r="M39" s="18" t="n">
        <v>0</v>
      </c>
      <c r="N39" s="20" t="n">
        <v>0</v>
      </c>
      <c r="O39" s="18" t="n">
        <v>0</v>
      </c>
      <c r="P39" s="20" t="n">
        <v>0</v>
      </c>
      <c r="Q39" s="18" t="n">
        <v>0</v>
      </c>
      <c r="R39" s="20" t="n">
        <v>0</v>
      </c>
    </row>
    <row r="40" spans="1:18">
      <c r="A40" s="15" t="s">
        <v>382</v>
      </c>
      <c r="B40" s="17" t="n">
        <v>14157</v>
      </c>
      <c r="C40" s="18">
        <f>(12447.0/B40*100)</f>
        <v/>
      </c>
      <c r="D40" s="19" t="n">
        <v>1710</v>
      </c>
      <c r="E40" s="18" t="n">
        <v>31.66840635</v>
      </c>
      <c r="F40" s="20" t="n">
        <v>1.74058697</v>
      </c>
      <c r="G40" s="18" t="n">
        <v>67.23752954</v>
      </c>
      <c r="H40" s="20" t="n">
        <v>1.76379404</v>
      </c>
      <c r="I40" s="18" t="s">
        <v>349</v>
      </c>
      <c r="J40" s="20" t="s">
        <v>349</v>
      </c>
      <c r="K40" s="18" t="n">
        <v>0.12521578</v>
      </c>
      <c r="L40" s="20" t="n">
        <v>0.15704389</v>
      </c>
      <c r="M40" s="18" t="n">
        <v>0</v>
      </c>
      <c r="N40" s="20" t="n">
        <v>0</v>
      </c>
      <c r="O40" s="18" t="n">
        <v>0</v>
      </c>
      <c r="P40" s="20" t="n">
        <v>0</v>
      </c>
      <c r="Q40" s="18" t="n">
        <v>0.96884833</v>
      </c>
      <c r="R40" s="20" t="n">
        <v>0.38472301</v>
      </c>
    </row>
    <row r="41" spans="1:18">
      <c r="A41" s="15" t="s">
        <v>383</v>
      </c>
      <c r="B41" s="17" t="n">
        <v>5712</v>
      </c>
      <c r="C41" s="18">
        <f>(4980.0/B41*100)</f>
        <v/>
      </c>
      <c r="D41" s="19" t="n">
        <v>732</v>
      </c>
      <c r="E41" s="18" t="n">
        <v>41.52595232</v>
      </c>
      <c r="F41" s="20" t="n">
        <v>1.90064219</v>
      </c>
      <c r="G41" s="18" t="n">
        <v>57.92878944</v>
      </c>
      <c r="H41" s="20" t="n">
        <v>1.98142814</v>
      </c>
      <c r="I41" s="18" t="s">
        <v>349</v>
      </c>
      <c r="J41" s="20" t="s">
        <v>349</v>
      </c>
      <c r="K41" s="18" t="n">
        <v>0.13038043</v>
      </c>
      <c r="L41" s="20" t="n">
        <v>0.12617809</v>
      </c>
      <c r="M41" s="18" t="n">
        <v>0</v>
      </c>
      <c r="N41" s="20" t="n">
        <v>0</v>
      </c>
      <c r="O41" s="18" t="n">
        <v>0</v>
      </c>
      <c r="P41" s="20" t="n">
        <v>0</v>
      </c>
      <c r="Q41" s="18" t="n">
        <v>0.41487781</v>
      </c>
      <c r="R41" s="20" t="n">
        <v>0.24211929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(20439.0/B46*100)</f>
        <v/>
      </c>
      <c r="D46" s="19" t="n">
        <v>2702</v>
      </c>
      <c r="E46" s="18" t="n">
        <v>68.80242555</v>
      </c>
      <c r="F46" s="20" t="n">
        <v>1.35568751</v>
      </c>
      <c r="G46" s="18" t="n">
        <v>28.99102551</v>
      </c>
      <c r="H46" s="20" t="n">
        <v>1.36592569</v>
      </c>
      <c r="I46" s="18" t="s">
        <v>349</v>
      </c>
      <c r="J46" s="20" t="s">
        <v>349</v>
      </c>
      <c r="K46" s="18" t="n">
        <v>0.49594316</v>
      </c>
      <c r="L46" s="20" t="n">
        <v>0.16911536</v>
      </c>
      <c r="M46" s="18" t="n">
        <v>0</v>
      </c>
      <c r="N46" s="20" t="n">
        <v>0</v>
      </c>
      <c r="O46" s="18" t="n">
        <v>0</v>
      </c>
      <c r="P46" s="20" t="n">
        <v>0</v>
      </c>
      <c r="Q46" s="18" t="n">
        <v>1.71060577</v>
      </c>
      <c r="R46" s="20" t="n">
        <v>0.32125269</v>
      </c>
    </row>
    <row r="47" spans="1:18">
      <c r="A47" s="15" t="s">
        <v>389</v>
      </c>
      <c r="B47" s="17" t="n">
        <v>5928</v>
      </c>
      <c r="C47" s="18">
        <f>(5217.0/B47*100)</f>
        <v/>
      </c>
      <c r="D47" s="19" t="n">
        <v>711</v>
      </c>
      <c r="E47" s="18" t="n">
        <v>47.60879843</v>
      </c>
      <c r="F47" s="20" t="n">
        <v>2.17388619</v>
      </c>
      <c r="G47" s="18" t="n">
        <v>51.71544147</v>
      </c>
      <c r="H47" s="20" t="n">
        <v>2.17692377</v>
      </c>
      <c r="I47" s="18" t="s">
        <v>349</v>
      </c>
      <c r="J47" s="20" t="s">
        <v>349</v>
      </c>
      <c r="K47" s="18" t="n">
        <v>0.26887289</v>
      </c>
      <c r="L47" s="20" t="n">
        <v>0.18616434</v>
      </c>
      <c r="M47" s="18" t="n">
        <v>0</v>
      </c>
      <c r="N47" s="20" t="n">
        <v>0</v>
      </c>
      <c r="O47" s="18" t="n">
        <v>0</v>
      </c>
      <c r="P47" s="20" t="n">
        <v>0</v>
      </c>
      <c r="Q47" s="18" t="n">
        <v>0.40688721</v>
      </c>
      <c r="R47" s="20" t="n">
        <v>0.2330967</v>
      </c>
    </row>
    <row r="48" spans="1:18">
      <c r="A48" s="15" t="s">
        <v>390</v>
      </c>
      <c r="B48" s="17" t="n">
        <v>9841</v>
      </c>
      <c r="C48" s="18">
        <f>(8625.0/B48*100)</f>
        <v/>
      </c>
      <c r="D48" s="19" t="n">
        <v>1216</v>
      </c>
      <c r="E48" s="18" t="n">
        <v>21.12213472</v>
      </c>
      <c r="F48" s="20" t="n">
        <v>1.63277739</v>
      </c>
      <c r="G48" s="18" t="n">
        <v>78.00081296</v>
      </c>
      <c r="H48" s="20" t="n">
        <v>1.66210303</v>
      </c>
      <c r="I48" s="18" t="s">
        <v>349</v>
      </c>
      <c r="J48" s="20" t="s">
        <v>349</v>
      </c>
      <c r="K48" s="18" t="n">
        <v>0.49554632</v>
      </c>
      <c r="L48" s="20" t="n">
        <v>0.24885773</v>
      </c>
      <c r="M48" s="18" t="n">
        <v>0</v>
      </c>
      <c r="N48" s="20" t="n">
        <v>0</v>
      </c>
      <c r="O48" s="18" t="n">
        <v>0</v>
      </c>
      <c r="P48" s="20" t="n">
        <v>0</v>
      </c>
      <c r="Q48" s="18" t="n">
        <v>0.381506</v>
      </c>
      <c r="R48" s="20" t="n">
        <v>0.22507141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(10350.0/B50*100)</f>
        <v/>
      </c>
      <c r="D50" s="19" t="n">
        <v>1445</v>
      </c>
      <c r="E50" s="18" t="n">
        <v>63.70089655</v>
      </c>
      <c r="F50" s="20" t="n">
        <v>1.65827376</v>
      </c>
      <c r="G50" s="18" t="n">
        <v>35.06799328</v>
      </c>
      <c r="H50" s="20" t="n">
        <v>1.62788259</v>
      </c>
      <c r="I50" s="18" t="s">
        <v>349</v>
      </c>
      <c r="J50" s="20" t="s">
        <v>349</v>
      </c>
      <c r="K50" s="18" t="n">
        <v>0.84965967</v>
      </c>
      <c r="L50" s="20" t="n">
        <v>0.33467322</v>
      </c>
      <c r="M50" s="18" t="n">
        <v>0</v>
      </c>
      <c r="N50" s="20" t="n">
        <v>0</v>
      </c>
      <c r="O50" s="18" t="n">
        <v>0</v>
      </c>
      <c r="P50" s="20" t="n">
        <v>0</v>
      </c>
      <c r="Q50" s="18" t="n">
        <v>0.38145051</v>
      </c>
      <c r="R50" s="20" t="n">
        <v>0.21858618</v>
      </c>
    </row>
    <row r="51" spans="1:18">
      <c r="A51" s="15" t="s">
        <v>393</v>
      </c>
      <c r="B51" s="17" t="n">
        <v>6866</v>
      </c>
      <c r="C51" s="18">
        <f>(5430.0/B51*100)</f>
        <v/>
      </c>
      <c r="D51" s="19" t="n">
        <v>1436</v>
      </c>
      <c r="E51" s="18" t="n">
        <v>64.17575874000001</v>
      </c>
      <c r="F51" s="20" t="n">
        <v>1.6402719</v>
      </c>
      <c r="G51" s="18" t="n">
        <v>34.62044812</v>
      </c>
      <c r="H51" s="20" t="n">
        <v>1.6718421</v>
      </c>
      <c r="I51" s="18" t="s">
        <v>349</v>
      </c>
      <c r="J51" s="20" t="s">
        <v>349</v>
      </c>
      <c r="K51" s="18" t="n">
        <v>0.29138418</v>
      </c>
      <c r="L51" s="20" t="n">
        <v>0.14397988</v>
      </c>
      <c r="M51" s="18" t="n">
        <v>0</v>
      </c>
      <c r="N51" s="20" t="n">
        <v>0</v>
      </c>
      <c r="O51" s="18" t="n">
        <v>0</v>
      </c>
      <c r="P51" s="20" t="n">
        <v>0</v>
      </c>
      <c r="Q51" s="18" t="n">
        <v>0.91240896</v>
      </c>
      <c r="R51" s="20" t="n">
        <v>0.28822591</v>
      </c>
    </row>
    <row r="52" spans="1:18">
      <c r="A52" s="15" t="s">
        <v>394</v>
      </c>
      <c r="B52" s="17" t="n">
        <v>5809</v>
      </c>
      <c r="C52" s="18">
        <f>(5098.0/B52*100)</f>
        <v/>
      </c>
      <c r="D52" s="19" t="n">
        <v>711</v>
      </c>
      <c r="E52" s="18" t="n">
        <v>38.3284778</v>
      </c>
      <c r="F52" s="20" t="n">
        <v>1.77946778</v>
      </c>
      <c r="G52" s="18" t="n">
        <v>61.33315314</v>
      </c>
      <c r="H52" s="20" t="n">
        <v>1.78124128</v>
      </c>
      <c r="I52" s="18" t="s">
        <v>349</v>
      </c>
      <c r="J52" s="20" t="s">
        <v>349</v>
      </c>
      <c r="K52" s="18" t="n">
        <v>0</v>
      </c>
      <c r="L52" s="20" t="n">
        <v>0</v>
      </c>
      <c r="M52" s="18" t="n">
        <v>0</v>
      </c>
      <c r="N52" s="20" t="n">
        <v>0</v>
      </c>
      <c r="O52" s="18" t="n">
        <v>0</v>
      </c>
      <c r="P52" s="20" t="n">
        <v>0</v>
      </c>
      <c r="Q52" s="18" t="n">
        <v>0.33836905</v>
      </c>
      <c r="R52" s="20" t="n">
        <v>0.23731387</v>
      </c>
    </row>
    <row r="53" spans="1:18">
      <c r="A53" s="15" t="s">
        <v>395</v>
      </c>
      <c r="B53" s="17" t="n">
        <v>5571</v>
      </c>
      <c r="C53" s="18">
        <f>(4876.0/B53*100)</f>
        <v/>
      </c>
      <c r="D53" s="19" t="n">
        <v>695</v>
      </c>
      <c r="E53" s="18" t="n">
        <v>49.85198006</v>
      </c>
      <c r="F53" s="20" t="n">
        <v>1.97798444</v>
      </c>
      <c r="G53" s="18" t="n">
        <v>48.93324992</v>
      </c>
      <c r="H53" s="20" t="n">
        <v>2.00322675</v>
      </c>
      <c r="I53" s="18" t="s">
        <v>349</v>
      </c>
      <c r="J53" s="20" t="s">
        <v>349</v>
      </c>
      <c r="K53" s="18" t="n">
        <v>0.44086332</v>
      </c>
      <c r="L53" s="20" t="n">
        <v>0.30903742</v>
      </c>
      <c r="M53" s="18" t="n">
        <v>0</v>
      </c>
      <c r="N53" s="20" t="n">
        <v>0</v>
      </c>
      <c r="O53" s="18" t="n">
        <v>0</v>
      </c>
      <c r="P53" s="20" t="n">
        <v>0</v>
      </c>
      <c r="Q53" s="18" t="n">
        <v>0.7739066999999999</v>
      </c>
      <c r="R53" s="20" t="n">
        <v>0.36339447</v>
      </c>
    </row>
    <row r="54" spans="1:18">
      <c r="A54" s="15" t="s">
        <v>396</v>
      </c>
      <c r="B54" s="17" t="n">
        <v>4740</v>
      </c>
      <c r="C54" s="18">
        <f>(3965.0/B54*100)</f>
        <v/>
      </c>
      <c r="D54" s="19" t="n">
        <v>775</v>
      </c>
      <c r="E54" s="18" t="n">
        <v>77.58510293000001</v>
      </c>
      <c r="F54" s="20" t="n">
        <v>1.70792171</v>
      </c>
      <c r="G54" s="18" t="n">
        <v>15.68339845</v>
      </c>
      <c r="H54" s="20" t="n">
        <v>1.2518211</v>
      </c>
      <c r="I54" s="18" t="s">
        <v>349</v>
      </c>
      <c r="J54" s="20" t="s">
        <v>349</v>
      </c>
      <c r="K54" s="18" t="n">
        <v>4.34992989</v>
      </c>
      <c r="L54" s="20" t="n">
        <v>0.84867079</v>
      </c>
      <c r="M54" s="18" t="n">
        <v>0</v>
      </c>
      <c r="N54" s="20" t="n">
        <v>0</v>
      </c>
      <c r="O54" s="18" t="n">
        <v>0</v>
      </c>
      <c r="P54" s="20" t="n">
        <v>0</v>
      </c>
      <c r="Q54" s="18" t="n">
        <v>2.38156873</v>
      </c>
      <c r="R54" s="20" t="n">
        <v>0.60847345</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20.60470952</v>
      </c>
      <c r="F56" s="20" t="n">
        <v>1.41771973</v>
      </c>
      <c r="G56" s="18" t="n">
        <v>79.39529048</v>
      </c>
      <c r="H56" s="20" t="n">
        <v>1.41771973</v>
      </c>
      <c r="I56" s="18" t="s">
        <v>349</v>
      </c>
      <c r="J56" s="20" t="s">
        <v>349</v>
      </c>
      <c r="K56" s="18" t="n">
        <v>0</v>
      </c>
      <c r="L56" s="20" t="n">
        <v>0</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(5703.0/B61*100)</f>
        <v/>
      </c>
      <c r="D61" s="19" t="n">
        <v>822</v>
      </c>
      <c r="E61" s="18" t="n">
        <v>26.87209167</v>
      </c>
      <c r="F61" s="20" t="n">
        <v>1.69979607</v>
      </c>
      <c r="G61" s="18" t="n">
        <v>72.48726909</v>
      </c>
      <c r="H61" s="20" t="n">
        <v>1.7341771</v>
      </c>
      <c r="I61" s="18" t="s">
        <v>349</v>
      </c>
      <c r="J61" s="20" t="s">
        <v>349</v>
      </c>
      <c r="K61" s="18" t="n">
        <v>0.35678322</v>
      </c>
      <c r="L61" s="20" t="n">
        <v>0.35098483</v>
      </c>
      <c r="M61" s="18" t="n">
        <v>0</v>
      </c>
      <c r="N61" s="20" t="n">
        <v>0</v>
      </c>
      <c r="O61" s="18" t="n">
        <v>0</v>
      </c>
      <c r="P61" s="20" t="n">
        <v>0</v>
      </c>
      <c r="Q61" s="18" t="n">
        <v>0.28385602</v>
      </c>
      <c r="R61" s="20" t="n">
        <v>0.17584842</v>
      </c>
    </row>
    <row r="62" spans="1:18">
      <c r="A62" s="15" t="s">
        <v>404</v>
      </c>
      <c r="B62" s="17" t="n">
        <v>4476</v>
      </c>
      <c r="C62" s="18">
        <f>(3919.0/B62*100)</f>
        <v/>
      </c>
      <c r="D62" s="19" t="n">
        <v>557</v>
      </c>
      <c r="E62" s="18" t="n">
        <v>17.82236886</v>
      </c>
      <c r="F62" s="20" t="n">
        <v>1.85634378</v>
      </c>
      <c r="G62" s="18" t="n">
        <v>82.17763114</v>
      </c>
      <c r="H62" s="20" t="n">
        <v>1.85634378</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(4979.0/B66*100)</f>
        <v/>
      </c>
      <c r="D66" s="19" t="n">
        <v>686</v>
      </c>
      <c r="E66" s="18" t="n">
        <v>48.80867781</v>
      </c>
      <c r="F66" s="20" t="n">
        <v>2.12031285</v>
      </c>
      <c r="G66" s="18" t="n">
        <v>49.92700956</v>
      </c>
      <c r="H66" s="20" t="n">
        <v>2.12002077</v>
      </c>
      <c r="I66" s="18" t="s">
        <v>349</v>
      </c>
      <c r="J66" s="20" t="s">
        <v>349</v>
      </c>
      <c r="K66" s="18" t="n">
        <v>0.33205866</v>
      </c>
      <c r="L66" s="20" t="n">
        <v>0.23599648</v>
      </c>
      <c r="M66" s="18" t="n">
        <v>0</v>
      </c>
      <c r="N66" s="20" t="n">
        <v>0</v>
      </c>
      <c r="O66" s="18" t="n">
        <v>0</v>
      </c>
      <c r="P66" s="20" t="n">
        <v>0</v>
      </c>
      <c r="Q66" s="18" t="n">
        <v>0.93225397</v>
      </c>
      <c r="R66" s="20" t="n">
        <v>0.34682219</v>
      </c>
    </row>
    <row r="67" spans="1:18">
      <c r="A67" s="15" t="s">
        <v>409</v>
      </c>
      <c r="B67" s="17" t="n">
        <v>6971</v>
      </c>
      <c r="C67" s="18">
        <f>(6140.0/B67*100)</f>
        <v/>
      </c>
      <c r="D67" s="19" t="n">
        <v>831</v>
      </c>
      <c r="E67" s="18" t="n">
        <v>63.90161199</v>
      </c>
      <c r="F67" s="20" t="n">
        <v>1.69707714</v>
      </c>
      <c r="G67" s="18" t="n">
        <v>35.11640854</v>
      </c>
      <c r="H67" s="20" t="n">
        <v>1.75188487</v>
      </c>
      <c r="I67" s="18" t="s">
        <v>349</v>
      </c>
      <c r="J67" s="20" t="s">
        <v>349</v>
      </c>
      <c r="K67" s="18" t="n">
        <v>0</v>
      </c>
      <c r="L67" s="20" t="n">
        <v>0</v>
      </c>
      <c r="M67" s="18" t="n">
        <v>0</v>
      </c>
      <c r="N67" s="20" t="n">
        <v>0</v>
      </c>
      <c r="O67" s="18" t="n">
        <v>0</v>
      </c>
      <c r="P67" s="20" t="n">
        <v>0</v>
      </c>
      <c r="Q67" s="18" t="n">
        <v>0.98197947</v>
      </c>
      <c r="R67" s="20" t="n">
        <v>0.35317962</v>
      </c>
    </row>
    <row r="68" spans="1:18">
      <c r="A68" s="15" t="s">
        <v>410</v>
      </c>
      <c r="B68" s="17" t="n">
        <v>12083</v>
      </c>
      <c r="C68" s="18">
        <f>(10085.0/B68*100)</f>
        <v/>
      </c>
      <c r="D68" s="19" t="n">
        <v>1998</v>
      </c>
      <c r="E68" s="18" t="n">
        <v>56.07381242</v>
      </c>
      <c r="F68" s="20" t="n">
        <v>1.0874424</v>
      </c>
      <c r="G68" s="18" t="n">
        <v>42.11973525</v>
      </c>
      <c r="H68" s="20" t="n">
        <v>1.0897368</v>
      </c>
      <c r="I68" s="18" t="s">
        <v>349</v>
      </c>
      <c r="J68" s="20" t="s">
        <v>349</v>
      </c>
      <c r="K68" s="18" t="n">
        <v>1.06731089</v>
      </c>
      <c r="L68" s="20" t="n">
        <v>0.2405702</v>
      </c>
      <c r="M68" s="18" t="n">
        <v>0</v>
      </c>
      <c r="N68" s="20" t="n">
        <v>0</v>
      </c>
      <c r="O68" s="18" t="n">
        <v>0</v>
      </c>
      <c r="P68" s="20" t="n">
        <v>0</v>
      </c>
      <c r="Q68" s="18" t="n">
        <v>0.73914144</v>
      </c>
      <c r="R68" s="20" t="n">
        <v>0.18891283</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(5289.0/B70*100)</f>
        <v/>
      </c>
      <c r="D70" s="19" t="n">
        <v>747</v>
      </c>
      <c r="E70" s="18" t="n">
        <v>34.52333494</v>
      </c>
      <c r="F70" s="20" t="n">
        <v>2.16405233</v>
      </c>
      <c r="G70" s="18" t="n">
        <v>65.07596533</v>
      </c>
      <c r="H70" s="20" t="n">
        <v>2.21696659</v>
      </c>
      <c r="I70" s="18" t="s">
        <v>349</v>
      </c>
      <c r="J70" s="20" t="s">
        <v>349</v>
      </c>
      <c r="K70" s="18" t="n">
        <v>0.10488209</v>
      </c>
      <c r="L70" s="20" t="n">
        <v>0.10432708</v>
      </c>
      <c r="M70" s="18" t="n">
        <v>0</v>
      </c>
      <c r="N70" s="20" t="n">
        <v>0</v>
      </c>
      <c r="O70" s="18" t="n">
        <v>0</v>
      </c>
      <c r="P70" s="20" t="n">
        <v>0</v>
      </c>
      <c r="Q70" s="18" t="n">
        <v>0.29581764</v>
      </c>
      <c r="R70" s="20" t="n">
        <v>0.2250913</v>
      </c>
    </row>
    <row r="71" spans="1:18">
      <c r="A71" s="15" t="s">
        <v>413</v>
      </c>
      <c r="B71" s="17" t="n">
        <v>6115</v>
      </c>
      <c r="C71" s="18">
        <f>(5348.0/B71*100)</f>
        <v/>
      </c>
      <c r="D71" s="19" t="n">
        <v>767</v>
      </c>
      <c r="E71" s="18" t="n">
        <v>17.55992752</v>
      </c>
      <c r="F71" s="20" t="n">
        <v>1.47124437</v>
      </c>
      <c r="G71" s="18" t="n">
        <v>82.21344825</v>
      </c>
      <c r="H71" s="20" t="n">
        <v>1.51037103</v>
      </c>
      <c r="I71" s="18" t="s">
        <v>349</v>
      </c>
      <c r="J71" s="20" t="s">
        <v>349</v>
      </c>
      <c r="K71" s="18" t="n">
        <v>0.22662423</v>
      </c>
      <c r="L71" s="20" t="n">
        <v>0.16720832</v>
      </c>
      <c r="M71" s="18" t="n">
        <v>0</v>
      </c>
      <c r="N71" s="20" t="n">
        <v>0</v>
      </c>
      <c r="O71" s="18" t="n">
        <v>0</v>
      </c>
      <c r="P71" s="20" t="n">
        <v>0</v>
      </c>
      <c r="Q71" s="18" t="n">
        <v>0</v>
      </c>
      <c r="R71" s="20" t="n">
        <v>0</v>
      </c>
    </row>
    <row r="72" spans="1:18">
      <c r="A72" s="15" t="s">
        <v>414</v>
      </c>
      <c r="B72" s="17" t="n">
        <v>7708</v>
      </c>
      <c r="C72" s="18">
        <f>(6750.0/B72*100)</f>
        <v/>
      </c>
      <c r="D72" s="19" t="n">
        <v>958</v>
      </c>
      <c r="E72" s="18" t="n">
        <v>21.20521192</v>
      </c>
      <c r="F72" s="20" t="n">
        <v>1.56895112</v>
      </c>
      <c r="G72" s="18" t="n">
        <v>78.53336075</v>
      </c>
      <c r="H72" s="20" t="n">
        <v>1.57997122</v>
      </c>
      <c r="I72" s="18" t="s">
        <v>349</v>
      </c>
      <c r="J72" s="20" t="s">
        <v>349</v>
      </c>
      <c r="K72" s="18" t="n">
        <v>0.11200161</v>
      </c>
      <c r="L72" s="20" t="n">
        <v>0.11201577</v>
      </c>
      <c r="M72" s="18" t="n">
        <v>0</v>
      </c>
      <c r="N72" s="20" t="n">
        <v>0</v>
      </c>
      <c r="O72" s="18" t="n">
        <v>0</v>
      </c>
      <c r="P72" s="20" t="n">
        <v>0</v>
      </c>
      <c r="Q72" s="18" t="n">
        <v>0.14942572</v>
      </c>
      <c r="R72" s="20" t="n">
        <v>0.1067365</v>
      </c>
    </row>
    <row r="73" spans="1:18">
      <c r="A73" s="15" t="s">
        <v>415</v>
      </c>
      <c r="B73" s="17" t="n">
        <v>8249</v>
      </c>
      <c r="C73" s="18">
        <f>(7255.0/B73*100)</f>
        <v/>
      </c>
      <c r="D73" s="19" t="n">
        <v>994</v>
      </c>
      <c r="E73" s="18" t="n">
        <v>55.8771546</v>
      </c>
      <c r="F73" s="20" t="n">
        <v>1.98356487</v>
      </c>
      <c r="G73" s="18" t="n">
        <v>43.61457096</v>
      </c>
      <c r="H73" s="20" t="n">
        <v>1.983759</v>
      </c>
      <c r="I73" s="18" t="s">
        <v>349</v>
      </c>
      <c r="J73" s="20" t="s">
        <v>349</v>
      </c>
      <c r="K73" s="18" t="n">
        <v>0</v>
      </c>
      <c r="L73" s="20" t="n">
        <v>0</v>
      </c>
      <c r="M73" s="18" t="n">
        <v>0</v>
      </c>
      <c r="N73" s="20" t="n">
        <v>0</v>
      </c>
      <c r="O73" s="18" t="n">
        <v>0</v>
      </c>
      <c r="P73" s="20" t="n">
        <v>0</v>
      </c>
      <c r="Q73" s="18" t="n">
        <v>0.50827444</v>
      </c>
      <c r="R73" s="20" t="n">
        <v>0.2738848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(4750.0/B75*100)</f>
        <v/>
      </c>
      <c r="D75" s="19" t="n">
        <v>625</v>
      </c>
      <c r="E75" s="18" t="n">
        <v>50.7263881</v>
      </c>
      <c r="F75" s="20" t="n">
        <v>2.27163261</v>
      </c>
      <c r="G75" s="18" t="n">
        <v>46.78329419</v>
      </c>
      <c r="H75" s="20" t="n">
        <v>2.20607682</v>
      </c>
      <c r="I75" s="18" t="s">
        <v>349</v>
      </c>
      <c r="J75" s="20" t="s">
        <v>349</v>
      </c>
      <c r="K75" s="18" t="n">
        <v>1.57695053</v>
      </c>
      <c r="L75" s="20" t="n">
        <v>0.49675617</v>
      </c>
      <c r="M75" s="18" t="n">
        <v>0</v>
      </c>
      <c r="N75" s="20" t="n">
        <v>0</v>
      </c>
      <c r="O75" s="18" t="n">
        <v>0</v>
      </c>
      <c r="P75" s="20" t="n">
        <v>0</v>
      </c>
      <c r="Q75" s="18" t="n">
        <v>0.9133671799999999</v>
      </c>
      <c r="R75" s="20" t="n">
        <v>0.36024753</v>
      </c>
    </row>
    <row r="76" spans="1:18">
      <c r="A76" s="15" t="s">
        <v>418</v>
      </c>
      <c r="B76" s="17" t="n">
        <v>14167</v>
      </c>
      <c r="C76" s="18">
        <f>(12415.0/B76*100)</f>
        <v/>
      </c>
      <c r="D76" s="19" t="n">
        <v>1752</v>
      </c>
      <c r="E76" s="18" t="n">
        <v>48.78393289</v>
      </c>
      <c r="F76" s="20" t="n">
        <v>1.64633377</v>
      </c>
      <c r="G76" s="18" t="n">
        <v>50.65801813</v>
      </c>
      <c r="H76" s="20" t="n">
        <v>1.62273475</v>
      </c>
      <c r="I76" s="18" t="s">
        <v>349</v>
      </c>
      <c r="J76" s="20" t="s">
        <v>349</v>
      </c>
      <c r="K76" s="18" t="n">
        <v>0.14162778</v>
      </c>
      <c r="L76" s="20" t="n">
        <v>0.09508338</v>
      </c>
      <c r="M76" s="18" t="n">
        <v>0</v>
      </c>
      <c r="N76" s="20" t="n">
        <v>0</v>
      </c>
      <c r="O76" s="18" t="n">
        <v>0</v>
      </c>
      <c r="P76" s="20" t="n">
        <v>0</v>
      </c>
      <c r="Q76" s="18" t="n">
        <v>0.4164212</v>
      </c>
      <c r="R76" s="20" t="n">
        <v>0.19414318</v>
      </c>
    </row>
    <row r="77" spans="1:18">
      <c r="A77" s="15" t="s">
        <v>419</v>
      </c>
      <c r="B77" s="17" t="n">
        <v>6062</v>
      </c>
      <c r="C77" s="18">
        <f>(5305.0/B77*100)</f>
        <v/>
      </c>
      <c r="D77" s="19" t="n">
        <v>757</v>
      </c>
      <c r="E77" s="18" t="n">
        <v>54.07021917</v>
      </c>
      <c r="F77" s="20" t="n">
        <v>2.18233035</v>
      </c>
      <c r="G77" s="18" t="n">
        <v>43.97361089</v>
      </c>
      <c r="H77" s="20" t="n">
        <v>2.16996027</v>
      </c>
      <c r="I77" s="18" t="s">
        <v>349</v>
      </c>
      <c r="J77" s="20" t="s">
        <v>349</v>
      </c>
      <c r="K77" s="18" t="n">
        <v>0.59577727</v>
      </c>
      <c r="L77" s="20" t="n">
        <v>0.33663679</v>
      </c>
      <c r="M77" s="18" t="n">
        <v>0</v>
      </c>
      <c r="N77" s="20" t="n">
        <v>0</v>
      </c>
      <c r="O77" s="18" t="n">
        <v>0</v>
      </c>
      <c r="P77" s="20" t="n">
        <v>0</v>
      </c>
      <c r="Q77" s="18" t="n">
        <v>1.36039267</v>
      </c>
      <c r="R77" s="20" t="n">
        <v>0.39195639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(7756.0/B81*100)</f>
        <v/>
      </c>
      <c r="D81" s="19" t="n">
        <v>1105</v>
      </c>
      <c r="E81" s="18" t="n">
        <v>36.7685677</v>
      </c>
      <c r="F81" s="20" t="n">
        <v>1.79357223</v>
      </c>
      <c r="G81" s="18" t="n">
        <v>62.60071281</v>
      </c>
      <c r="H81" s="20" t="n">
        <v>1.78150549</v>
      </c>
      <c r="I81" s="18" t="s">
        <v>349</v>
      </c>
      <c r="J81" s="20" t="s">
        <v>349</v>
      </c>
      <c r="K81" s="18" t="n">
        <v>0</v>
      </c>
      <c r="L81" s="20" t="n">
        <v>0</v>
      </c>
      <c r="M81" s="18" t="n">
        <v>0</v>
      </c>
      <c r="N81" s="20" t="n">
        <v>0</v>
      </c>
      <c r="O81" s="18" t="n">
        <v>0</v>
      </c>
      <c r="P81" s="20" t="n">
        <v>0</v>
      </c>
      <c r="Q81" s="18" t="n">
        <v>0.63071949</v>
      </c>
      <c r="R81" s="20" t="n">
        <v>0.26535341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(12703.0/B7*100)</f>
        <v/>
      </c>
      <c r="D7" s="19" t="n">
        <v>1827</v>
      </c>
      <c r="E7" s="18" t="n">
        <v>67.44229860999999</v>
      </c>
      <c r="F7" s="20" t="n">
        <v>1.49784957</v>
      </c>
      <c r="G7" s="18" t="n">
        <v>31.83424434</v>
      </c>
      <c r="H7" s="20" t="n">
        <v>1.4960811</v>
      </c>
      <c r="I7" s="18" t="s">
        <v>349</v>
      </c>
      <c r="J7" s="20" t="s">
        <v>349</v>
      </c>
      <c r="K7" s="18" t="n">
        <v>0.18554212</v>
      </c>
      <c r="L7" s="20" t="n">
        <v>0.10689184</v>
      </c>
      <c r="M7" s="18" t="n">
        <v>0</v>
      </c>
      <c r="N7" s="20" t="n">
        <v>0</v>
      </c>
      <c r="O7" s="18" t="n">
        <v>0</v>
      </c>
      <c r="P7" s="20" t="n">
        <v>0</v>
      </c>
      <c r="Q7" s="18" t="n">
        <v>0.53791493</v>
      </c>
      <c r="R7" s="20" t="n">
        <v>0.17616726</v>
      </c>
    </row>
    <row r="8" spans="1:18">
      <c r="A8" s="15" t="s">
        <v>350</v>
      </c>
      <c r="B8" s="17" t="n">
        <v>7007</v>
      </c>
      <c r="C8" s="18">
        <f>(6120.0/B8*100)</f>
        <v/>
      </c>
      <c r="D8" s="19" t="n">
        <v>887</v>
      </c>
      <c r="E8" s="18" t="n">
        <v>73.14594338000001</v>
      </c>
      <c r="F8" s="20" t="n">
        <v>1.57938629</v>
      </c>
      <c r="G8" s="18" t="n">
        <v>24.88110626</v>
      </c>
      <c r="H8" s="20" t="n">
        <v>1.49914042</v>
      </c>
      <c r="I8" s="18" t="s">
        <v>349</v>
      </c>
      <c r="J8" s="20" t="s">
        <v>349</v>
      </c>
      <c r="K8" s="18" t="n">
        <v>0.32057804</v>
      </c>
      <c r="L8" s="20" t="n">
        <v>0.28083624</v>
      </c>
      <c r="M8" s="18" t="n">
        <v>0</v>
      </c>
      <c r="N8" s="20" t="n">
        <v>0</v>
      </c>
      <c r="O8" s="18" t="n">
        <v>0</v>
      </c>
      <c r="P8" s="20" t="n">
        <v>0</v>
      </c>
      <c r="Q8" s="18" t="n">
        <v>1.65237232</v>
      </c>
      <c r="R8" s="20" t="n">
        <v>0.44424388</v>
      </c>
    </row>
    <row r="9" spans="1:18">
      <c r="A9" s="15" t="s">
        <v>351</v>
      </c>
      <c r="B9" s="17" t="n">
        <v>9651</v>
      </c>
      <c r="C9" s="18">
        <f>(8243.0/B9*100)</f>
        <v/>
      </c>
      <c r="D9" s="19" t="n">
        <v>1408</v>
      </c>
      <c r="E9" s="18" t="n">
        <v>61.01491462</v>
      </c>
      <c r="F9" s="20" t="n">
        <v>1.59685665</v>
      </c>
      <c r="G9" s="18" t="n">
        <v>36.36167449</v>
      </c>
      <c r="H9" s="20" t="n">
        <v>1.66150041</v>
      </c>
      <c r="I9" s="18" t="s">
        <v>349</v>
      </c>
      <c r="J9" s="20" t="s">
        <v>349</v>
      </c>
      <c r="K9" s="18" t="n">
        <v>1.31853101</v>
      </c>
      <c r="L9" s="20" t="n">
        <v>0.3434068</v>
      </c>
      <c r="M9" s="18" t="n">
        <v>0</v>
      </c>
      <c r="N9" s="20" t="n">
        <v>0</v>
      </c>
      <c r="O9" s="18" t="n">
        <v>0</v>
      </c>
      <c r="P9" s="20" t="n">
        <v>0</v>
      </c>
      <c r="Q9" s="18" t="n">
        <v>1.30487988</v>
      </c>
      <c r="R9" s="20" t="n">
        <v>0.31730451</v>
      </c>
    </row>
    <row r="10" spans="1:18">
      <c r="A10" s="15" t="s">
        <v>352</v>
      </c>
      <c r="B10" s="17" t="n">
        <v>20058</v>
      </c>
      <c r="C10" s="18">
        <f>(17557.0/B10*100)</f>
        <v/>
      </c>
      <c r="D10" s="19" t="n">
        <v>2501</v>
      </c>
      <c r="E10" s="18" t="n">
        <v>62.5142397</v>
      </c>
      <c r="F10" s="20" t="n">
        <v>1.4774071</v>
      </c>
      <c r="G10" s="18" t="n">
        <v>36.96471457</v>
      </c>
      <c r="H10" s="20" t="n">
        <v>1.47914666</v>
      </c>
      <c r="I10" s="18" t="s">
        <v>349</v>
      </c>
      <c r="J10" s="20" t="s">
        <v>349</v>
      </c>
      <c r="K10" s="18" t="n">
        <v>0.12719812</v>
      </c>
      <c r="L10" s="20" t="n">
        <v>0.05261225</v>
      </c>
      <c r="M10" s="18" t="n">
        <v>0</v>
      </c>
      <c r="N10" s="20" t="n">
        <v>0</v>
      </c>
      <c r="O10" s="18" t="n">
        <v>0</v>
      </c>
      <c r="P10" s="20" t="n">
        <v>0</v>
      </c>
      <c r="Q10" s="18" t="n">
        <v>0.39384761</v>
      </c>
      <c r="R10" s="20" t="n">
        <v>0.15754221</v>
      </c>
    </row>
    <row r="11" spans="1:18">
      <c r="A11" s="15" t="s">
        <v>353</v>
      </c>
      <c r="B11" s="17" t="n">
        <v>7053</v>
      </c>
      <c r="C11" s="18">
        <f>(6210.0/B11*100)</f>
        <v/>
      </c>
      <c r="D11" s="19" t="n">
        <v>843</v>
      </c>
      <c r="E11" s="18" t="n">
        <v>80.31507415</v>
      </c>
      <c r="F11" s="20" t="n">
        <v>1.73614648</v>
      </c>
      <c r="G11" s="18" t="n">
        <v>17.22021313</v>
      </c>
      <c r="H11" s="20" t="n">
        <v>1.73302723</v>
      </c>
      <c r="I11" s="18" t="s">
        <v>349</v>
      </c>
      <c r="J11" s="20" t="s">
        <v>349</v>
      </c>
      <c r="K11" s="18" t="n">
        <v>0.14288115</v>
      </c>
      <c r="L11" s="20" t="n">
        <v>0.14154486</v>
      </c>
      <c r="M11" s="18" t="n">
        <v>0</v>
      </c>
      <c r="N11" s="20" t="n">
        <v>0</v>
      </c>
      <c r="O11" s="18" t="n">
        <v>0</v>
      </c>
      <c r="P11" s="20" t="n">
        <v>0</v>
      </c>
      <c r="Q11" s="18" t="n">
        <v>2.32183158</v>
      </c>
      <c r="R11" s="20" t="n">
        <v>0.54032357</v>
      </c>
    </row>
    <row r="12" spans="1:18">
      <c r="A12" s="15" t="s">
        <v>354</v>
      </c>
      <c r="B12" s="17" t="n">
        <v>6894</v>
      </c>
      <c r="C12" s="18">
        <f>(5989.0/B12*100)</f>
        <v/>
      </c>
      <c r="D12" s="19" t="n">
        <v>905</v>
      </c>
      <c r="E12" s="18" t="n">
        <v>65.34173335</v>
      </c>
      <c r="F12" s="20" t="n">
        <v>1.73215455</v>
      </c>
      <c r="G12" s="18" t="n">
        <v>33.75733883</v>
      </c>
      <c r="H12" s="20" t="n">
        <v>1.77327818</v>
      </c>
      <c r="I12" s="18" t="s">
        <v>349</v>
      </c>
      <c r="J12" s="20" t="s">
        <v>349</v>
      </c>
      <c r="K12" s="18" t="n">
        <v>0</v>
      </c>
      <c r="L12" s="20" t="n">
        <v>0</v>
      </c>
      <c r="M12" s="18" t="n">
        <v>0</v>
      </c>
      <c r="N12" s="20" t="n">
        <v>0</v>
      </c>
      <c r="O12" s="18" t="n">
        <v>0</v>
      </c>
      <c r="P12" s="20" t="n">
        <v>0</v>
      </c>
      <c r="Q12" s="18" t="n">
        <v>0.90092782</v>
      </c>
      <c r="R12" s="20" t="n">
        <v>0.5160113200000001</v>
      </c>
    </row>
    <row r="13" spans="1:18">
      <c r="A13" s="15" t="s">
        <v>355</v>
      </c>
      <c r="B13" s="17" t="n">
        <v>7161</v>
      </c>
      <c r="C13" s="18">
        <f>(5983.0/B13*100)</f>
        <v/>
      </c>
      <c r="D13" s="19" t="n">
        <v>1178</v>
      </c>
      <c r="E13" s="18" t="n">
        <v>80.78812297</v>
      </c>
      <c r="F13" s="20" t="n">
        <v>1.24447623</v>
      </c>
      <c r="G13" s="18" t="n">
        <v>17.10195133</v>
      </c>
      <c r="H13" s="20" t="n">
        <v>1.22306929</v>
      </c>
      <c r="I13" s="18" t="s">
        <v>349</v>
      </c>
      <c r="J13" s="20" t="s">
        <v>349</v>
      </c>
      <c r="K13" s="18" t="n">
        <v>0.74183815</v>
      </c>
      <c r="L13" s="20" t="n">
        <v>0.32373322</v>
      </c>
      <c r="M13" s="18" t="n">
        <v>0</v>
      </c>
      <c r="N13" s="20" t="n">
        <v>0</v>
      </c>
      <c r="O13" s="18" t="n">
        <v>0</v>
      </c>
      <c r="P13" s="20" t="n">
        <v>0</v>
      </c>
      <c r="Q13" s="18" t="n">
        <v>1.36808754</v>
      </c>
      <c r="R13" s="20" t="n">
        <v>0.38151318</v>
      </c>
    </row>
    <row r="14" spans="1:18">
      <c r="A14" s="15" t="s">
        <v>356</v>
      </c>
      <c r="B14" s="17" t="n">
        <v>5587</v>
      </c>
      <c r="C14" s="18">
        <f>(4906.0/B14*100)</f>
        <v/>
      </c>
      <c r="D14" s="19" t="n">
        <v>681</v>
      </c>
      <c r="E14" s="18" t="n">
        <v>57.55640492</v>
      </c>
      <c r="F14" s="20" t="n">
        <v>2.23287547</v>
      </c>
      <c r="G14" s="18" t="n">
        <v>41.97116564</v>
      </c>
      <c r="H14" s="20" t="n">
        <v>2.16686964</v>
      </c>
      <c r="I14" s="18" t="s">
        <v>349</v>
      </c>
      <c r="J14" s="20" t="s">
        <v>349</v>
      </c>
      <c r="K14" s="18" t="n">
        <v>0</v>
      </c>
      <c r="L14" s="20" t="n">
        <v>0</v>
      </c>
      <c r="M14" s="18" t="n">
        <v>0</v>
      </c>
      <c r="N14" s="20" t="n">
        <v>0</v>
      </c>
      <c r="O14" s="18" t="n">
        <v>0</v>
      </c>
      <c r="P14" s="20" t="n">
        <v>0</v>
      </c>
      <c r="Q14" s="18" t="n">
        <v>0.47242944</v>
      </c>
      <c r="R14" s="20" t="n">
        <v>0.37261237</v>
      </c>
    </row>
    <row r="15" spans="1:18">
      <c r="A15" s="15" t="s">
        <v>357</v>
      </c>
      <c r="B15" s="17" t="n">
        <v>5882</v>
      </c>
      <c r="C15" s="18">
        <f>(5132.0/B15*100)</f>
        <v/>
      </c>
      <c r="D15" s="19" t="n">
        <v>750</v>
      </c>
      <c r="E15" s="18" t="n">
        <v>83.60430270000001</v>
      </c>
      <c r="F15" s="20" t="n">
        <v>1.19420309</v>
      </c>
      <c r="G15" s="18" t="n">
        <v>14.66473877</v>
      </c>
      <c r="H15" s="20" t="n">
        <v>1.12168599</v>
      </c>
      <c r="I15" s="18" t="s">
        <v>349</v>
      </c>
      <c r="J15" s="20" t="s">
        <v>349</v>
      </c>
      <c r="K15" s="18" t="n">
        <v>0.90831527</v>
      </c>
      <c r="L15" s="20" t="n">
        <v>0.55768012</v>
      </c>
      <c r="M15" s="18" t="n">
        <v>0</v>
      </c>
      <c r="N15" s="20" t="n">
        <v>0</v>
      </c>
      <c r="O15" s="18" t="n">
        <v>0</v>
      </c>
      <c r="P15" s="20" t="n">
        <v>0</v>
      </c>
      <c r="Q15" s="18" t="n">
        <v>0.82264326</v>
      </c>
      <c r="R15" s="20" t="n">
        <v>0.37084319</v>
      </c>
    </row>
    <row r="16" spans="1:18">
      <c r="A16" s="15" t="s">
        <v>358</v>
      </c>
      <c r="B16" s="17" t="n">
        <v>6108</v>
      </c>
      <c r="C16" s="18">
        <f>(5381.0/B16*100)</f>
        <v/>
      </c>
      <c r="D16" s="19" t="n">
        <v>727</v>
      </c>
      <c r="E16" s="18" t="n">
        <v>51.73493253</v>
      </c>
      <c r="F16" s="20" t="n">
        <v>1.8538423</v>
      </c>
      <c r="G16" s="18" t="n">
        <v>46.54948104</v>
      </c>
      <c r="H16" s="20" t="n">
        <v>1.86904095</v>
      </c>
      <c r="I16" s="18" t="s">
        <v>349</v>
      </c>
      <c r="J16" s="20" t="s">
        <v>349</v>
      </c>
      <c r="K16" s="18" t="n">
        <v>0.68174729</v>
      </c>
      <c r="L16" s="20" t="n">
        <v>0.29253971</v>
      </c>
      <c r="M16" s="18" t="n">
        <v>0</v>
      </c>
      <c r="N16" s="20" t="n">
        <v>0</v>
      </c>
      <c r="O16" s="18" t="n">
        <v>0</v>
      </c>
      <c r="P16" s="20" t="n">
        <v>0</v>
      </c>
      <c r="Q16" s="18" t="n">
        <v>1.03383914</v>
      </c>
      <c r="R16" s="20" t="n">
        <v>0.36584358</v>
      </c>
    </row>
    <row r="17" spans="1:18">
      <c r="A17" s="15" t="s">
        <v>359</v>
      </c>
      <c r="B17" s="17" t="n">
        <v>6504</v>
      </c>
      <c r="C17" s="18">
        <f>(5606.0/B17*100)</f>
        <v/>
      </c>
      <c r="D17" s="19" t="n">
        <v>898</v>
      </c>
      <c r="E17" s="18" t="n">
        <v>72.13610435</v>
      </c>
      <c r="F17" s="20" t="n">
        <v>1.67903049</v>
      </c>
      <c r="G17" s="18" t="n">
        <v>23.43603145</v>
      </c>
      <c r="H17" s="20" t="n">
        <v>1.24614679</v>
      </c>
      <c r="I17" s="18" t="s">
        <v>349</v>
      </c>
      <c r="J17" s="20" t="s">
        <v>349</v>
      </c>
      <c r="K17" s="18" t="n">
        <v>2.43560318</v>
      </c>
      <c r="L17" s="20" t="n">
        <v>0.80076928</v>
      </c>
      <c r="M17" s="18" t="n">
        <v>0</v>
      </c>
      <c r="N17" s="20" t="n">
        <v>0</v>
      </c>
      <c r="O17" s="18" t="n">
        <v>0</v>
      </c>
      <c r="P17" s="20" t="n">
        <v>0</v>
      </c>
      <c r="Q17" s="18" t="n">
        <v>1.99226103</v>
      </c>
      <c r="R17" s="20" t="n">
        <v>0.66064524</v>
      </c>
    </row>
    <row r="18" spans="1:18">
      <c r="A18" s="15" t="s">
        <v>360</v>
      </c>
      <c r="B18" s="17" t="n">
        <v>5532</v>
      </c>
      <c r="C18" s="18">
        <f>(4860.0/B18*100)</f>
        <v/>
      </c>
      <c r="D18" s="19" t="n">
        <v>672</v>
      </c>
      <c r="E18" s="18" t="n">
        <v>70.3615665</v>
      </c>
      <c r="F18" s="20" t="n">
        <v>2.03113501</v>
      </c>
      <c r="G18" s="18" t="n">
        <v>28.28562195</v>
      </c>
      <c r="H18" s="20" t="n">
        <v>2.10420036</v>
      </c>
      <c r="I18" s="18" t="s">
        <v>349</v>
      </c>
      <c r="J18" s="20" t="s">
        <v>349</v>
      </c>
      <c r="K18" s="18" t="n">
        <v>0.66977108</v>
      </c>
      <c r="L18" s="20" t="n">
        <v>0.3964389</v>
      </c>
      <c r="M18" s="18" t="n">
        <v>0</v>
      </c>
      <c r="N18" s="20" t="n">
        <v>0</v>
      </c>
      <c r="O18" s="18" t="n">
        <v>0</v>
      </c>
      <c r="P18" s="20" t="n">
        <v>0</v>
      </c>
      <c r="Q18" s="18" t="n">
        <v>0.68304047</v>
      </c>
      <c r="R18" s="20" t="n">
        <v>0.3441506</v>
      </c>
    </row>
    <row r="19" spans="1:18">
      <c r="A19" s="15" t="s">
        <v>361</v>
      </c>
      <c r="B19" s="17" t="n">
        <v>5658</v>
      </c>
      <c r="C19" s="18">
        <f>(4978.0/B19*100)</f>
        <v/>
      </c>
      <c r="D19" s="19" t="n">
        <v>680</v>
      </c>
      <c r="E19" s="18" t="n">
        <v>81.03013774999999</v>
      </c>
      <c r="F19" s="20" t="n">
        <v>1.59547636</v>
      </c>
      <c r="G19" s="18" t="n">
        <v>18.59462075</v>
      </c>
      <c r="H19" s="20" t="n">
        <v>1.54962419</v>
      </c>
      <c r="I19" s="18" t="s">
        <v>349</v>
      </c>
      <c r="J19" s="20" t="s">
        <v>349</v>
      </c>
      <c r="K19" s="18" t="n">
        <v>0</v>
      </c>
      <c r="L19" s="20" t="n">
        <v>0</v>
      </c>
      <c r="M19" s="18" t="n">
        <v>0</v>
      </c>
      <c r="N19" s="20" t="n">
        <v>0</v>
      </c>
      <c r="O19" s="18" t="n">
        <v>0</v>
      </c>
      <c r="P19" s="20" t="n">
        <v>0</v>
      </c>
      <c r="Q19" s="18" t="n">
        <v>0.3752415</v>
      </c>
      <c r="R19" s="20" t="n">
        <v>0.21754317</v>
      </c>
    </row>
    <row r="20" spans="1:18">
      <c r="A20" s="15" t="s">
        <v>362</v>
      </c>
      <c r="B20" s="17" t="n">
        <v>3371</v>
      </c>
      <c r="C20" s="18">
        <f>(2960.0/B20*100)</f>
        <v/>
      </c>
      <c r="D20" s="19" t="n">
        <v>411</v>
      </c>
      <c r="E20" s="18" t="n">
        <v>86.48774353</v>
      </c>
      <c r="F20" s="20" t="n">
        <v>1.65762543</v>
      </c>
      <c r="G20" s="18" t="n">
        <v>12.83281843</v>
      </c>
      <c r="H20" s="20" t="n">
        <v>1.66979476</v>
      </c>
      <c r="I20" s="18" t="s">
        <v>349</v>
      </c>
      <c r="J20" s="20" t="s">
        <v>349</v>
      </c>
      <c r="K20" s="18" t="n">
        <v>0.23221277</v>
      </c>
      <c r="L20" s="20" t="n">
        <v>0.21279971</v>
      </c>
      <c r="M20" s="18" t="n">
        <v>0</v>
      </c>
      <c r="N20" s="20" t="n">
        <v>0</v>
      </c>
      <c r="O20" s="18" t="n">
        <v>0</v>
      </c>
      <c r="P20" s="20" t="n">
        <v>0</v>
      </c>
      <c r="Q20" s="18" t="n">
        <v>0.44722527</v>
      </c>
      <c r="R20" s="20" t="n">
        <v>0.30531559</v>
      </c>
    </row>
    <row r="21" spans="1:18">
      <c r="A21" s="15" t="s">
        <v>363</v>
      </c>
      <c r="B21" s="17" t="n">
        <v>5741</v>
      </c>
      <c r="C21" s="18">
        <f>(4776.0/B21*100)</f>
        <v/>
      </c>
      <c r="D21" s="19" t="n">
        <v>965</v>
      </c>
      <c r="E21" s="18" t="n">
        <v>62.96196712</v>
      </c>
      <c r="F21" s="20" t="n">
        <v>1.70949595</v>
      </c>
      <c r="G21" s="18" t="n">
        <v>36.6302554</v>
      </c>
      <c r="H21" s="20" t="n">
        <v>1.68747961</v>
      </c>
      <c r="I21" s="18" t="s">
        <v>349</v>
      </c>
      <c r="J21" s="20" t="s">
        <v>349</v>
      </c>
      <c r="K21" s="18" t="n">
        <v>0.16104554</v>
      </c>
      <c r="L21" s="20" t="n">
        <v>0.11377921</v>
      </c>
      <c r="M21" s="18" t="n">
        <v>0</v>
      </c>
      <c r="N21" s="20" t="n">
        <v>0</v>
      </c>
      <c r="O21" s="18" t="n">
        <v>0</v>
      </c>
      <c r="P21" s="20" t="n">
        <v>0</v>
      </c>
      <c r="Q21" s="18" t="n">
        <v>0.24673195</v>
      </c>
      <c r="R21" s="20" t="n">
        <v>0.17591462</v>
      </c>
    </row>
    <row r="22" spans="1:18">
      <c r="A22" s="15" t="s">
        <v>364</v>
      </c>
      <c r="B22" s="17" t="n">
        <v>6598</v>
      </c>
      <c r="C22" s="18">
        <f>(5748.0/B22*100)</f>
        <v/>
      </c>
      <c r="D22" s="19" t="n">
        <v>850</v>
      </c>
      <c r="E22" s="18" t="n">
        <v>56.9597632</v>
      </c>
      <c r="F22" s="20" t="n">
        <v>1.84883747</v>
      </c>
      <c r="G22" s="18" t="n">
        <v>41.12509453</v>
      </c>
      <c r="H22" s="20" t="n">
        <v>2.00920727</v>
      </c>
      <c r="I22" s="18" t="s">
        <v>349</v>
      </c>
      <c r="J22" s="20" t="s">
        <v>349</v>
      </c>
      <c r="K22" s="18" t="n">
        <v>0.49764651</v>
      </c>
      <c r="L22" s="20" t="n">
        <v>0.28428828</v>
      </c>
      <c r="M22" s="18" t="n">
        <v>0</v>
      </c>
      <c r="N22" s="20" t="n">
        <v>0</v>
      </c>
      <c r="O22" s="18" t="n">
        <v>0</v>
      </c>
      <c r="P22" s="20" t="n">
        <v>0</v>
      </c>
      <c r="Q22" s="18" t="n">
        <v>1.41749575</v>
      </c>
      <c r="R22" s="20" t="n">
        <v>0.64660659</v>
      </c>
    </row>
    <row r="23" spans="1:18">
      <c r="A23" s="15" t="s">
        <v>365</v>
      </c>
      <c r="B23" s="17" t="n">
        <v>11583</v>
      </c>
      <c r="C23" s="18">
        <f>(10141.0/B23*100)</f>
        <v/>
      </c>
      <c r="D23" s="19" t="n">
        <v>1442</v>
      </c>
      <c r="E23" s="18" t="n">
        <v>59.03771201</v>
      </c>
      <c r="F23" s="20" t="n">
        <v>2.17725044</v>
      </c>
      <c r="G23" s="18" t="n">
        <v>40.17851981</v>
      </c>
      <c r="H23" s="20" t="n">
        <v>2.17186671</v>
      </c>
      <c r="I23" s="18" t="s">
        <v>349</v>
      </c>
      <c r="J23" s="20" t="s">
        <v>349</v>
      </c>
      <c r="K23" s="18" t="n">
        <v>0.11194113</v>
      </c>
      <c r="L23" s="20" t="n">
        <v>0.11188643</v>
      </c>
      <c r="M23" s="18" t="n">
        <v>0</v>
      </c>
      <c r="N23" s="20" t="n">
        <v>0</v>
      </c>
      <c r="O23" s="18" t="n">
        <v>0</v>
      </c>
      <c r="P23" s="20" t="n">
        <v>0</v>
      </c>
      <c r="Q23" s="18" t="n">
        <v>0.67182705</v>
      </c>
      <c r="R23" s="20" t="n">
        <v>0.35208582</v>
      </c>
    </row>
    <row r="24" spans="1:18">
      <c r="A24" s="15" t="s">
        <v>366</v>
      </c>
      <c r="B24" s="17" t="n">
        <v>6647</v>
      </c>
      <c r="C24" s="18">
        <f>(5841.0/B24*100)</f>
        <v/>
      </c>
      <c r="D24" s="19" t="n">
        <v>806</v>
      </c>
      <c r="E24" s="18" t="n">
        <v>29.27640364</v>
      </c>
      <c r="F24" s="20" t="n">
        <v>1.77590975</v>
      </c>
      <c r="G24" s="18" t="n">
        <v>70.22882666</v>
      </c>
      <c r="H24" s="20" t="n">
        <v>1.75128978</v>
      </c>
      <c r="I24" s="18" t="s">
        <v>349</v>
      </c>
      <c r="J24" s="20" t="s">
        <v>349</v>
      </c>
      <c r="K24" s="18" t="n">
        <v>0.08849753</v>
      </c>
      <c r="L24" s="20" t="n">
        <v>0.08865061</v>
      </c>
      <c r="M24" s="18" t="n">
        <v>0</v>
      </c>
      <c r="N24" s="20" t="n">
        <v>0</v>
      </c>
      <c r="O24" s="18" t="n">
        <v>0</v>
      </c>
      <c r="P24" s="20" t="n">
        <v>0</v>
      </c>
      <c r="Q24" s="18" t="n">
        <v>0.40627216</v>
      </c>
      <c r="R24" s="20" t="n">
        <v>0.23924198</v>
      </c>
    </row>
    <row r="25" spans="1:18">
      <c r="A25" s="15" t="s">
        <v>367</v>
      </c>
      <c r="B25" s="17" t="n">
        <v>5581</v>
      </c>
      <c r="C25" s="18">
        <f>(4882.0/B25*100)</f>
        <v/>
      </c>
      <c r="D25" s="19" t="n">
        <v>699</v>
      </c>
      <c r="E25" s="18" t="n">
        <v>26.62793184</v>
      </c>
      <c r="F25" s="20" t="n">
        <v>1.95100729</v>
      </c>
      <c r="G25" s="18" t="n">
        <v>72.06039797</v>
      </c>
      <c r="H25" s="20" t="n">
        <v>1.99471719</v>
      </c>
      <c r="I25" s="18" t="s">
        <v>349</v>
      </c>
      <c r="J25" s="20" t="s">
        <v>349</v>
      </c>
      <c r="K25" s="18" t="n">
        <v>1.01391793</v>
      </c>
      <c r="L25" s="20" t="n">
        <v>0.40507536</v>
      </c>
      <c r="M25" s="18" t="n">
        <v>0</v>
      </c>
      <c r="N25" s="20" t="n">
        <v>0</v>
      </c>
      <c r="O25" s="18" t="n">
        <v>0</v>
      </c>
      <c r="P25" s="20" t="n">
        <v>0</v>
      </c>
      <c r="Q25" s="18" t="n">
        <v>0.29775226</v>
      </c>
      <c r="R25" s="20" t="n">
        <v>0.21051043</v>
      </c>
    </row>
    <row r="26" spans="1:18">
      <c r="A26" s="15" t="s">
        <v>368</v>
      </c>
      <c r="B26" s="17" t="n">
        <v>4869</v>
      </c>
      <c r="C26" s="18">
        <f>(4264.0/B26*100)</f>
        <v/>
      </c>
      <c r="D26" s="19" t="n">
        <v>605</v>
      </c>
      <c r="E26" s="18" t="n">
        <v>53.31351479</v>
      </c>
      <c r="F26" s="20" t="n">
        <v>2.1888564</v>
      </c>
      <c r="G26" s="18" t="n">
        <v>45.92867668</v>
      </c>
      <c r="H26" s="20" t="n">
        <v>2.2405788</v>
      </c>
      <c r="I26" s="18" t="s">
        <v>349</v>
      </c>
      <c r="J26" s="20" t="s">
        <v>349</v>
      </c>
      <c r="K26" s="18" t="n">
        <v>0.12496009</v>
      </c>
      <c r="L26" s="20" t="n">
        <v>0.12578988</v>
      </c>
      <c r="M26" s="18" t="n">
        <v>0</v>
      </c>
      <c r="N26" s="20" t="n">
        <v>0</v>
      </c>
      <c r="O26" s="18" t="n">
        <v>0</v>
      </c>
      <c r="P26" s="20" t="n">
        <v>0</v>
      </c>
      <c r="Q26" s="18" t="n">
        <v>0.63284844</v>
      </c>
      <c r="R26" s="20" t="n">
        <v>0.46930759</v>
      </c>
    </row>
    <row r="27" spans="1:18">
      <c r="A27" s="15" t="s">
        <v>369</v>
      </c>
      <c r="B27" s="17" t="n">
        <v>5299</v>
      </c>
      <c r="C27" s="18">
        <f>(4651.0/B27*100)</f>
        <v/>
      </c>
      <c r="D27" s="19" t="n">
        <v>648</v>
      </c>
      <c r="E27" s="18" t="n">
        <v>59.29743663</v>
      </c>
      <c r="F27" s="20" t="n">
        <v>1.97002187</v>
      </c>
      <c r="G27" s="18" t="n">
        <v>39.88447409</v>
      </c>
      <c r="H27" s="20" t="n">
        <v>1.89426289</v>
      </c>
      <c r="I27" s="18" t="s">
        <v>349</v>
      </c>
      <c r="J27" s="20" t="s">
        <v>349</v>
      </c>
      <c r="K27" s="18" t="n">
        <v>0.31124107</v>
      </c>
      <c r="L27" s="20" t="n">
        <v>0.21995088</v>
      </c>
      <c r="M27" s="18" t="n">
        <v>0</v>
      </c>
      <c r="N27" s="20" t="n">
        <v>0</v>
      </c>
      <c r="O27" s="18" t="n">
        <v>0</v>
      </c>
      <c r="P27" s="20" t="n">
        <v>0</v>
      </c>
      <c r="Q27" s="18" t="n">
        <v>0.50684821</v>
      </c>
      <c r="R27" s="20" t="n">
        <v>0.28733349</v>
      </c>
    </row>
    <row r="28" spans="1:18">
      <c r="A28" s="15" t="s">
        <v>370</v>
      </c>
      <c r="B28" s="17" t="n">
        <v>7568</v>
      </c>
      <c r="C28" s="18">
        <f>(6628.0/B28*100)</f>
        <v/>
      </c>
      <c r="D28" s="19" t="n">
        <v>940</v>
      </c>
      <c r="E28" s="18" t="n">
        <v>88.28515421</v>
      </c>
      <c r="F28" s="20" t="n">
        <v>0.95665308</v>
      </c>
      <c r="G28" s="18" t="n">
        <v>11.24967102</v>
      </c>
      <c r="H28" s="20" t="n">
        <v>0.93797606</v>
      </c>
      <c r="I28" s="18" t="s">
        <v>349</v>
      </c>
      <c r="J28" s="20" t="s">
        <v>349</v>
      </c>
      <c r="K28" s="18" t="n">
        <v>0.30231256</v>
      </c>
      <c r="L28" s="20" t="n">
        <v>0.2311945</v>
      </c>
      <c r="M28" s="18" t="n">
        <v>0</v>
      </c>
      <c r="N28" s="20" t="n">
        <v>0</v>
      </c>
      <c r="O28" s="18" t="n">
        <v>0</v>
      </c>
      <c r="P28" s="20" t="n">
        <v>0</v>
      </c>
      <c r="Q28" s="18" t="n">
        <v>0.16286221</v>
      </c>
      <c r="R28" s="20" t="n">
        <v>0.11921709</v>
      </c>
    </row>
    <row r="29" spans="1:18">
      <c r="A29" s="15" t="s">
        <v>371</v>
      </c>
      <c r="B29" s="17" t="n">
        <v>5385</v>
      </c>
      <c r="C29" s="18">
        <f>(4601.0/B29*100)</f>
        <v/>
      </c>
      <c r="D29" s="19" t="n">
        <v>784</v>
      </c>
      <c r="E29" s="18" t="n">
        <v>79.04708594</v>
      </c>
      <c r="F29" s="20" t="n">
        <v>2.13478892</v>
      </c>
      <c r="G29" s="18" t="n">
        <v>18.54895223</v>
      </c>
      <c r="H29" s="20" t="n">
        <v>1.51236573</v>
      </c>
      <c r="I29" s="18" t="s">
        <v>349</v>
      </c>
      <c r="J29" s="20" t="s">
        <v>349</v>
      </c>
      <c r="K29" s="18" t="n">
        <v>1.33692265</v>
      </c>
      <c r="L29" s="20" t="n">
        <v>0.8285091</v>
      </c>
      <c r="M29" s="18" t="n">
        <v>0</v>
      </c>
      <c r="N29" s="20" t="n">
        <v>0</v>
      </c>
      <c r="O29" s="18" t="n">
        <v>0</v>
      </c>
      <c r="P29" s="20" t="n">
        <v>0</v>
      </c>
      <c r="Q29" s="18" t="n">
        <v>1.06703918</v>
      </c>
      <c r="R29" s="20" t="n">
        <v>0.7585577</v>
      </c>
    </row>
    <row r="30" spans="1:18">
      <c r="A30" s="15" t="s">
        <v>372</v>
      </c>
      <c r="B30" s="17" t="n">
        <v>4520</v>
      </c>
      <c r="C30" s="18">
        <f>(3958.0/B30*100)</f>
        <v/>
      </c>
      <c r="D30" s="19" t="n">
        <v>562</v>
      </c>
      <c r="E30" s="18" t="n">
        <v>69.46393817000001</v>
      </c>
      <c r="F30" s="20" t="n">
        <v>2.37061156</v>
      </c>
      <c r="G30" s="18" t="n">
        <v>29.72811219</v>
      </c>
      <c r="H30" s="20" t="n">
        <v>2.36269105</v>
      </c>
      <c r="I30" s="18" t="s">
        <v>349</v>
      </c>
      <c r="J30" s="20" t="s">
        <v>349</v>
      </c>
      <c r="K30" s="18" t="n">
        <v>0.35161683</v>
      </c>
      <c r="L30" s="20" t="n">
        <v>0.27448708</v>
      </c>
      <c r="M30" s="18" t="n">
        <v>0</v>
      </c>
      <c r="N30" s="20" t="n">
        <v>0</v>
      </c>
      <c r="O30" s="18" t="n">
        <v>0</v>
      </c>
      <c r="P30" s="20" t="n">
        <v>0</v>
      </c>
      <c r="Q30" s="18" t="n">
        <v>0.4563328</v>
      </c>
      <c r="R30" s="20" t="n">
        <v>0.30817925</v>
      </c>
    </row>
    <row r="31" spans="1:18">
      <c r="A31" s="15" t="s">
        <v>373</v>
      </c>
      <c r="B31" s="17" t="n">
        <v>5456</v>
      </c>
      <c r="C31" s="18">
        <f>(4808.0/B31*100)</f>
        <v/>
      </c>
      <c r="D31" s="19" t="n">
        <v>648</v>
      </c>
      <c r="E31" s="18" t="n">
        <v>62.96848128</v>
      </c>
      <c r="F31" s="20" t="n">
        <v>2.15575844</v>
      </c>
      <c r="G31" s="18" t="n">
        <v>34.53473461</v>
      </c>
      <c r="H31" s="20" t="n">
        <v>2.1778479</v>
      </c>
      <c r="I31" s="18" t="s">
        <v>349</v>
      </c>
      <c r="J31" s="20" t="s">
        <v>349</v>
      </c>
      <c r="K31" s="18" t="n">
        <v>0.91253321</v>
      </c>
      <c r="L31" s="20" t="n">
        <v>0.30535825</v>
      </c>
      <c r="M31" s="18" t="n">
        <v>0</v>
      </c>
      <c r="N31" s="20" t="n">
        <v>0</v>
      </c>
      <c r="O31" s="18" t="n">
        <v>0</v>
      </c>
      <c r="P31" s="20" t="n">
        <v>0</v>
      </c>
      <c r="Q31" s="18" t="n">
        <v>1.58425089</v>
      </c>
      <c r="R31" s="20" t="n">
        <v>0.51829464</v>
      </c>
    </row>
    <row r="32" spans="1:18">
      <c r="A32" s="15" t="s">
        <v>374</v>
      </c>
      <c r="B32" s="17" t="n">
        <v>4478</v>
      </c>
      <c r="C32" s="18">
        <f>(3736.0/B32*100)</f>
        <v/>
      </c>
      <c r="D32" s="19" t="n">
        <v>742</v>
      </c>
      <c r="E32" s="18" t="n">
        <v>65.89015549</v>
      </c>
      <c r="F32" s="20" t="n">
        <v>2.0410933</v>
      </c>
      <c r="G32" s="18" t="n">
        <v>33.84670691</v>
      </c>
      <c r="H32" s="20" t="n">
        <v>2.05671962</v>
      </c>
      <c r="I32" s="18" t="s">
        <v>349</v>
      </c>
      <c r="J32" s="20" t="s">
        <v>349</v>
      </c>
      <c r="K32" s="18" t="n">
        <v>0</v>
      </c>
      <c r="L32" s="20" t="n">
        <v>0</v>
      </c>
      <c r="M32" s="18" t="n">
        <v>0</v>
      </c>
      <c r="N32" s="20" t="n">
        <v>0</v>
      </c>
      <c r="O32" s="18" t="n">
        <v>0</v>
      </c>
      <c r="P32" s="20" t="n">
        <v>0</v>
      </c>
      <c r="Q32" s="18" t="n">
        <v>0.2631376</v>
      </c>
      <c r="R32" s="20" t="n">
        <v>0.18252878</v>
      </c>
    </row>
    <row r="33" spans="1:18">
      <c r="A33" s="15" t="s">
        <v>375</v>
      </c>
      <c r="B33" s="17" t="n">
        <v>7325</v>
      </c>
      <c r="C33" s="18">
        <f>(6437.0/B33*100)</f>
        <v/>
      </c>
      <c r="D33" s="19" t="n">
        <v>888</v>
      </c>
      <c r="E33" s="18" t="n">
        <v>54.05821536</v>
      </c>
      <c r="F33" s="20" t="n">
        <v>2.08000113</v>
      </c>
      <c r="G33" s="18" t="n">
        <v>45.36155973</v>
      </c>
      <c r="H33" s="20" t="n">
        <v>2.091609</v>
      </c>
      <c r="I33" s="18" t="s">
        <v>349</v>
      </c>
      <c r="J33" s="20" t="s">
        <v>349</v>
      </c>
      <c r="K33" s="18" t="n">
        <v>0.32769952</v>
      </c>
      <c r="L33" s="20" t="n">
        <v>0.22446819</v>
      </c>
      <c r="M33" s="18" t="n">
        <v>0</v>
      </c>
      <c r="N33" s="20" t="n">
        <v>0</v>
      </c>
      <c r="O33" s="18" t="n">
        <v>0</v>
      </c>
      <c r="P33" s="20" t="n">
        <v>0</v>
      </c>
      <c r="Q33" s="18" t="n">
        <v>0.25252539</v>
      </c>
      <c r="R33" s="20" t="n">
        <v>0.16664873</v>
      </c>
    </row>
    <row r="34" spans="1:18">
      <c r="A34" s="15" t="s">
        <v>376</v>
      </c>
      <c r="B34" s="17" t="n">
        <v>6350</v>
      </c>
      <c r="C34" s="18">
        <f>(5450.0/B34*100)</f>
        <v/>
      </c>
      <c r="D34" s="19" t="n">
        <v>900</v>
      </c>
      <c r="E34" s="18" t="n">
        <v>68.22402615</v>
      </c>
      <c r="F34" s="20" t="n">
        <v>1.76666755</v>
      </c>
      <c r="G34" s="18" t="n">
        <v>29.72503571</v>
      </c>
      <c r="H34" s="20" t="n">
        <v>1.75112598</v>
      </c>
      <c r="I34" s="18" t="s">
        <v>349</v>
      </c>
      <c r="J34" s="20" t="s">
        <v>349</v>
      </c>
      <c r="K34" s="18" t="n">
        <v>0.93800112</v>
      </c>
      <c r="L34" s="20" t="n">
        <v>0.45283065</v>
      </c>
      <c r="M34" s="18" t="n">
        <v>0</v>
      </c>
      <c r="N34" s="20" t="n">
        <v>0</v>
      </c>
      <c r="O34" s="18" t="n">
        <v>0</v>
      </c>
      <c r="P34" s="20" t="n">
        <v>0</v>
      </c>
      <c r="Q34" s="18" t="n">
        <v>1.11293702</v>
      </c>
      <c r="R34" s="20" t="n">
        <v>0.53666583</v>
      </c>
    </row>
    <row r="35" spans="1:18">
      <c r="A35" s="15" t="s">
        <v>377</v>
      </c>
      <c r="B35" s="17" t="n">
        <v>6406</v>
      </c>
      <c r="C35" s="18">
        <f>(5525.0/B35*100)</f>
        <v/>
      </c>
      <c r="D35" s="19" t="n">
        <v>881</v>
      </c>
      <c r="E35" s="18" t="n">
        <v>71.9342501</v>
      </c>
      <c r="F35" s="20" t="n">
        <v>2.07089015</v>
      </c>
      <c r="G35" s="18" t="n">
        <v>27.15913656</v>
      </c>
      <c r="H35" s="20" t="n">
        <v>2.06637717</v>
      </c>
      <c r="I35" s="18" t="s">
        <v>349</v>
      </c>
      <c r="J35" s="20" t="s">
        <v>349</v>
      </c>
      <c r="K35" s="18" t="n">
        <v>0.1026389</v>
      </c>
      <c r="L35" s="20" t="n">
        <v>0.07353145</v>
      </c>
      <c r="M35" s="18" t="n">
        <v>0</v>
      </c>
      <c r="N35" s="20" t="n">
        <v>0</v>
      </c>
      <c r="O35" s="18" t="n">
        <v>0</v>
      </c>
      <c r="P35" s="20" t="n">
        <v>0</v>
      </c>
      <c r="Q35" s="18" t="n">
        <v>0.80397445</v>
      </c>
      <c r="R35" s="20" t="n">
        <v>0.31557899</v>
      </c>
    </row>
    <row r="36" spans="1:18">
      <c r="A36" s="15" t="s">
        <v>378</v>
      </c>
      <c r="B36" s="17" t="n">
        <v>6736</v>
      </c>
      <c r="C36" s="18">
        <f>(5895.0/B36*100)</f>
        <v/>
      </c>
      <c r="D36" s="19" t="n">
        <v>841</v>
      </c>
      <c r="E36" s="18" t="n">
        <v>85.69168433999999</v>
      </c>
      <c r="F36" s="20" t="n">
        <v>1.25005932</v>
      </c>
      <c r="G36" s="18" t="n">
        <v>13.18223896</v>
      </c>
      <c r="H36" s="20" t="n">
        <v>1.16061526</v>
      </c>
      <c r="I36" s="18" t="s">
        <v>349</v>
      </c>
      <c r="J36" s="20" t="s">
        <v>349</v>
      </c>
      <c r="K36" s="18" t="n">
        <v>0.27678993</v>
      </c>
      <c r="L36" s="20" t="n">
        <v>0.16222891</v>
      </c>
      <c r="M36" s="18" t="n">
        <v>0</v>
      </c>
      <c r="N36" s="20" t="n">
        <v>0</v>
      </c>
      <c r="O36" s="18" t="n">
        <v>0</v>
      </c>
      <c r="P36" s="20" t="n">
        <v>0</v>
      </c>
      <c r="Q36" s="18" t="n">
        <v>0.84928677</v>
      </c>
      <c r="R36" s="20" t="n">
        <v>0.38386151</v>
      </c>
    </row>
    <row r="37" spans="1:18">
      <c r="A37" s="15" t="s">
        <v>379</v>
      </c>
      <c r="B37" s="17" t="n">
        <v>5458</v>
      </c>
      <c r="C37" s="18">
        <f>(4788.0/B37*100)</f>
        <v/>
      </c>
      <c r="D37" s="19" t="n">
        <v>670</v>
      </c>
      <c r="E37" s="18" t="n">
        <v>84.87617914</v>
      </c>
      <c r="F37" s="20" t="n">
        <v>1.44685779</v>
      </c>
      <c r="G37" s="18" t="n">
        <v>12.56868869</v>
      </c>
      <c r="H37" s="20" t="n">
        <v>1.34134169</v>
      </c>
      <c r="I37" s="18" t="s">
        <v>349</v>
      </c>
      <c r="J37" s="20" t="s">
        <v>349</v>
      </c>
      <c r="K37" s="18" t="n">
        <v>0.53379993</v>
      </c>
      <c r="L37" s="20" t="n">
        <v>0.31804547</v>
      </c>
      <c r="M37" s="18" t="n">
        <v>0</v>
      </c>
      <c r="N37" s="20" t="n">
        <v>0</v>
      </c>
      <c r="O37" s="18" t="n">
        <v>0</v>
      </c>
      <c r="P37" s="20" t="n">
        <v>0</v>
      </c>
      <c r="Q37" s="18" t="n">
        <v>2.02133223</v>
      </c>
      <c r="R37" s="20" t="n">
        <v>0.48940533</v>
      </c>
    </row>
    <row r="38" spans="1:18">
      <c r="A38" s="15" t="s">
        <v>380</v>
      </c>
      <c r="B38" s="17" t="n">
        <v>5860</v>
      </c>
      <c r="C38" s="18">
        <f>(4865.0/B38*100)</f>
        <v/>
      </c>
      <c r="D38" s="19" t="n">
        <v>995</v>
      </c>
      <c r="E38" s="18" t="n">
        <v>60.64341725</v>
      </c>
      <c r="F38" s="20" t="n">
        <v>1.95672841</v>
      </c>
      <c r="G38" s="18" t="n">
        <v>38.84993449</v>
      </c>
      <c r="H38" s="20" t="n">
        <v>1.94585697</v>
      </c>
      <c r="I38" s="18" t="s">
        <v>349</v>
      </c>
      <c r="J38" s="20" t="s">
        <v>349</v>
      </c>
      <c r="K38" s="18" t="n">
        <v>0</v>
      </c>
      <c r="L38" s="20" t="n">
        <v>0</v>
      </c>
      <c r="M38" s="18" t="n">
        <v>0</v>
      </c>
      <c r="N38" s="20" t="n">
        <v>0</v>
      </c>
      <c r="O38" s="18" t="n">
        <v>0</v>
      </c>
      <c r="P38" s="20" t="n">
        <v>0</v>
      </c>
      <c r="Q38" s="18" t="n">
        <v>0.50664826</v>
      </c>
      <c r="R38" s="20" t="n">
        <v>0.15449923</v>
      </c>
    </row>
    <row r="39" spans="1:18">
      <c r="A39" s="15" t="s">
        <v>381</v>
      </c>
      <c r="B39" s="17" t="n">
        <v>5895</v>
      </c>
      <c r="C39" s="18">
        <f>(5172.0/B39*100)</f>
        <v/>
      </c>
      <c r="D39" s="19" t="n">
        <v>723</v>
      </c>
      <c r="E39" s="18" t="n">
        <v>79.22194651</v>
      </c>
      <c r="F39" s="20" t="n">
        <v>1.73574692</v>
      </c>
      <c r="G39" s="18" t="n">
        <v>20.59341294</v>
      </c>
      <c r="H39" s="20" t="n">
        <v>1.722612</v>
      </c>
      <c r="I39" s="18" t="s">
        <v>349</v>
      </c>
      <c r="J39" s="20" t="s">
        <v>349</v>
      </c>
      <c r="K39" s="18" t="n">
        <v>0</v>
      </c>
      <c r="L39" s="20" t="n">
        <v>0</v>
      </c>
      <c r="M39" s="18" t="n">
        <v>0</v>
      </c>
      <c r="N39" s="20" t="n">
        <v>0</v>
      </c>
      <c r="O39" s="18" t="n">
        <v>0</v>
      </c>
      <c r="P39" s="20" t="n">
        <v>0</v>
      </c>
      <c r="Q39" s="18" t="n">
        <v>0.18464056</v>
      </c>
      <c r="R39" s="20" t="n">
        <v>0.11387127</v>
      </c>
    </row>
    <row r="40" spans="1:18">
      <c r="A40" s="15" t="s">
        <v>382</v>
      </c>
      <c r="B40" s="17" t="n">
        <v>14157</v>
      </c>
      <c r="C40" s="18">
        <f>(12445.0/B40*100)</f>
        <v/>
      </c>
      <c r="D40" s="19" t="n">
        <v>1712</v>
      </c>
      <c r="E40" s="18" t="n">
        <v>64.1194871</v>
      </c>
      <c r="F40" s="20" t="n">
        <v>1.79264556</v>
      </c>
      <c r="G40" s="18" t="n">
        <v>34.16089747</v>
      </c>
      <c r="H40" s="20" t="n">
        <v>1.74217564</v>
      </c>
      <c r="I40" s="18" t="s">
        <v>349</v>
      </c>
      <c r="J40" s="20" t="s">
        <v>349</v>
      </c>
      <c r="K40" s="18" t="n">
        <v>0.42350328</v>
      </c>
      <c r="L40" s="20" t="n">
        <v>0.14521635</v>
      </c>
      <c r="M40" s="18" t="n">
        <v>0</v>
      </c>
      <c r="N40" s="20" t="n">
        <v>0</v>
      </c>
      <c r="O40" s="18" t="n">
        <v>0</v>
      </c>
      <c r="P40" s="20" t="n">
        <v>0</v>
      </c>
      <c r="Q40" s="18" t="n">
        <v>1.29611215</v>
      </c>
      <c r="R40" s="20" t="n">
        <v>0.58877802</v>
      </c>
    </row>
    <row r="41" spans="1:18">
      <c r="A41" s="15" t="s">
        <v>383</v>
      </c>
      <c r="B41" s="17" t="n">
        <v>5712</v>
      </c>
      <c r="C41" s="18">
        <f>(4981.0/B41*100)</f>
        <v/>
      </c>
      <c r="D41" s="19" t="n">
        <v>731</v>
      </c>
      <c r="E41" s="18" t="n">
        <v>72.18666417999999</v>
      </c>
      <c r="F41" s="20" t="n">
        <v>2.0442374</v>
      </c>
      <c r="G41" s="18" t="n">
        <v>26.84307472</v>
      </c>
      <c r="H41" s="20" t="n">
        <v>2.04155523</v>
      </c>
      <c r="I41" s="18" t="s">
        <v>349</v>
      </c>
      <c r="J41" s="20" t="s">
        <v>349</v>
      </c>
      <c r="K41" s="18" t="n">
        <v>0.13038991</v>
      </c>
      <c r="L41" s="20" t="n">
        <v>0.12618735</v>
      </c>
      <c r="M41" s="18" t="n">
        <v>0</v>
      </c>
      <c r="N41" s="20" t="n">
        <v>0</v>
      </c>
      <c r="O41" s="18" t="n">
        <v>0</v>
      </c>
      <c r="P41" s="20" t="n">
        <v>0</v>
      </c>
      <c r="Q41" s="18" t="n">
        <v>0.8398711800000001</v>
      </c>
      <c r="R41" s="20" t="n">
        <v>0.35191865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(20460.0/B46*100)</f>
        <v/>
      </c>
      <c r="D46" s="19" t="n">
        <v>2681</v>
      </c>
      <c r="E46" s="18" t="n">
        <v>86.86712341</v>
      </c>
      <c r="F46" s="20" t="n">
        <v>0.8711646</v>
      </c>
      <c r="G46" s="18" t="n">
        <v>10.42518239</v>
      </c>
      <c r="H46" s="20" t="n">
        <v>0.8347632699999999</v>
      </c>
      <c r="I46" s="18" t="s">
        <v>349</v>
      </c>
      <c r="J46" s="20" t="s">
        <v>349</v>
      </c>
      <c r="K46" s="18" t="n">
        <v>0.71988364</v>
      </c>
      <c r="L46" s="20" t="n">
        <v>0.20926874</v>
      </c>
      <c r="M46" s="18" t="n">
        <v>0</v>
      </c>
      <c r="N46" s="20" t="n">
        <v>0</v>
      </c>
      <c r="O46" s="18" t="n">
        <v>0</v>
      </c>
      <c r="P46" s="20" t="n">
        <v>0</v>
      </c>
      <c r="Q46" s="18" t="n">
        <v>1.98781055</v>
      </c>
      <c r="R46" s="20" t="n">
        <v>0.34588438</v>
      </c>
    </row>
    <row r="47" spans="1:18">
      <c r="A47" s="15" t="s">
        <v>389</v>
      </c>
      <c r="B47" s="17" t="n">
        <v>5928</v>
      </c>
      <c r="C47" s="18">
        <f>(5217.0/B47*100)</f>
        <v/>
      </c>
      <c r="D47" s="19" t="n">
        <v>711</v>
      </c>
      <c r="E47" s="18" t="n">
        <v>61.95873627</v>
      </c>
      <c r="F47" s="20" t="n">
        <v>2.34355871</v>
      </c>
      <c r="G47" s="18" t="n">
        <v>36.5340393</v>
      </c>
      <c r="H47" s="20" t="n">
        <v>2.32471907</v>
      </c>
      <c r="I47" s="18" t="s">
        <v>349</v>
      </c>
      <c r="J47" s="20" t="s">
        <v>349</v>
      </c>
      <c r="K47" s="18" t="n">
        <v>0.55386309</v>
      </c>
      <c r="L47" s="20" t="n">
        <v>0.28458558</v>
      </c>
      <c r="M47" s="18" t="n">
        <v>0</v>
      </c>
      <c r="N47" s="20" t="n">
        <v>0</v>
      </c>
      <c r="O47" s="18" t="n">
        <v>0</v>
      </c>
      <c r="P47" s="20" t="n">
        <v>0</v>
      </c>
      <c r="Q47" s="18" t="n">
        <v>0.9533613399999999</v>
      </c>
      <c r="R47" s="20" t="n">
        <v>0.44026727</v>
      </c>
    </row>
    <row r="48" spans="1:18">
      <c r="A48" s="15" t="s">
        <v>390</v>
      </c>
      <c r="B48" s="17" t="n">
        <v>9841</v>
      </c>
      <c r="C48" s="18">
        <f>(8625.0/B48*100)</f>
        <v/>
      </c>
      <c r="D48" s="19" t="n">
        <v>1216</v>
      </c>
      <c r="E48" s="18" t="n">
        <v>29.11232068</v>
      </c>
      <c r="F48" s="20" t="n">
        <v>2.22886219</v>
      </c>
      <c r="G48" s="18" t="n">
        <v>69.85115055999999</v>
      </c>
      <c r="H48" s="20" t="n">
        <v>2.25467186</v>
      </c>
      <c r="I48" s="18" t="s">
        <v>349</v>
      </c>
      <c r="J48" s="20" t="s">
        <v>349</v>
      </c>
      <c r="K48" s="18" t="n">
        <v>0.49554632</v>
      </c>
      <c r="L48" s="20" t="n">
        <v>0.24885773</v>
      </c>
      <c r="M48" s="18" t="n">
        <v>0</v>
      </c>
      <c r="N48" s="20" t="n">
        <v>0</v>
      </c>
      <c r="O48" s="18" t="n">
        <v>0</v>
      </c>
      <c r="P48" s="20" t="n">
        <v>0</v>
      </c>
      <c r="Q48" s="18" t="n">
        <v>0.54098245</v>
      </c>
      <c r="R48" s="20" t="n">
        <v>0.27658291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(10351.0/B50*100)</f>
        <v/>
      </c>
      <c r="D50" s="19" t="n">
        <v>1444</v>
      </c>
      <c r="E50" s="18" t="n">
        <v>90.87623646</v>
      </c>
      <c r="F50" s="20" t="n">
        <v>1.18796974</v>
      </c>
      <c r="G50" s="18" t="n">
        <v>7.47826577</v>
      </c>
      <c r="H50" s="20" t="n">
        <v>1.17280652</v>
      </c>
      <c r="I50" s="18" t="s">
        <v>349</v>
      </c>
      <c r="J50" s="20" t="s">
        <v>349</v>
      </c>
      <c r="K50" s="18" t="n">
        <v>0.8506797</v>
      </c>
      <c r="L50" s="20" t="n">
        <v>0.33506299</v>
      </c>
      <c r="M50" s="18" t="n">
        <v>0</v>
      </c>
      <c r="N50" s="20" t="n">
        <v>0</v>
      </c>
      <c r="O50" s="18" t="n">
        <v>0</v>
      </c>
      <c r="P50" s="20" t="n">
        <v>0</v>
      </c>
      <c r="Q50" s="18" t="n">
        <v>0.79481807</v>
      </c>
      <c r="R50" s="20" t="n">
        <v>0.30716198</v>
      </c>
    </row>
    <row r="51" spans="1:18">
      <c r="A51" s="15" t="s">
        <v>393</v>
      </c>
      <c r="B51" s="17" t="n">
        <v>6866</v>
      </c>
      <c r="C51" s="18">
        <f>(5430.0/B51*100)</f>
        <v/>
      </c>
      <c r="D51" s="19" t="n">
        <v>1436</v>
      </c>
      <c r="E51" s="18" t="n">
        <v>88.0293976</v>
      </c>
      <c r="F51" s="20" t="n">
        <v>1.09621432</v>
      </c>
      <c r="G51" s="18" t="n">
        <v>10.59647158</v>
      </c>
      <c r="H51" s="20" t="n">
        <v>0.93623566</v>
      </c>
      <c r="I51" s="18" t="s">
        <v>349</v>
      </c>
      <c r="J51" s="20" t="s">
        <v>349</v>
      </c>
      <c r="K51" s="18" t="n">
        <v>0.43199495</v>
      </c>
      <c r="L51" s="20" t="n">
        <v>0.17660032</v>
      </c>
      <c r="M51" s="18" t="n">
        <v>0</v>
      </c>
      <c r="N51" s="20" t="n">
        <v>0</v>
      </c>
      <c r="O51" s="18" t="n">
        <v>0</v>
      </c>
      <c r="P51" s="20" t="n">
        <v>0</v>
      </c>
      <c r="Q51" s="18" t="n">
        <v>0.94213586</v>
      </c>
      <c r="R51" s="20" t="n">
        <v>0.29112301</v>
      </c>
    </row>
    <row r="52" spans="1:18">
      <c r="A52" s="15" t="s">
        <v>394</v>
      </c>
      <c r="B52" s="17" t="n">
        <v>5809</v>
      </c>
      <c r="C52" s="18">
        <f>(5098.0/B52*100)</f>
        <v/>
      </c>
      <c r="D52" s="19" t="n">
        <v>711</v>
      </c>
      <c r="E52" s="18" t="n">
        <v>75.56549369</v>
      </c>
      <c r="F52" s="20" t="n">
        <v>1.64185643</v>
      </c>
      <c r="G52" s="18" t="n">
        <v>23.62606365</v>
      </c>
      <c r="H52" s="20" t="n">
        <v>1.60595994</v>
      </c>
      <c r="I52" s="18" t="s">
        <v>349</v>
      </c>
      <c r="J52" s="20" t="s">
        <v>349</v>
      </c>
      <c r="K52" s="18" t="n">
        <v>0.1305836</v>
      </c>
      <c r="L52" s="20" t="n">
        <v>0.1309524</v>
      </c>
      <c r="M52" s="18" t="n">
        <v>0</v>
      </c>
      <c r="N52" s="20" t="n">
        <v>0</v>
      </c>
      <c r="O52" s="18" t="n">
        <v>0</v>
      </c>
      <c r="P52" s="20" t="n">
        <v>0</v>
      </c>
      <c r="Q52" s="18" t="n">
        <v>0.67785906</v>
      </c>
      <c r="R52" s="20" t="n">
        <v>0.34252776</v>
      </c>
    </row>
    <row r="53" spans="1:18">
      <c r="A53" s="15" t="s">
        <v>395</v>
      </c>
      <c r="B53" s="17" t="n">
        <v>5571</v>
      </c>
      <c r="C53" s="18">
        <f>(4876.0/B53*100)</f>
        <v/>
      </c>
      <c r="D53" s="19" t="n">
        <v>695</v>
      </c>
      <c r="E53" s="18" t="n">
        <v>69.53947941</v>
      </c>
      <c r="F53" s="20" t="n">
        <v>1.65784646</v>
      </c>
      <c r="G53" s="18" t="n">
        <v>29.02949345</v>
      </c>
      <c r="H53" s="20" t="n">
        <v>1.7406065</v>
      </c>
      <c r="I53" s="18" t="s">
        <v>349</v>
      </c>
      <c r="J53" s="20" t="s">
        <v>349</v>
      </c>
      <c r="K53" s="18" t="n">
        <v>0.54344598</v>
      </c>
      <c r="L53" s="20" t="n">
        <v>0.32401682</v>
      </c>
      <c r="M53" s="18" t="n">
        <v>0</v>
      </c>
      <c r="N53" s="20" t="n">
        <v>0</v>
      </c>
      <c r="O53" s="18" t="n">
        <v>0</v>
      </c>
      <c r="P53" s="20" t="n">
        <v>0</v>
      </c>
      <c r="Q53" s="18" t="n">
        <v>0.88758116</v>
      </c>
      <c r="R53" s="20" t="n">
        <v>0.4068083</v>
      </c>
    </row>
    <row r="54" spans="1:18">
      <c r="A54" s="15" t="s">
        <v>396</v>
      </c>
      <c r="B54" s="17" t="n">
        <v>4740</v>
      </c>
      <c r="C54" s="18">
        <f>(3964.0/B54*100)</f>
        <v/>
      </c>
      <c r="D54" s="19" t="n">
        <v>776</v>
      </c>
      <c r="E54" s="18" t="n">
        <v>88.13212052</v>
      </c>
      <c r="F54" s="20" t="n">
        <v>1.28066853</v>
      </c>
      <c r="G54" s="18" t="n">
        <v>4.75540424</v>
      </c>
      <c r="H54" s="20" t="n">
        <v>0.86389592</v>
      </c>
      <c r="I54" s="18" t="s">
        <v>349</v>
      </c>
      <c r="J54" s="20" t="s">
        <v>349</v>
      </c>
      <c r="K54" s="18" t="n">
        <v>4.60976459</v>
      </c>
      <c r="L54" s="20" t="n">
        <v>0.8060846</v>
      </c>
      <c r="M54" s="18" t="n">
        <v>0</v>
      </c>
      <c r="N54" s="20" t="n">
        <v>0</v>
      </c>
      <c r="O54" s="18" t="n">
        <v>0</v>
      </c>
      <c r="P54" s="20" t="n">
        <v>0</v>
      </c>
      <c r="Q54" s="18" t="n">
        <v>2.50271065</v>
      </c>
      <c r="R54" s="20" t="n">
        <v>0.56579906</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39.81761998</v>
      </c>
      <c r="F56" s="20" t="n">
        <v>2.19371764</v>
      </c>
      <c r="G56" s="18" t="n">
        <v>60.07596998</v>
      </c>
      <c r="H56" s="20" t="n">
        <v>2.19957656</v>
      </c>
      <c r="I56" s="18" t="s">
        <v>349</v>
      </c>
      <c r="J56" s="20" t="s">
        <v>349</v>
      </c>
      <c r="K56" s="18" t="n">
        <v>0</v>
      </c>
      <c r="L56" s="20" t="n">
        <v>0</v>
      </c>
      <c r="M56" s="18" t="n">
        <v>0</v>
      </c>
      <c r="N56" s="20" t="n">
        <v>0</v>
      </c>
      <c r="O56" s="18" t="n">
        <v>0</v>
      </c>
      <c r="P56" s="20" t="n">
        <v>0</v>
      </c>
      <c r="Q56" s="18" t="n">
        <v>0.10641003</v>
      </c>
      <c r="R56" s="20" t="n">
        <v>0.10661787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(5703.0/B61*100)</f>
        <v/>
      </c>
      <c r="D61" s="19" t="n">
        <v>822</v>
      </c>
      <c r="E61" s="18" t="n">
        <v>66.65093363</v>
      </c>
      <c r="F61" s="20" t="n">
        <v>1.90857069</v>
      </c>
      <c r="G61" s="18" t="n">
        <v>32.99228315</v>
      </c>
      <c r="H61" s="20" t="n">
        <v>1.91930596</v>
      </c>
      <c r="I61" s="18" t="s">
        <v>349</v>
      </c>
      <c r="J61" s="20" t="s">
        <v>349</v>
      </c>
      <c r="K61" s="18" t="n">
        <v>0.35678322</v>
      </c>
      <c r="L61" s="20" t="n">
        <v>0.35098483</v>
      </c>
      <c r="M61" s="18" t="n">
        <v>0</v>
      </c>
      <c r="N61" s="20" t="n">
        <v>0</v>
      </c>
      <c r="O61" s="18" t="n">
        <v>0</v>
      </c>
      <c r="P61" s="20" t="n">
        <v>0</v>
      </c>
      <c r="Q61" s="18" t="n">
        <v>0</v>
      </c>
      <c r="R61" s="20" t="n">
        <v>0</v>
      </c>
    </row>
    <row r="62" spans="1:18">
      <c r="A62" s="15" t="s">
        <v>404</v>
      </c>
      <c r="B62" s="17" t="n">
        <v>4476</v>
      </c>
      <c r="C62" s="18">
        <f>(3920.0/B62*100)</f>
        <v/>
      </c>
      <c r="D62" s="19" t="n">
        <v>556</v>
      </c>
      <c r="E62" s="18" t="n">
        <v>32.83613878</v>
      </c>
      <c r="F62" s="20" t="n">
        <v>2.04053737</v>
      </c>
      <c r="G62" s="18" t="n">
        <v>67.16386122</v>
      </c>
      <c r="H62" s="20" t="n">
        <v>2.04053737</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(4978.0/B66*100)</f>
        <v/>
      </c>
      <c r="D66" s="19" t="n">
        <v>687</v>
      </c>
      <c r="E66" s="18" t="n">
        <v>78.16266773</v>
      </c>
      <c r="F66" s="20" t="n">
        <v>1.54084726</v>
      </c>
      <c r="G66" s="18" t="n">
        <v>19.41575735</v>
      </c>
      <c r="H66" s="20" t="n">
        <v>1.51580677</v>
      </c>
      <c r="I66" s="18" t="s">
        <v>349</v>
      </c>
      <c r="J66" s="20" t="s">
        <v>349</v>
      </c>
      <c r="K66" s="18" t="n">
        <v>0.47987167</v>
      </c>
      <c r="L66" s="20" t="n">
        <v>0.28044184</v>
      </c>
      <c r="M66" s="18" t="n">
        <v>0</v>
      </c>
      <c r="N66" s="20" t="n">
        <v>0</v>
      </c>
      <c r="O66" s="18" t="n">
        <v>0</v>
      </c>
      <c r="P66" s="20" t="n">
        <v>0</v>
      </c>
      <c r="Q66" s="18" t="n">
        <v>1.94170324</v>
      </c>
      <c r="R66" s="20" t="n">
        <v>0.5292702500000001</v>
      </c>
    </row>
    <row r="67" spans="1:18">
      <c r="A67" s="15" t="s">
        <v>409</v>
      </c>
      <c r="B67" s="17" t="n">
        <v>6971</v>
      </c>
      <c r="C67" s="18">
        <f>(6142.0/B67*100)</f>
        <v/>
      </c>
      <c r="D67" s="19" t="n">
        <v>829</v>
      </c>
      <c r="E67" s="18" t="n">
        <v>89.03254465000001</v>
      </c>
      <c r="F67" s="20" t="n">
        <v>1.22225924</v>
      </c>
      <c r="G67" s="18" t="n">
        <v>9.835522490000001</v>
      </c>
      <c r="H67" s="20" t="n">
        <v>1.15429435</v>
      </c>
      <c r="I67" s="18" t="s">
        <v>349</v>
      </c>
      <c r="J67" s="20" t="s">
        <v>349</v>
      </c>
      <c r="K67" s="18" t="n">
        <v>0</v>
      </c>
      <c r="L67" s="20" t="n">
        <v>0</v>
      </c>
      <c r="M67" s="18" t="n">
        <v>0</v>
      </c>
      <c r="N67" s="20" t="n">
        <v>0</v>
      </c>
      <c r="O67" s="18" t="n">
        <v>0</v>
      </c>
      <c r="P67" s="20" t="n">
        <v>0</v>
      </c>
      <c r="Q67" s="18" t="n">
        <v>1.13193285</v>
      </c>
      <c r="R67" s="20" t="n">
        <v>0.35377749</v>
      </c>
    </row>
    <row r="68" spans="1:18">
      <c r="A68" s="15" t="s">
        <v>410</v>
      </c>
      <c r="B68" s="17" t="n">
        <v>12083</v>
      </c>
      <c r="C68" s="18">
        <f>(10086.0/B68*100)</f>
        <v/>
      </c>
      <c r="D68" s="19" t="n">
        <v>1997</v>
      </c>
      <c r="E68" s="18" t="n">
        <v>73.20577073</v>
      </c>
      <c r="F68" s="20" t="n">
        <v>1.08856985</v>
      </c>
      <c r="G68" s="18" t="n">
        <v>24.73025331</v>
      </c>
      <c r="H68" s="20" t="n">
        <v>1.0421309</v>
      </c>
      <c r="I68" s="18" t="s">
        <v>349</v>
      </c>
      <c r="J68" s="20" t="s">
        <v>349</v>
      </c>
      <c r="K68" s="18" t="n">
        <v>1.11788152</v>
      </c>
      <c r="L68" s="20" t="n">
        <v>0.2457764</v>
      </c>
      <c r="M68" s="18" t="n">
        <v>0</v>
      </c>
      <c r="N68" s="20" t="n">
        <v>0</v>
      </c>
      <c r="O68" s="18" t="n">
        <v>0</v>
      </c>
      <c r="P68" s="20" t="n">
        <v>0</v>
      </c>
      <c r="Q68" s="18" t="n">
        <v>0.94609443</v>
      </c>
      <c r="R68" s="20" t="n">
        <v>0.23902318</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(5291.0/B70*100)</f>
        <v/>
      </c>
      <c r="D70" s="19" t="n">
        <v>745</v>
      </c>
      <c r="E70" s="18" t="n">
        <v>52.09860172</v>
      </c>
      <c r="F70" s="20" t="n">
        <v>1.99358726</v>
      </c>
      <c r="G70" s="18" t="n">
        <v>47.60278605</v>
      </c>
      <c r="H70" s="20" t="n">
        <v>2.01648001</v>
      </c>
      <c r="I70" s="18" t="s">
        <v>349</v>
      </c>
      <c r="J70" s="20" t="s">
        <v>349</v>
      </c>
      <c r="K70" s="18" t="n">
        <v>0.1050602</v>
      </c>
      <c r="L70" s="20" t="n">
        <v>0.10450407</v>
      </c>
      <c r="M70" s="18" t="n">
        <v>0</v>
      </c>
      <c r="N70" s="20" t="n">
        <v>0</v>
      </c>
      <c r="O70" s="18" t="n">
        <v>0</v>
      </c>
      <c r="P70" s="20" t="n">
        <v>0</v>
      </c>
      <c r="Q70" s="18" t="n">
        <v>0.19355204</v>
      </c>
      <c r="R70" s="20" t="n">
        <v>0.19907585</v>
      </c>
    </row>
    <row r="71" spans="1:18">
      <c r="A71" s="15" t="s">
        <v>413</v>
      </c>
      <c r="B71" s="17" t="n">
        <v>6115</v>
      </c>
      <c r="C71" s="18">
        <f>(5348.0/B71*100)</f>
        <v/>
      </c>
      <c r="D71" s="19" t="n">
        <v>767</v>
      </c>
      <c r="E71" s="18" t="n">
        <v>34.71239106</v>
      </c>
      <c r="F71" s="20" t="n">
        <v>1.77911197</v>
      </c>
      <c r="G71" s="18" t="n">
        <v>64.90152378000001</v>
      </c>
      <c r="H71" s="20" t="n">
        <v>1.86062768</v>
      </c>
      <c r="I71" s="18" t="s">
        <v>349</v>
      </c>
      <c r="J71" s="20" t="s">
        <v>349</v>
      </c>
      <c r="K71" s="18" t="n">
        <v>0.22662423</v>
      </c>
      <c r="L71" s="20" t="n">
        <v>0.16720832</v>
      </c>
      <c r="M71" s="18" t="n">
        <v>0</v>
      </c>
      <c r="N71" s="20" t="n">
        <v>0</v>
      </c>
      <c r="O71" s="18" t="n">
        <v>0</v>
      </c>
      <c r="P71" s="20" t="n">
        <v>0</v>
      </c>
      <c r="Q71" s="18" t="n">
        <v>0.15946093</v>
      </c>
      <c r="R71" s="20" t="n">
        <v>0.15998867</v>
      </c>
    </row>
    <row r="72" spans="1:18">
      <c r="A72" s="15" t="s">
        <v>414</v>
      </c>
      <c r="B72" s="17" t="n">
        <v>7708</v>
      </c>
      <c r="C72" s="18">
        <f>(6750.0/B72*100)</f>
        <v/>
      </c>
      <c r="D72" s="19" t="n">
        <v>958</v>
      </c>
      <c r="E72" s="18" t="n">
        <v>32.75349497</v>
      </c>
      <c r="F72" s="20" t="n">
        <v>1.60261406</v>
      </c>
      <c r="G72" s="18" t="n">
        <v>66.90490633</v>
      </c>
      <c r="H72" s="20" t="n">
        <v>1.6149017</v>
      </c>
      <c r="I72" s="18" t="s">
        <v>349</v>
      </c>
      <c r="J72" s="20" t="s">
        <v>349</v>
      </c>
      <c r="K72" s="18" t="n">
        <v>0.11200161</v>
      </c>
      <c r="L72" s="20" t="n">
        <v>0.11201577</v>
      </c>
      <c r="M72" s="18" t="n">
        <v>0</v>
      </c>
      <c r="N72" s="20" t="n">
        <v>0</v>
      </c>
      <c r="O72" s="18" t="n">
        <v>0</v>
      </c>
      <c r="P72" s="20" t="n">
        <v>0</v>
      </c>
      <c r="Q72" s="18" t="n">
        <v>0.22959709</v>
      </c>
      <c r="R72" s="20" t="n">
        <v>0.13409618</v>
      </c>
    </row>
    <row r="73" spans="1:18">
      <c r="A73" s="15" t="s">
        <v>415</v>
      </c>
      <c r="B73" s="17" t="n">
        <v>8249</v>
      </c>
      <c r="C73" s="18">
        <f>(7257.0/B73*100)</f>
        <v/>
      </c>
      <c r="D73" s="19" t="n">
        <v>992</v>
      </c>
      <c r="E73" s="18" t="n">
        <v>81.73990377</v>
      </c>
      <c r="F73" s="20" t="n">
        <v>1.63118441</v>
      </c>
      <c r="G73" s="18" t="n">
        <v>17.64119914</v>
      </c>
      <c r="H73" s="20" t="n">
        <v>1.59724663</v>
      </c>
      <c r="I73" s="18" t="s">
        <v>349</v>
      </c>
      <c r="J73" s="20" t="s">
        <v>349</v>
      </c>
      <c r="K73" s="18" t="n">
        <v>0</v>
      </c>
      <c r="L73" s="20" t="n">
        <v>0</v>
      </c>
      <c r="M73" s="18" t="n">
        <v>0</v>
      </c>
      <c r="N73" s="20" t="n">
        <v>0</v>
      </c>
      <c r="O73" s="18" t="n">
        <v>0</v>
      </c>
      <c r="P73" s="20" t="n">
        <v>0</v>
      </c>
      <c r="Q73" s="18" t="n">
        <v>0.6188971</v>
      </c>
      <c r="R73" s="20" t="n">
        <v>0.29470714</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(4750.0/B75*100)</f>
        <v/>
      </c>
      <c r="D75" s="19" t="n">
        <v>625</v>
      </c>
      <c r="E75" s="18" t="n">
        <v>72.87856855</v>
      </c>
      <c r="F75" s="20" t="n">
        <v>2.19596177</v>
      </c>
      <c r="G75" s="18" t="n">
        <v>24.72727181</v>
      </c>
      <c r="H75" s="20" t="n">
        <v>2.11746489</v>
      </c>
      <c r="I75" s="18" t="s">
        <v>349</v>
      </c>
      <c r="J75" s="20" t="s">
        <v>349</v>
      </c>
      <c r="K75" s="18" t="n">
        <v>1.57655872</v>
      </c>
      <c r="L75" s="20" t="n">
        <v>0.49674565</v>
      </c>
      <c r="M75" s="18" t="n">
        <v>0</v>
      </c>
      <c r="N75" s="20" t="n">
        <v>0</v>
      </c>
      <c r="O75" s="18" t="n">
        <v>0</v>
      </c>
      <c r="P75" s="20" t="n">
        <v>0</v>
      </c>
      <c r="Q75" s="18" t="n">
        <v>0.81760091</v>
      </c>
      <c r="R75" s="20" t="n">
        <v>0.38008447</v>
      </c>
    </row>
    <row r="76" spans="1:18">
      <c r="A76" s="15" t="s">
        <v>418</v>
      </c>
      <c r="B76" s="17" t="n">
        <v>14167</v>
      </c>
      <c r="C76" s="18">
        <f>(12414.0/B76*100)</f>
        <v/>
      </c>
      <c r="D76" s="19" t="n">
        <v>1753</v>
      </c>
      <c r="E76" s="18" t="n">
        <v>69.93997998</v>
      </c>
      <c r="F76" s="20" t="n">
        <v>1.28535397</v>
      </c>
      <c r="G76" s="18" t="n">
        <v>29.21025435</v>
      </c>
      <c r="H76" s="20" t="n">
        <v>1.29923764</v>
      </c>
      <c r="I76" s="18" t="s">
        <v>349</v>
      </c>
      <c r="J76" s="20" t="s">
        <v>349</v>
      </c>
      <c r="K76" s="18" t="n">
        <v>0.16429395</v>
      </c>
      <c r="L76" s="20" t="n">
        <v>0.09784141</v>
      </c>
      <c r="M76" s="18" t="n">
        <v>0</v>
      </c>
      <c r="N76" s="20" t="n">
        <v>0</v>
      </c>
      <c r="O76" s="18" t="n">
        <v>0</v>
      </c>
      <c r="P76" s="20" t="n">
        <v>0</v>
      </c>
      <c r="Q76" s="18" t="n">
        <v>0.68547172</v>
      </c>
      <c r="R76" s="20" t="n">
        <v>0.2438593</v>
      </c>
    </row>
    <row r="77" spans="1:18">
      <c r="A77" s="15" t="s">
        <v>419</v>
      </c>
      <c r="B77" s="17" t="n">
        <v>6062</v>
      </c>
      <c r="C77" s="18">
        <f>(5306.0/B77*100)</f>
        <v/>
      </c>
      <c r="D77" s="19" t="n">
        <v>756</v>
      </c>
      <c r="E77" s="18" t="n">
        <v>80.96350364</v>
      </c>
      <c r="F77" s="20" t="n">
        <v>1.4402086</v>
      </c>
      <c r="G77" s="18" t="n">
        <v>15.09613224</v>
      </c>
      <c r="H77" s="20" t="n">
        <v>1.41737291</v>
      </c>
      <c r="I77" s="18" t="s">
        <v>349</v>
      </c>
      <c r="J77" s="20" t="s">
        <v>349</v>
      </c>
      <c r="K77" s="18" t="n">
        <v>1.07885614</v>
      </c>
      <c r="L77" s="20" t="n">
        <v>0.37915041</v>
      </c>
      <c r="M77" s="18" t="n">
        <v>0</v>
      </c>
      <c r="N77" s="20" t="n">
        <v>0</v>
      </c>
      <c r="O77" s="18" t="n">
        <v>0</v>
      </c>
      <c r="P77" s="20" t="n">
        <v>0</v>
      </c>
      <c r="Q77" s="18" t="n">
        <v>2.86150798</v>
      </c>
      <c r="R77" s="20" t="n">
        <v>0.48081055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(7756.0/B81*100)</f>
        <v/>
      </c>
      <c r="D81" s="19" t="n">
        <v>1105</v>
      </c>
      <c r="E81" s="18" t="n">
        <v>77.92258801</v>
      </c>
      <c r="F81" s="20" t="n">
        <v>1.72114543</v>
      </c>
      <c r="G81" s="18" t="n">
        <v>21.41790883</v>
      </c>
      <c r="H81" s="20" t="n">
        <v>1.78057474</v>
      </c>
      <c r="I81" s="18" t="s">
        <v>349</v>
      </c>
      <c r="J81" s="20" t="s">
        <v>349</v>
      </c>
      <c r="K81" s="18" t="n">
        <v>0</v>
      </c>
      <c r="L81" s="20" t="n">
        <v>0</v>
      </c>
      <c r="M81" s="18" t="n">
        <v>0</v>
      </c>
      <c r="N81" s="20" t="n">
        <v>0</v>
      </c>
      <c r="O81" s="18" t="n">
        <v>0</v>
      </c>
      <c r="P81" s="20" t="n">
        <v>0</v>
      </c>
      <c r="Q81" s="18" t="n">
        <v>0.65950316</v>
      </c>
      <c r="R81" s="20" t="n">
        <v>0.27630417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501</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(12706.0/B7*100)</f>
        <v/>
      </c>
      <c r="D7" s="19" t="n">
        <v>1824</v>
      </c>
      <c r="E7" s="18" t="n">
        <v>44.32865026</v>
      </c>
      <c r="F7" s="20" t="n">
        <v>1.52024415</v>
      </c>
      <c r="G7" s="18" t="n">
        <v>1.6201161</v>
      </c>
      <c r="H7" s="20" t="n">
        <v>0.36023921</v>
      </c>
      <c r="I7" s="18" t="n">
        <v>25.98736419</v>
      </c>
      <c r="J7" s="20" t="n">
        <v>1.17049529</v>
      </c>
      <c r="K7" s="18" t="s">
        <v>349</v>
      </c>
      <c r="L7" s="20" t="s">
        <v>349</v>
      </c>
      <c r="M7" s="18" t="n">
        <v>0.3819895</v>
      </c>
      <c r="N7" s="20" t="n">
        <v>0.17064171</v>
      </c>
      <c r="O7" s="18" t="n">
        <v>0.2085227</v>
      </c>
      <c r="P7" s="20" t="n">
        <v>0.13183427</v>
      </c>
      <c r="Q7" s="18" t="n">
        <v>0</v>
      </c>
      <c r="R7" s="20" t="n">
        <v>0</v>
      </c>
      <c r="S7" s="18" t="n">
        <v>27.47335725</v>
      </c>
      <c r="T7" s="20" t="n">
        <v>1.22889612</v>
      </c>
    </row>
    <row r="8" spans="1:20">
      <c r="A8" s="15" t="s">
        <v>350</v>
      </c>
      <c r="B8" s="17" t="n">
        <v>7007</v>
      </c>
      <c r="C8" s="18">
        <f>(6121.0/B8*100)</f>
        <v/>
      </c>
      <c r="D8" s="19" t="n">
        <v>886</v>
      </c>
      <c r="E8" s="18" t="n">
        <v>39.76361657</v>
      </c>
      <c r="F8" s="20" t="n">
        <v>1.81335679</v>
      </c>
      <c r="G8" s="18" t="n">
        <v>3.454172</v>
      </c>
      <c r="H8" s="20" t="n">
        <v>0.59583959</v>
      </c>
      <c r="I8" s="18" t="n">
        <v>19.39934937</v>
      </c>
      <c r="J8" s="20" t="n">
        <v>1.41860889</v>
      </c>
      <c r="K8" s="18" t="s">
        <v>349</v>
      </c>
      <c r="L8" s="20" t="s">
        <v>349</v>
      </c>
      <c r="M8" s="18" t="n">
        <v>0.7167824</v>
      </c>
      <c r="N8" s="20" t="n">
        <v>0.5795174</v>
      </c>
      <c r="O8" s="18" t="n">
        <v>0</v>
      </c>
      <c r="P8" s="20" t="n">
        <v>0</v>
      </c>
      <c r="Q8" s="18" t="n">
        <v>0</v>
      </c>
      <c r="R8" s="20" t="n">
        <v>0</v>
      </c>
      <c r="S8" s="18" t="n">
        <v>36.66607965</v>
      </c>
      <c r="T8" s="20" t="n">
        <v>1.68849027</v>
      </c>
    </row>
    <row r="9" spans="1:20">
      <c r="A9" s="15" t="s">
        <v>351</v>
      </c>
      <c r="B9" s="17" t="n">
        <v>9651</v>
      </c>
      <c r="C9" s="18">
        <f>(8247.0/B9*100)</f>
        <v/>
      </c>
      <c r="D9" s="19" t="n">
        <v>1404</v>
      </c>
      <c r="E9" s="18" t="n">
        <v>34.37370339</v>
      </c>
      <c r="F9" s="20" t="n">
        <v>1.25401305</v>
      </c>
      <c r="G9" s="18" t="n">
        <v>1.67906913</v>
      </c>
      <c r="H9" s="20" t="n">
        <v>0.35657081</v>
      </c>
      <c r="I9" s="18" t="n">
        <v>27.28064525</v>
      </c>
      <c r="J9" s="20" t="n">
        <v>1.51857388</v>
      </c>
      <c r="K9" s="18" t="s">
        <v>349</v>
      </c>
      <c r="L9" s="20" t="s">
        <v>349</v>
      </c>
      <c r="M9" s="18" t="n">
        <v>2.19221584</v>
      </c>
      <c r="N9" s="20" t="n">
        <v>0.56779237</v>
      </c>
      <c r="O9" s="18" t="n">
        <v>0.49461114</v>
      </c>
      <c r="P9" s="20" t="n">
        <v>0.17809031</v>
      </c>
      <c r="Q9" s="18" t="n">
        <v>0</v>
      </c>
      <c r="R9" s="20" t="n">
        <v>0</v>
      </c>
      <c r="S9" s="18" t="n">
        <v>33.97975525</v>
      </c>
      <c r="T9" s="20" t="n">
        <v>1.44678244</v>
      </c>
    </row>
    <row r="10" spans="1:20">
      <c r="A10" s="15" t="s">
        <v>352</v>
      </c>
      <c r="B10" s="17" t="n">
        <v>20058</v>
      </c>
      <c r="C10" s="18">
        <f>(17557.0/B10*100)</f>
        <v/>
      </c>
      <c r="D10" s="19" t="n">
        <v>2501</v>
      </c>
      <c r="E10" s="18" t="n">
        <v>41.93340822</v>
      </c>
      <c r="F10" s="20" t="n">
        <v>1.32637945</v>
      </c>
      <c r="G10" s="18" t="n">
        <v>1.73293943</v>
      </c>
      <c r="H10" s="20" t="n">
        <v>0.3697529</v>
      </c>
      <c r="I10" s="18" t="n">
        <v>34.06033338</v>
      </c>
      <c r="J10" s="20" t="n">
        <v>1.29590115</v>
      </c>
      <c r="K10" s="18" t="s">
        <v>349</v>
      </c>
      <c r="L10" s="20" t="s">
        <v>349</v>
      </c>
      <c r="M10" s="18" t="n">
        <v>0.16292744</v>
      </c>
      <c r="N10" s="20" t="n">
        <v>0.06306233999999999</v>
      </c>
      <c r="O10" s="18" t="n">
        <v>0.08650046</v>
      </c>
      <c r="P10" s="20" t="n">
        <v>0.05680024</v>
      </c>
      <c r="Q10" s="18" t="n">
        <v>0</v>
      </c>
      <c r="R10" s="20" t="n">
        <v>0</v>
      </c>
      <c r="S10" s="18" t="n">
        <v>22.02389108</v>
      </c>
      <c r="T10" s="20" t="n">
        <v>1.32326581</v>
      </c>
    </row>
    <row r="11" spans="1:20">
      <c r="A11" s="15" t="s">
        <v>353</v>
      </c>
      <c r="B11" s="17" t="n">
        <v>7053</v>
      </c>
      <c r="C11" s="18">
        <f>(6212.0/B11*100)</f>
        <v/>
      </c>
      <c r="D11" s="19" t="n">
        <v>841</v>
      </c>
      <c r="E11" s="18" t="n">
        <v>39.67590674</v>
      </c>
      <c r="F11" s="20" t="n">
        <v>1.6273421</v>
      </c>
      <c r="G11" s="18" t="n">
        <v>1.26727511</v>
      </c>
      <c r="H11" s="20" t="n">
        <v>0.28188701</v>
      </c>
      <c r="I11" s="18" t="n">
        <v>15.69702635</v>
      </c>
      <c r="J11" s="20" t="n">
        <v>1.57962918</v>
      </c>
      <c r="K11" s="18" t="s">
        <v>349</v>
      </c>
      <c r="L11" s="20" t="s">
        <v>349</v>
      </c>
      <c r="M11" s="18" t="n">
        <v>0.38213484</v>
      </c>
      <c r="N11" s="20" t="n">
        <v>0.22567098</v>
      </c>
      <c r="O11" s="18" t="n">
        <v>0</v>
      </c>
      <c r="P11" s="20" t="n">
        <v>0</v>
      </c>
      <c r="Q11" s="18" t="n">
        <v>0</v>
      </c>
      <c r="R11" s="20" t="n">
        <v>0</v>
      </c>
      <c r="S11" s="18" t="n">
        <v>42.97765696</v>
      </c>
      <c r="T11" s="20" t="n">
        <v>1.79292309</v>
      </c>
    </row>
    <row r="12" spans="1:20">
      <c r="A12" s="15" t="s">
        <v>354</v>
      </c>
      <c r="B12" s="17" t="n">
        <v>6894</v>
      </c>
      <c r="C12" s="18">
        <f>(5989.0/B12*100)</f>
        <v/>
      </c>
      <c r="D12" s="19" t="n">
        <v>905</v>
      </c>
      <c r="E12" s="18" t="n">
        <v>41.27864369</v>
      </c>
      <c r="F12" s="20" t="n">
        <v>2.19984139</v>
      </c>
      <c r="G12" s="18" t="n">
        <v>1.11184627</v>
      </c>
      <c r="H12" s="20" t="n">
        <v>0.39689133</v>
      </c>
      <c r="I12" s="18" t="n">
        <v>19.68247462</v>
      </c>
      <c r="J12" s="20" t="n">
        <v>1.62591972</v>
      </c>
      <c r="K12" s="18" t="s">
        <v>349</v>
      </c>
      <c r="L12" s="20" t="s">
        <v>349</v>
      </c>
      <c r="M12" s="18" t="n">
        <v>0.20684121</v>
      </c>
      <c r="N12" s="20" t="n">
        <v>0.18467442</v>
      </c>
      <c r="O12" s="18" t="n">
        <v>0.1356244</v>
      </c>
      <c r="P12" s="20" t="n">
        <v>0.10318288</v>
      </c>
      <c r="Q12" s="18" t="n">
        <v>0</v>
      </c>
      <c r="R12" s="20" t="n">
        <v>0</v>
      </c>
      <c r="S12" s="18" t="n">
        <v>37.5845698</v>
      </c>
      <c r="T12" s="20" t="n">
        <v>1.87559965</v>
      </c>
    </row>
    <row r="13" spans="1:20">
      <c r="A13" s="15" t="s">
        <v>355</v>
      </c>
      <c r="B13" s="17" t="n">
        <v>7161</v>
      </c>
      <c r="C13" s="18">
        <f>(5988.0/B13*100)</f>
        <v/>
      </c>
      <c r="D13" s="19" t="n">
        <v>1173</v>
      </c>
      <c r="E13" s="18" t="n">
        <v>40.35498649</v>
      </c>
      <c r="F13" s="20" t="n">
        <v>1.93895884</v>
      </c>
      <c r="G13" s="18" t="n">
        <v>0.62909632</v>
      </c>
      <c r="H13" s="20" t="n">
        <v>0.32961363</v>
      </c>
      <c r="I13" s="18" t="n">
        <v>32.27130773</v>
      </c>
      <c r="J13" s="20" t="n">
        <v>1.82799703</v>
      </c>
      <c r="K13" s="18" t="s">
        <v>349</v>
      </c>
      <c r="L13" s="20" t="s">
        <v>349</v>
      </c>
      <c r="M13" s="18" t="n">
        <v>0.99376933</v>
      </c>
      <c r="N13" s="20" t="n">
        <v>0.37149282</v>
      </c>
      <c r="O13" s="18" t="n">
        <v>0.0829772</v>
      </c>
      <c r="P13" s="20" t="n">
        <v>0.0839295</v>
      </c>
      <c r="Q13" s="18" t="n">
        <v>0</v>
      </c>
      <c r="R13" s="20" t="n">
        <v>0</v>
      </c>
      <c r="S13" s="18" t="n">
        <v>25.66786292</v>
      </c>
      <c r="T13" s="20" t="n">
        <v>1.86065384</v>
      </c>
    </row>
    <row r="14" spans="1:20">
      <c r="A14" s="15" t="s">
        <v>356</v>
      </c>
      <c r="B14" s="17" t="n">
        <v>5587</v>
      </c>
      <c r="C14" s="18">
        <f>(4906.0/B14*100)</f>
        <v/>
      </c>
      <c r="D14" s="19" t="n">
        <v>681</v>
      </c>
      <c r="E14" s="18" t="n">
        <v>35.27227695</v>
      </c>
      <c r="F14" s="20" t="n">
        <v>1.87553787</v>
      </c>
      <c r="G14" s="18" t="n">
        <v>1.88959309</v>
      </c>
      <c r="H14" s="20" t="n">
        <v>0.61870117</v>
      </c>
      <c r="I14" s="18" t="n">
        <v>36.8305968</v>
      </c>
      <c r="J14" s="20" t="n">
        <v>1.9813401</v>
      </c>
      <c r="K14" s="18" t="s">
        <v>349</v>
      </c>
      <c r="L14" s="20" t="s">
        <v>349</v>
      </c>
      <c r="M14" s="18" t="n">
        <v>0</v>
      </c>
      <c r="N14" s="20" t="n">
        <v>0</v>
      </c>
      <c r="O14" s="18" t="n">
        <v>0</v>
      </c>
      <c r="P14" s="20" t="n">
        <v>0</v>
      </c>
      <c r="Q14" s="18" t="n">
        <v>0</v>
      </c>
      <c r="R14" s="20" t="n">
        <v>0</v>
      </c>
      <c r="S14" s="18" t="n">
        <v>26.00753316</v>
      </c>
      <c r="T14" s="20" t="n">
        <v>1.80139353</v>
      </c>
    </row>
    <row r="15" spans="1:20">
      <c r="A15" s="15" t="s">
        <v>357</v>
      </c>
      <c r="B15" s="17" t="n">
        <v>5882</v>
      </c>
      <c r="C15" s="18">
        <f>(5132.0/B15*100)</f>
        <v/>
      </c>
      <c r="D15" s="19" t="n">
        <v>750</v>
      </c>
      <c r="E15" s="18" t="n">
        <v>41.86003557</v>
      </c>
      <c r="F15" s="20" t="n">
        <v>1.77310931</v>
      </c>
      <c r="G15" s="18" t="n">
        <v>2.24860558</v>
      </c>
      <c r="H15" s="20" t="n">
        <v>0.50756542</v>
      </c>
      <c r="I15" s="18" t="n">
        <v>23.31441071</v>
      </c>
      <c r="J15" s="20" t="n">
        <v>1.7077964</v>
      </c>
      <c r="K15" s="18" t="s">
        <v>349</v>
      </c>
      <c r="L15" s="20" t="s">
        <v>349</v>
      </c>
      <c r="M15" s="18" t="n">
        <v>1.58262182</v>
      </c>
      <c r="N15" s="20" t="n">
        <v>0.81341502</v>
      </c>
      <c r="O15" s="18" t="n">
        <v>0</v>
      </c>
      <c r="P15" s="20" t="n">
        <v>0</v>
      </c>
      <c r="Q15" s="18" t="n">
        <v>0</v>
      </c>
      <c r="R15" s="20" t="n">
        <v>0</v>
      </c>
      <c r="S15" s="18" t="n">
        <v>30.99432632</v>
      </c>
      <c r="T15" s="20" t="n">
        <v>2.08082931</v>
      </c>
    </row>
    <row r="16" spans="1:20">
      <c r="A16" s="15" t="s">
        <v>358</v>
      </c>
      <c r="B16" s="17" t="n">
        <v>6108</v>
      </c>
      <c r="C16" s="18">
        <f>(5383.0/B16*100)</f>
        <v/>
      </c>
      <c r="D16" s="19" t="n">
        <v>725</v>
      </c>
      <c r="E16" s="18" t="n">
        <v>24.34356866</v>
      </c>
      <c r="F16" s="20" t="n">
        <v>1.62879534</v>
      </c>
      <c r="G16" s="18" t="n">
        <v>1.41502264</v>
      </c>
      <c r="H16" s="20" t="n">
        <v>0.36205775</v>
      </c>
      <c r="I16" s="18" t="n">
        <v>35.60878903</v>
      </c>
      <c r="J16" s="20" t="n">
        <v>1.76336719</v>
      </c>
      <c r="K16" s="18" t="s">
        <v>349</v>
      </c>
      <c r="L16" s="20" t="s">
        <v>349</v>
      </c>
      <c r="M16" s="18" t="n">
        <v>0.96540973</v>
      </c>
      <c r="N16" s="20" t="n">
        <v>0.35818437</v>
      </c>
      <c r="O16" s="18" t="n">
        <v>0</v>
      </c>
      <c r="P16" s="20" t="n">
        <v>0</v>
      </c>
      <c r="Q16" s="18" t="n">
        <v>0</v>
      </c>
      <c r="R16" s="20" t="n">
        <v>0</v>
      </c>
      <c r="S16" s="18" t="n">
        <v>37.66720993</v>
      </c>
      <c r="T16" s="20" t="n">
        <v>1.95187748</v>
      </c>
    </row>
    <row r="17" spans="1:20">
      <c r="A17" s="15" t="s">
        <v>359</v>
      </c>
      <c r="B17" s="17" t="n">
        <v>6504</v>
      </c>
      <c r="C17" s="18">
        <f>(5606.0/B17*100)</f>
        <v/>
      </c>
      <c r="D17" s="19" t="n">
        <v>898</v>
      </c>
      <c r="E17" s="18" t="n">
        <v>34.72470147</v>
      </c>
      <c r="F17" s="20" t="n">
        <v>1.62723089</v>
      </c>
      <c r="G17" s="18" t="n">
        <v>1.96697172</v>
      </c>
      <c r="H17" s="20" t="n">
        <v>0.50055912</v>
      </c>
      <c r="I17" s="18" t="n">
        <v>24.24740721</v>
      </c>
      <c r="J17" s="20" t="n">
        <v>1.73229259</v>
      </c>
      <c r="K17" s="18" t="s">
        <v>349</v>
      </c>
      <c r="L17" s="20" t="s">
        <v>349</v>
      </c>
      <c r="M17" s="18" t="n">
        <v>3.82576986</v>
      </c>
      <c r="N17" s="20" t="n">
        <v>0.93411793</v>
      </c>
      <c r="O17" s="18" t="n">
        <v>0</v>
      </c>
      <c r="P17" s="20" t="n">
        <v>0</v>
      </c>
      <c r="Q17" s="18" t="n">
        <v>0</v>
      </c>
      <c r="R17" s="20" t="n">
        <v>0</v>
      </c>
      <c r="S17" s="18" t="n">
        <v>35.23514974</v>
      </c>
      <c r="T17" s="20" t="n">
        <v>1.82257407</v>
      </c>
    </row>
    <row r="18" spans="1:20">
      <c r="A18" s="15" t="s">
        <v>360</v>
      </c>
      <c r="B18" s="17" t="n">
        <v>5532</v>
      </c>
      <c r="C18" s="18">
        <f>(4862.0/B18*100)</f>
        <v/>
      </c>
      <c r="D18" s="19" t="n">
        <v>670</v>
      </c>
      <c r="E18" s="18" t="n">
        <v>40.34038626</v>
      </c>
      <c r="F18" s="20" t="n">
        <v>2.21830152</v>
      </c>
      <c r="G18" s="18" t="n">
        <v>1.93097138</v>
      </c>
      <c r="H18" s="20" t="n">
        <v>0.52740756</v>
      </c>
      <c r="I18" s="18" t="n">
        <v>13.97746317</v>
      </c>
      <c r="J18" s="20" t="n">
        <v>1.78096106</v>
      </c>
      <c r="K18" s="18" t="s">
        <v>349</v>
      </c>
      <c r="L18" s="20" t="s">
        <v>349</v>
      </c>
      <c r="M18" s="18" t="n">
        <v>0.91853775</v>
      </c>
      <c r="N18" s="20" t="n">
        <v>0.45305969</v>
      </c>
      <c r="O18" s="18" t="n">
        <v>0.08932632</v>
      </c>
      <c r="P18" s="20" t="n">
        <v>0.08937257</v>
      </c>
      <c r="Q18" s="18" t="n">
        <v>0</v>
      </c>
      <c r="R18" s="20" t="n">
        <v>0</v>
      </c>
      <c r="S18" s="18" t="n">
        <v>42.74331512</v>
      </c>
      <c r="T18" s="20" t="n">
        <v>2.29186874</v>
      </c>
    </row>
    <row r="19" spans="1:20">
      <c r="A19" s="15" t="s">
        <v>361</v>
      </c>
      <c r="B19" s="17" t="n">
        <v>5658</v>
      </c>
      <c r="C19" s="18">
        <f>(4978.0/B19*100)</f>
        <v/>
      </c>
      <c r="D19" s="19" t="n">
        <v>680</v>
      </c>
      <c r="E19" s="18" t="n">
        <v>48.03364063</v>
      </c>
      <c r="F19" s="20" t="n">
        <v>1.89756977</v>
      </c>
      <c r="G19" s="18" t="n">
        <v>0.14691416</v>
      </c>
      <c r="H19" s="20" t="n">
        <v>0.1254597</v>
      </c>
      <c r="I19" s="18" t="n">
        <v>18.63147827</v>
      </c>
      <c r="J19" s="20" t="n">
        <v>1.37734705</v>
      </c>
      <c r="K19" s="18" t="s">
        <v>349</v>
      </c>
      <c r="L19" s="20" t="s">
        <v>349</v>
      </c>
      <c r="M19" s="18" t="n">
        <v>0</v>
      </c>
      <c r="N19" s="20" t="n">
        <v>0</v>
      </c>
      <c r="O19" s="18" t="n">
        <v>0</v>
      </c>
      <c r="P19" s="20" t="n">
        <v>0</v>
      </c>
      <c r="Q19" s="18" t="n">
        <v>0</v>
      </c>
      <c r="R19" s="20" t="n">
        <v>0</v>
      </c>
      <c r="S19" s="18" t="n">
        <v>33.18796693</v>
      </c>
      <c r="T19" s="20" t="n">
        <v>2.00924528</v>
      </c>
    </row>
    <row r="20" spans="1:20">
      <c r="A20" s="15" t="s">
        <v>362</v>
      </c>
      <c r="B20" s="17" t="n">
        <v>3371</v>
      </c>
      <c r="C20" s="18">
        <f>(2961.0/B20*100)</f>
        <v/>
      </c>
      <c r="D20" s="19" t="n">
        <v>410</v>
      </c>
      <c r="E20" s="18" t="n">
        <v>47.94582138</v>
      </c>
      <c r="F20" s="20" t="n">
        <v>2.21456484</v>
      </c>
      <c r="G20" s="18" t="n">
        <v>2.08130671</v>
      </c>
      <c r="H20" s="20" t="n">
        <v>0.70101107</v>
      </c>
      <c r="I20" s="18" t="n">
        <v>26.44150376</v>
      </c>
      <c r="J20" s="20" t="n">
        <v>2.04974184</v>
      </c>
      <c r="K20" s="18" t="s">
        <v>349</v>
      </c>
      <c r="L20" s="20" t="s">
        <v>349</v>
      </c>
      <c r="M20" s="18" t="n">
        <v>0.49767769</v>
      </c>
      <c r="N20" s="20" t="n">
        <v>0.33184446</v>
      </c>
      <c r="O20" s="18" t="n">
        <v>0</v>
      </c>
      <c r="P20" s="20" t="n">
        <v>0</v>
      </c>
      <c r="Q20" s="18" t="n">
        <v>0</v>
      </c>
      <c r="R20" s="20" t="n">
        <v>0</v>
      </c>
      <c r="S20" s="18" t="n">
        <v>23.03369046</v>
      </c>
      <c r="T20" s="20" t="n">
        <v>1.98071719</v>
      </c>
    </row>
    <row r="21" spans="1:20">
      <c r="A21" s="15" t="s">
        <v>363</v>
      </c>
      <c r="B21" s="17" t="n">
        <v>5741</v>
      </c>
      <c r="C21" s="18">
        <f>(4777.0/B21*100)</f>
        <v/>
      </c>
      <c r="D21" s="19" t="n">
        <v>964</v>
      </c>
      <c r="E21" s="18" t="n">
        <v>47.59655142</v>
      </c>
      <c r="F21" s="20" t="n">
        <v>1.58536636</v>
      </c>
      <c r="G21" s="18" t="n">
        <v>1.60765359</v>
      </c>
      <c r="H21" s="20" t="n">
        <v>0.4013669</v>
      </c>
      <c r="I21" s="18" t="n">
        <v>27.97632456</v>
      </c>
      <c r="J21" s="20" t="n">
        <v>1.39714461</v>
      </c>
      <c r="K21" s="18" t="s">
        <v>349</v>
      </c>
      <c r="L21" s="20" t="s">
        <v>349</v>
      </c>
      <c r="M21" s="18" t="n">
        <v>0.1612178</v>
      </c>
      <c r="N21" s="20" t="n">
        <v>0.11390089</v>
      </c>
      <c r="O21" s="18" t="n">
        <v>0</v>
      </c>
      <c r="P21" s="20" t="n">
        <v>0</v>
      </c>
      <c r="Q21" s="18" t="n">
        <v>0</v>
      </c>
      <c r="R21" s="20" t="n">
        <v>0</v>
      </c>
      <c r="S21" s="18" t="n">
        <v>22.65825262</v>
      </c>
      <c r="T21" s="20" t="n">
        <v>1.44769064</v>
      </c>
    </row>
    <row r="22" spans="1:20">
      <c r="A22" s="15" t="s">
        <v>364</v>
      </c>
      <c r="B22" s="17" t="n">
        <v>6598</v>
      </c>
      <c r="C22" s="18">
        <f>(5752.0/B22*100)</f>
        <v/>
      </c>
      <c r="D22" s="19" t="n">
        <v>846</v>
      </c>
      <c r="E22" s="18" t="n">
        <v>34.5026858</v>
      </c>
      <c r="F22" s="20" t="n">
        <v>1.96111767</v>
      </c>
      <c r="G22" s="18" t="n">
        <v>2.10346006</v>
      </c>
      <c r="H22" s="20" t="n">
        <v>0.49445166</v>
      </c>
      <c r="I22" s="18" t="n">
        <v>24.34182492</v>
      </c>
      <c r="J22" s="20" t="n">
        <v>1.70189481</v>
      </c>
      <c r="K22" s="18" t="s">
        <v>349</v>
      </c>
      <c r="L22" s="20" t="s">
        <v>349</v>
      </c>
      <c r="M22" s="18" t="n">
        <v>0.84445422</v>
      </c>
      <c r="N22" s="20" t="n">
        <v>0.3643876</v>
      </c>
      <c r="O22" s="18" t="n">
        <v>0.18317167</v>
      </c>
      <c r="P22" s="20" t="n">
        <v>0.18232856</v>
      </c>
      <c r="Q22" s="18" t="n">
        <v>0</v>
      </c>
      <c r="R22" s="20" t="n">
        <v>0</v>
      </c>
      <c r="S22" s="18" t="n">
        <v>38.02440334</v>
      </c>
      <c r="T22" s="20" t="n">
        <v>1.84609098</v>
      </c>
    </row>
    <row r="23" spans="1:20">
      <c r="A23" s="15" t="s">
        <v>365</v>
      </c>
      <c r="B23" s="17" t="n">
        <v>11583</v>
      </c>
      <c r="C23" s="18">
        <f>(10142.0/B23*100)</f>
        <v/>
      </c>
      <c r="D23" s="19" t="n">
        <v>1441</v>
      </c>
      <c r="E23" s="18" t="n">
        <v>30.66315641</v>
      </c>
      <c r="F23" s="20" t="n">
        <v>1.62866185</v>
      </c>
      <c r="G23" s="18" t="n">
        <v>1.64517717</v>
      </c>
      <c r="H23" s="20" t="n">
        <v>0.50161786</v>
      </c>
      <c r="I23" s="18" t="n">
        <v>18.19227811</v>
      </c>
      <c r="J23" s="20" t="n">
        <v>1.60228034</v>
      </c>
      <c r="K23" s="18" t="s">
        <v>349</v>
      </c>
      <c r="L23" s="20" t="s">
        <v>349</v>
      </c>
      <c r="M23" s="18" t="n">
        <v>0.9816542700000001</v>
      </c>
      <c r="N23" s="20" t="n">
        <v>0.3960688</v>
      </c>
      <c r="O23" s="18" t="n">
        <v>0.08117702</v>
      </c>
      <c r="P23" s="20" t="n">
        <v>0.08704742</v>
      </c>
      <c r="Q23" s="18" t="n">
        <v>0</v>
      </c>
      <c r="R23" s="20" t="n">
        <v>0</v>
      </c>
      <c r="S23" s="18" t="n">
        <v>48.43655703</v>
      </c>
      <c r="T23" s="20" t="n">
        <v>1.57828518</v>
      </c>
    </row>
    <row r="24" spans="1:20">
      <c r="A24" s="15" t="s">
        <v>366</v>
      </c>
      <c r="B24" s="17" t="n">
        <v>6647</v>
      </c>
      <c r="C24" s="18">
        <f>(5841.0/B24*100)</f>
        <v/>
      </c>
      <c r="D24" s="19" t="n">
        <v>806</v>
      </c>
      <c r="E24" s="18" t="n">
        <v>16.13212979</v>
      </c>
      <c r="F24" s="20" t="n">
        <v>1.32711202</v>
      </c>
      <c r="G24" s="18" t="n">
        <v>8.27642868</v>
      </c>
      <c r="H24" s="20" t="n">
        <v>0.99920677</v>
      </c>
      <c r="I24" s="18" t="n">
        <v>61.46974472</v>
      </c>
      <c r="J24" s="20" t="n">
        <v>1.81452492</v>
      </c>
      <c r="K24" s="18" t="s">
        <v>349</v>
      </c>
      <c r="L24" s="20" t="s">
        <v>349</v>
      </c>
      <c r="M24" s="18" t="n">
        <v>0.08849753</v>
      </c>
      <c r="N24" s="20" t="n">
        <v>0.08865061</v>
      </c>
      <c r="O24" s="18" t="n">
        <v>0</v>
      </c>
      <c r="P24" s="20" t="n">
        <v>0</v>
      </c>
      <c r="Q24" s="18" t="n">
        <v>0</v>
      </c>
      <c r="R24" s="20" t="n">
        <v>0</v>
      </c>
      <c r="S24" s="18" t="n">
        <v>14.03319928</v>
      </c>
      <c r="T24" s="20" t="n">
        <v>1.28142598</v>
      </c>
    </row>
    <row r="25" spans="1:20">
      <c r="A25" s="15" t="s">
        <v>367</v>
      </c>
      <c r="B25" s="17" t="n">
        <v>5581</v>
      </c>
      <c r="C25" s="18">
        <f>(4882.0/B25*100)</f>
        <v/>
      </c>
      <c r="D25" s="19" t="n">
        <v>699</v>
      </c>
      <c r="E25" s="18" t="n">
        <v>22.21976794</v>
      </c>
      <c r="F25" s="20" t="n">
        <v>1.77018118</v>
      </c>
      <c r="G25" s="18" t="n">
        <v>4.65925248</v>
      </c>
      <c r="H25" s="20" t="n">
        <v>0.89286034</v>
      </c>
      <c r="I25" s="18" t="n">
        <v>57.57126452</v>
      </c>
      <c r="J25" s="20" t="n">
        <v>2.20069574</v>
      </c>
      <c r="K25" s="18" t="s">
        <v>349</v>
      </c>
      <c r="L25" s="20" t="s">
        <v>349</v>
      </c>
      <c r="M25" s="18" t="n">
        <v>1.14756326</v>
      </c>
      <c r="N25" s="20" t="n">
        <v>0.42591374</v>
      </c>
      <c r="O25" s="18" t="n">
        <v>0</v>
      </c>
      <c r="P25" s="20" t="n">
        <v>0</v>
      </c>
      <c r="Q25" s="18" t="n">
        <v>0</v>
      </c>
      <c r="R25" s="20" t="n">
        <v>0</v>
      </c>
      <c r="S25" s="18" t="n">
        <v>14.40215181</v>
      </c>
      <c r="T25" s="20" t="n">
        <v>1.42157603</v>
      </c>
    </row>
    <row r="26" spans="1:20">
      <c r="A26" s="15" t="s">
        <v>368</v>
      </c>
      <c r="B26" s="17" t="n">
        <v>4869</v>
      </c>
      <c r="C26" s="18">
        <f>(4264.0/B26*100)</f>
        <v/>
      </c>
      <c r="D26" s="19" t="n">
        <v>605</v>
      </c>
      <c r="E26" s="18" t="n">
        <v>40.88470175</v>
      </c>
      <c r="F26" s="20" t="n">
        <v>2.04672968</v>
      </c>
      <c r="G26" s="18" t="n">
        <v>2.42507123</v>
      </c>
      <c r="H26" s="20" t="n">
        <v>0.64963497</v>
      </c>
      <c r="I26" s="18" t="n">
        <v>30.11760667</v>
      </c>
      <c r="J26" s="20" t="n">
        <v>1.98346862</v>
      </c>
      <c r="K26" s="18" t="s">
        <v>349</v>
      </c>
      <c r="L26" s="20" t="s">
        <v>349</v>
      </c>
      <c r="M26" s="18" t="n">
        <v>0.27779109</v>
      </c>
      <c r="N26" s="20" t="n">
        <v>0.2015061</v>
      </c>
      <c r="O26" s="18" t="n">
        <v>0</v>
      </c>
      <c r="P26" s="20" t="n">
        <v>0</v>
      </c>
      <c r="Q26" s="18" t="n">
        <v>0</v>
      </c>
      <c r="R26" s="20" t="n">
        <v>0</v>
      </c>
      <c r="S26" s="18" t="n">
        <v>26.29482926</v>
      </c>
      <c r="T26" s="20" t="n">
        <v>1.76299505</v>
      </c>
    </row>
    <row r="27" spans="1:20">
      <c r="A27" s="15" t="s">
        <v>369</v>
      </c>
      <c r="B27" s="17" t="n">
        <v>5299</v>
      </c>
      <c r="C27" s="18">
        <f>(4651.0/B27*100)</f>
        <v/>
      </c>
      <c r="D27" s="19" t="n">
        <v>648</v>
      </c>
      <c r="E27" s="18" t="n">
        <v>41.48227083</v>
      </c>
      <c r="F27" s="20" t="n">
        <v>2.16519759</v>
      </c>
      <c r="G27" s="18" t="n">
        <v>1.08315853</v>
      </c>
      <c r="H27" s="20" t="n">
        <v>0.39790555</v>
      </c>
      <c r="I27" s="18" t="n">
        <v>26.09795125</v>
      </c>
      <c r="J27" s="20" t="n">
        <v>1.48487032</v>
      </c>
      <c r="K27" s="18" t="s">
        <v>349</v>
      </c>
      <c r="L27" s="20" t="s">
        <v>349</v>
      </c>
      <c r="M27" s="18" t="n">
        <v>0.31124107</v>
      </c>
      <c r="N27" s="20" t="n">
        <v>0.21995088</v>
      </c>
      <c r="O27" s="18" t="n">
        <v>0</v>
      </c>
      <c r="P27" s="20" t="n">
        <v>0</v>
      </c>
      <c r="Q27" s="18" t="n">
        <v>0</v>
      </c>
      <c r="R27" s="20" t="n">
        <v>0</v>
      </c>
      <c r="S27" s="18" t="n">
        <v>31.02537831</v>
      </c>
      <c r="T27" s="20" t="n">
        <v>1.6192421</v>
      </c>
    </row>
    <row r="28" spans="1:20">
      <c r="A28" s="15" t="s">
        <v>370</v>
      </c>
      <c r="B28" s="17" t="n">
        <v>7568</v>
      </c>
      <c r="C28" s="18">
        <f>(6640.0/B28*100)</f>
        <v/>
      </c>
      <c r="D28" s="19" t="n">
        <v>928</v>
      </c>
      <c r="E28" s="18" t="n">
        <v>59.60631705</v>
      </c>
      <c r="F28" s="20" t="n">
        <v>1.56138486</v>
      </c>
      <c r="G28" s="18" t="n">
        <v>2.50855257</v>
      </c>
      <c r="H28" s="20" t="n">
        <v>0.57226375</v>
      </c>
      <c r="I28" s="18" t="n">
        <v>16.6276317</v>
      </c>
      <c r="J28" s="20" t="n">
        <v>1.48750829</v>
      </c>
      <c r="K28" s="18" t="s">
        <v>349</v>
      </c>
      <c r="L28" s="20" t="s">
        <v>349</v>
      </c>
      <c r="M28" s="18" t="n">
        <v>1.04679838</v>
      </c>
      <c r="N28" s="20" t="n">
        <v>0.41056126</v>
      </c>
      <c r="O28" s="18" t="n">
        <v>0.17021935</v>
      </c>
      <c r="P28" s="20" t="n">
        <v>0.17066295</v>
      </c>
      <c r="Q28" s="18" t="n">
        <v>0</v>
      </c>
      <c r="R28" s="20" t="n">
        <v>0</v>
      </c>
      <c r="S28" s="18" t="n">
        <v>20.04048095</v>
      </c>
      <c r="T28" s="20" t="n">
        <v>1.52207484</v>
      </c>
    </row>
    <row r="29" spans="1:20">
      <c r="A29" s="15" t="s">
        <v>371</v>
      </c>
      <c r="B29" s="17" t="n">
        <v>5385</v>
      </c>
      <c r="C29" s="18">
        <f>(4601.0/B29*100)</f>
        <v/>
      </c>
      <c r="D29" s="19" t="n">
        <v>784</v>
      </c>
      <c r="E29" s="18" t="n">
        <v>46.83181923</v>
      </c>
      <c r="F29" s="20" t="n">
        <v>2.06482035</v>
      </c>
      <c r="G29" s="18" t="n">
        <v>1.71295248</v>
      </c>
      <c r="H29" s="20" t="n">
        <v>0.4990169</v>
      </c>
      <c r="I29" s="18" t="n">
        <v>29.75254366</v>
      </c>
      <c r="J29" s="20" t="n">
        <v>1.99605593</v>
      </c>
      <c r="K29" s="18" t="s">
        <v>349</v>
      </c>
      <c r="L29" s="20" t="s">
        <v>349</v>
      </c>
      <c r="M29" s="18" t="n">
        <v>1.67025992</v>
      </c>
      <c r="N29" s="20" t="n">
        <v>0.8722619</v>
      </c>
      <c r="O29" s="18" t="n">
        <v>0</v>
      </c>
      <c r="P29" s="20" t="n">
        <v>0</v>
      </c>
      <c r="Q29" s="18" t="n">
        <v>0</v>
      </c>
      <c r="R29" s="20" t="n">
        <v>0</v>
      </c>
      <c r="S29" s="18" t="n">
        <v>20.03242471</v>
      </c>
      <c r="T29" s="20" t="n">
        <v>1.80013132</v>
      </c>
    </row>
    <row r="30" spans="1:20">
      <c r="A30" s="15" t="s">
        <v>372</v>
      </c>
      <c r="B30" s="17" t="n">
        <v>4520</v>
      </c>
      <c r="C30" s="18">
        <f>(3960.0/B30*100)</f>
        <v/>
      </c>
      <c r="D30" s="19" t="n">
        <v>560</v>
      </c>
      <c r="E30" s="18" t="n">
        <v>37.25441768</v>
      </c>
      <c r="F30" s="20" t="n">
        <v>2.36184269</v>
      </c>
      <c r="G30" s="18" t="n">
        <v>0.60503398</v>
      </c>
      <c r="H30" s="20" t="n">
        <v>0.30306799</v>
      </c>
      <c r="I30" s="18" t="n">
        <v>26.15335602</v>
      </c>
      <c r="J30" s="20" t="n">
        <v>1.95743048</v>
      </c>
      <c r="K30" s="18" t="s">
        <v>349</v>
      </c>
      <c r="L30" s="20" t="s">
        <v>349</v>
      </c>
      <c r="M30" s="18" t="n">
        <v>0.55339002</v>
      </c>
      <c r="N30" s="20" t="n">
        <v>0.33801817</v>
      </c>
      <c r="O30" s="18" t="n">
        <v>0.16112021</v>
      </c>
      <c r="P30" s="20" t="n">
        <v>0.1638378</v>
      </c>
      <c r="Q30" s="18" t="n">
        <v>0</v>
      </c>
      <c r="R30" s="20" t="n">
        <v>0</v>
      </c>
      <c r="S30" s="18" t="n">
        <v>35.2726821</v>
      </c>
      <c r="T30" s="20" t="n">
        <v>1.96574578</v>
      </c>
    </row>
    <row r="31" spans="1:20">
      <c r="A31" s="15" t="s">
        <v>373</v>
      </c>
      <c r="B31" s="17" t="n">
        <v>5456</v>
      </c>
      <c r="C31" s="18">
        <f>(4808.0/B31*100)</f>
        <v/>
      </c>
      <c r="D31" s="19" t="n">
        <v>648</v>
      </c>
      <c r="E31" s="18" t="n">
        <v>37.44684357</v>
      </c>
      <c r="F31" s="20" t="n">
        <v>2.16873462</v>
      </c>
      <c r="G31" s="18" t="n">
        <v>1.88167837</v>
      </c>
      <c r="H31" s="20" t="n">
        <v>0.49279366</v>
      </c>
      <c r="I31" s="18" t="n">
        <v>25.30614018</v>
      </c>
      <c r="J31" s="20" t="n">
        <v>1.73376807</v>
      </c>
      <c r="K31" s="18" t="s">
        <v>349</v>
      </c>
      <c r="L31" s="20" t="s">
        <v>349</v>
      </c>
      <c r="M31" s="18" t="n">
        <v>1.22874831</v>
      </c>
      <c r="N31" s="20" t="n">
        <v>0.37305043</v>
      </c>
      <c r="O31" s="18" t="n">
        <v>0</v>
      </c>
      <c r="P31" s="20" t="n">
        <v>0</v>
      </c>
      <c r="Q31" s="18" t="n">
        <v>0</v>
      </c>
      <c r="R31" s="20" t="n">
        <v>0</v>
      </c>
      <c r="S31" s="18" t="n">
        <v>34.13658957</v>
      </c>
      <c r="T31" s="20" t="n">
        <v>1.79776897</v>
      </c>
    </row>
    <row r="32" spans="1:20">
      <c r="A32" s="15" t="s">
        <v>374</v>
      </c>
      <c r="B32" s="17" t="n">
        <v>4478</v>
      </c>
      <c r="C32" s="18">
        <f>(3736.0/B32*100)</f>
        <v/>
      </c>
      <c r="D32" s="19" t="n">
        <v>742</v>
      </c>
      <c r="E32" s="18" t="n">
        <v>32.80425679</v>
      </c>
      <c r="F32" s="20" t="n">
        <v>1.86382744</v>
      </c>
      <c r="G32" s="18" t="n">
        <v>2.69347337</v>
      </c>
      <c r="H32" s="20" t="n">
        <v>0.5481095</v>
      </c>
      <c r="I32" s="18" t="n">
        <v>33.98902518</v>
      </c>
      <c r="J32" s="20" t="n">
        <v>2.19296491</v>
      </c>
      <c r="K32" s="18" t="s">
        <v>349</v>
      </c>
      <c r="L32" s="20" t="s">
        <v>349</v>
      </c>
      <c r="M32" s="18" t="n">
        <v>0.27827705</v>
      </c>
      <c r="N32" s="20" t="n">
        <v>0.18196322</v>
      </c>
      <c r="O32" s="18" t="n">
        <v>0</v>
      </c>
      <c r="P32" s="20" t="n">
        <v>0</v>
      </c>
      <c r="Q32" s="18" t="n">
        <v>0</v>
      </c>
      <c r="R32" s="20" t="n">
        <v>0</v>
      </c>
      <c r="S32" s="18" t="n">
        <v>30.23496761</v>
      </c>
      <c r="T32" s="20" t="n">
        <v>1.6688091</v>
      </c>
    </row>
    <row r="33" spans="1:20">
      <c r="A33" s="15" t="s">
        <v>375</v>
      </c>
      <c r="B33" s="17" t="n">
        <v>7325</v>
      </c>
      <c r="C33" s="18">
        <f>(6437.0/B33*100)</f>
        <v/>
      </c>
      <c r="D33" s="19" t="n">
        <v>888</v>
      </c>
      <c r="E33" s="18" t="n">
        <v>31.39233716</v>
      </c>
      <c r="F33" s="20" t="n">
        <v>2.17645924</v>
      </c>
      <c r="G33" s="18" t="n">
        <v>2.28804446</v>
      </c>
      <c r="H33" s="20" t="n">
        <v>0.57357967</v>
      </c>
      <c r="I33" s="18" t="n">
        <v>37.57084342</v>
      </c>
      <c r="J33" s="20" t="n">
        <v>2.46159493</v>
      </c>
      <c r="K33" s="18" t="s">
        <v>349</v>
      </c>
      <c r="L33" s="20" t="s">
        <v>349</v>
      </c>
      <c r="M33" s="18" t="n">
        <v>0.70050779</v>
      </c>
      <c r="N33" s="20" t="n">
        <v>0.43136823</v>
      </c>
      <c r="O33" s="18" t="n">
        <v>0</v>
      </c>
      <c r="P33" s="20" t="n">
        <v>0</v>
      </c>
      <c r="Q33" s="18" t="n">
        <v>0</v>
      </c>
      <c r="R33" s="20" t="n">
        <v>0</v>
      </c>
      <c r="S33" s="18" t="n">
        <v>28.04826716</v>
      </c>
      <c r="T33" s="20" t="n">
        <v>1.82994315</v>
      </c>
    </row>
    <row r="34" spans="1:20">
      <c r="A34" s="15" t="s">
        <v>376</v>
      </c>
      <c r="B34" s="17" t="n">
        <v>6350</v>
      </c>
      <c r="C34" s="18">
        <f>(5450.0/B34*100)</f>
        <v/>
      </c>
      <c r="D34" s="19" t="n">
        <v>900</v>
      </c>
      <c r="E34" s="18" t="n">
        <v>50.99658767</v>
      </c>
      <c r="F34" s="20" t="n">
        <v>1.98942015</v>
      </c>
      <c r="G34" s="18" t="n">
        <v>0.94739928</v>
      </c>
      <c r="H34" s="20" t="n">
        <v>0.35567134</v>
      </c>
      <c r="I34" s="18" t="n">
        <v>19.19915521</v>
      </c>
      <c r="J34" s="20" t="n">
        <v>1.43305565</v>
      </c>
      <c r="K34" s="18" t="s">
        <v>349</v>
      </c>
      <c r="L34" s="20" t="s">
        <v>349</v>
      </c>
      <c r="M34" s="18" t="n">
        <v>1.44522937</v>
      </c>
      <c r="N34" s="20" t="n">
        <v>0.49869578</v>
      </c>
      <c r="O34" s="18" t="n">
        <v>0.06929757</v>
      </c>
      <c r="P34" s="20" t="n">
        <v>0.06973665</v>
      </c>
      <c r="Q34" s="18" t="n">
        <v>0</v>
      </c>
      <c r="R34" s="20" t="n">
        <v>0</v>
      </c>
      <c r="S34" s="18" t="n">
        <v>27.34233089</v>
      </c>
      <c r="T34" s="20" t="n">
        <v>1.96711742</v>
      </c>
    </row>
    <row r="35" spans="1:20">
      <c r="A35" s="15" t="s">
        <v>377</v>
      </c>
      <c r="B35" s="17" t="n">
        <v>6406</v>
      </c>
      <c r="C35" s="18">
        <f>(5525.0/B35*100)</f>
        <v/>
      </c>
      <c r="D35" s="19" t="n">
        <v>881</v>
      </c>
      <c r="E35" s="18" t="n">
        <v>38.29558695</v>
      </c>
      <c r="F35" s="20" t="n">
        <v>2.11176065</v>
      </c>
      <c r="G35" s="18" t="n">
        <v>2.62553335</v>
      </c>
      <c r="H35" s="20" t="n">
        <v>0.76599217</v>
      </c>
      <c r="I35" s="18" t="n">
        <v>25.38376708</v>
      </c>
      <c r="J35" s="20" t="n">
        <v>1.78869591</v>
      </c>
      <c r="K35" s="18" t="s">
        <v>349</v>
      </c>
      <c r="L35" s="20" t="s">
        <v>349</v>
      </c>
      <c r="M35" s="18" t="n">
        <v>0.43706844</v>
      </c>
      <c r="N35" s="20" t="n">
        <v>0.15020753</v>
      </c>
      <c r="O35" s="18" t="n">
        <v>0.55461144</v>
      </c>
      <c r="P35" s="20" t="n">
        <v>0.3877577</v>
      </c>
      <c r="Q35" s="18" t="n">
        <v>0</v>
      </c>
      <c r="R35" s="20" t="n">
        <v>0</v>
      </c>
      <c r="S35" s="18" t="n">
        <v>32.70343273</v>
      </c>
      <c r="T35" s="20" t="n">
        <v>2.01988334</v>
      </c>
    </row>
    <row r="36" spans="1:20">
      <c r="A36" s="15" t="s">
        <v>378</v>
      </c>
      <c r="B36" s="17" t="n">
        <v>6736</v>
      </c>
      <c r="C36" s="18">
        <f>(5896.0/B36*100)</f>
        <v/>
      </c>
      <c r="D36" s="19" t="n">
        <v>840</v>
      </c>
      <c r="E36" s="18" t="n">
        <v>34.33085102</v>
      </c>
      <c r="F36" s="20" t="n">
        <v>1.83508968</v>
      </c>
      <c r="G36" s="18" t="n">
        <v>2.24718481</v>
      </c>
      <c r="H36" s="20" t="n">
        <v>0.52704956</v>
      </c>
      <c r="I36" s="18" t="n">
        <v>29.50667832</v>
      </c>
      <c r="J36" s="20" t="n">
        <v>1.97437389</v>
      </c>
      <c r="K36" s="18" t="s">
        <v>349</v>
      </c>
      <c r="L36" s="20" t="s">
        <v>349</v>
      </c>
      <c r="M36" s="18" t="n">
        <v>0.43133631</v>
      </c>
      <c r="N36" s="20" t="n">
        <v>0.22407547</v>
      </c>
      <c r="O36" s="18" t="n">
        <v>0</v>
      </c>
      <c r="P36" s="20" t="n">
        <v>0</v>
      </c>
      <c r="Q36" s="18" t="n">
        <v>0</v>
      </c>
      <c r="R36" s="20" t="n">
        <v>0</v>
      </c>
      <c r="S36" s="18" t="n">
        <v>33.48394953</v>
      </c>
      <c r="T36" s="20" t="n">
        <v>1.75101125</v>
      </c>
    </row>
    <row r="37" spans="1:20">
      <c r="A37" s="15" t="s">
        <v>379</v>
      </c>
      <c r="B37" s="17" t="n">
        <v>5458</v>
      </c>
      <c r="C37" s="18">
        <f>(4793.0/B37*100)</f>
        <v/>
      </c>
      <c r="D37" s="19" t="n">
        <v>665</v>
      </c>
      <c r="E37" s="18" t="n">
        <v>41.61423081</v>
      </c>
      <c r="F37" s="20" t="n">
        <v>1.62668606</v>
      </c>
      <c r="G37" s="18" t="n">
        <v>1.13320921</v>
      </c>
      <c r="H37" s="20" t="n">
        <v>0.3518611</v>
      </c>
      <c r="I37" s="18" t="n">
        <v>21.39970692</v>
      </c>
      <c r="J37" s="20" t="n">
        <v>1.71659198</v>
      </c>
      <c r="K37" s="18" t="s">
        <v>349</v>
      </c>
      <c r="L37" s="20" t="s">
        <v>349</v>
      </c>
      <c r="M37" s="18" t="n">
        <v>0.99871115</v>
      </c>
      <c r="N37" s="20" t="n">
        <v>0.41688887</v>
      </c>
      <c r="O37" s="18" t="n">
        <v>0</v>
      </c>
      <c r="P37" s="20" t="n">
        <v>0</v>
      </c>
      <c r="Q37" s="18" t="n">
        <v>0</v>
      </c>
      <c r="R37" s="20" t="n">
        <v>0</v>
      </c>
      <c r="S37" s="18" t="n">
        <v>34.8541419</v>
      </c>
      <c r="T37" s="20" t="n">
        <v>2.06974571</v>
      </c>
    </row>
    <row r="38" spans="1:20">
      <c r="A38" s="15" t="s">
        <v>380</v>
      </c>
      <c r="B38" s="17" t="n">
        <v>5860</v>
      </c>
      <c r="C38" s="18">
        <f>(4866.0/B38*100)</f>
        <v/>
      </c>
      <c r="D38" s="19" t="n">
        <v>994</v>
      </c>
      <c r="E38" s="18" t="n">
        <v>33.43351012</v>
      </c>
      <c r="F38" s="20" t="n">
        <v>1.80453054</v>
      </c>
      <c r="G38" s="18" t="n">
        <v>3.81042439</v>
      </c>
      <c r="H38" s="20" t="n">
        <v>0.76670184</v>
      </c>
      <c r="I38" s="18" t="n">
        <v>32.74371299</v>
      </c>
      <c r="J38" s="20" t="n">
        <v>1.96366044</v>
      </c>
      <c r="K38" s="18" t="s">
        <v>349</v>
      </c>
      <c r="L38" s="20" t="s">
        <v>349</v>
      </c>
      <c r="M38" s="18" t="n">
        <v>0.11863937</v>
      </c>
      <c r="N38" s="20" t="n">
        <v>0.1182101</v>
      </c>
      <c r="O38" s="18" t="n">
        <v>0.13890724</v>
      </c>
      <c r="P38" s="20" t="n">
        <v>0.14076266</v>
      </c>
      <c r="Q38" s="18" t="n">
        <v>0</v>
      </c>
      <c r="R38" s="20" t="n">
        <v>0</v>
      </c>
      <c r="S38" s="18" t="n">
        <v>29.75480588</v>
      </c>
      <c r="T38" s="20" t="n">
        <v>1.76462666</v>
      </c>
    </row>
    <row r="39" spans="1:20">
      <c r="A39" s="15" t="s">
        <v>381</v>
      </c>
      <c r="B39" s="17" t="n">
        <v>5895</v>
      </c>
      <c r="C39" s="18">
        <f>(5172.0/B39*100)</f>
        <v/>
      </c>
      <c r="D39" s="19" t="n">
        <v>723</v>
      </c>
      <c r="E39" s="18" t="n">
        <v>50.60754543</v>
      </c>
      <c r="F39" s="20" t="n">
        <v>2.12057242</v>
      </c>
      <c r="G39" s="18" t="n">
        <v>7.86011237</v>
      </c>
      <c r="H39" s="20" t="n">
        <v>1.25279534</v>
      </c>
      <c r="I39" s="18" t="n">
        <v>20.12418111</v>
      </c>
      <c r="J39" s="20" t="n">
        <v>1.65172166</v>
      </c>
      <c r="K39" s="18" t="s">
        <v>349</v>
      </c>
      <c r="L39" s="20" t="s">
        <v>349</v>
      </c>
      <c r="M39" s="18" t="n">
        <v>0.43597905</v>
      </c>
      <c r="N39" s="20" t="n">
        <v>0.22442065</v>
      </c>
      <c r="O39" s="18" t="n">
        <v>0</v>
      </c>
      <c r="P39" s="20" t="n">
        <v>0</v>
      </c>
      <c r="Q39" s="18" t="n">
        <v>0</v>
      </c>
      <c r="R39" s="20" t="n">
        <v>0</v>
      </c>
      <c r="S39" s="18" t="n">
        <v>20.97218204</v>
      </c>
      <c r="T39" s="20" t="n">
        <v>1.83276903</v>
      </c>
    </row>
    <row r="40" spans="1:20">
      <c r="A40" s="15" t="s">
        <v>382</v>
      </c>
      <c r="B40" s="17" t="n">
        <v>14157</v>
      </c>
      <c r="C40" s="18">
        <f>(12444.0/B40*100)</f>
        <v/>
      </c>
      <c r="D40" s="19" t="n">
        <v>1713</v>
      </c>
      <c r="E40" s="18" t="n">
        <v>36.22617915</v>
      </c>
      <c r="F40" s="20" t="n">
        <v>1.83422793</v>
      </c>
      <c r="G40" s="18" t="n">
        <v>0.84626525</v>
      </c>
      <c r="H40" s="20" t="n">
        <v>0.29577542</v>
      </c>
      <c r="I40" s="18" t="n">
        <v>27.66422751</v>
      </c>
      <c r="J40" s="20" t="n">
        <v>2.20538721</v>
      </c>
      <c r="K40" s="18" t="s">
        <v>349</v>
      </c>
      <c r="L40" s="20" t="s">
        <v>349</v>
      </c>
      <c r="M40" s="18" t="n">
        <v>0.76832457</v>
      </c>
      <c r="N40" s="20" t="n">
        <v>0.25235614</v>
      </c>
      <c r="O40" s="18" t="n">
        <v>0.09330411</v>
      </c>
      <c r="P40" s="20" t="n">
        <v>0.08931145</v>
      </c>
      <c r="Q40" s="18" t="n">
        <v>0</v>
      </c>
      <c r="R40" s="20" t="n">
        <v>0</v>
      </c>
      <c r="S40" s="18" t="n">
        <v>34.40169942</v>
      </c>
      <c r="T40" s="20" t="n">
        <v>1.94180649</v>
      </c>
    </row>
    <row r="41" spans="1:20">
      <c r="A41" s="15" t="s">
        <v>383</v>
      </c>
      <c r="B41" s="17" t="n">
        <v>5712</v>
      </c>
      <c r="C41" s="18">
        <f>(4982.0/B41*100)</f>
        <v/>
      </c>
      <c r="D41" s="19" t="n">
        <v>730</v>
      </c>
      <c r="E41" s="18" t="n">
        <v>61.28701243</v>
      </c>
      <c r="F41" s="20" t="n">
        <v>2.22213138</v>
      </c>
      <c r="G41" s="18" t="n">
        <v>1.23619052</v>
      </c>
      <c r="H41" s="20" t="n">
        <v>0.43228427</v>
      </c>
      <c r="I41" s="18" t="n">
        <v>25.89864322</v>
      </c>
      <c r="J41" s="20" t="n">
        <v>1.93693229</v>
      </c>
      <c r="K41" s="18" t="s">
        <v>349</v>
      </c>
      <c r="L41" s="20" t="s">
        <v>349</v>
      </c>
      <c r="M41" s="18" t="n">
        <v>0.28466264</v>
      </c>
      <c r="N41" s="20" t="n">
        <v>0.18686037</v>
      </c>
      <c r="O41" s="18" t="n">
        <v>0</v>
      </c>
      <c r="P41" s="20" t="n">
        <v>0</v>
      </c>
      <c r="Q41" s="18" t="n">
        <v>0</v>
      </c>
      <c r="R41" s="20" t="n">
        <v>0</v>
      </c>
      <c r="S41" s="18" t="n">
        <v>11.29349119</v>
      </c>
      <c r="T41" s="20" t="n">
        <v>1.29122738</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23141</v>
      </c>
      <c r="C46" s="18">
        <f>(20513.0/B46*100)</f>
        <v/>
      </c>
      <c r="D46" s="19" t="n">
        <v>2628</v>
      </c>
      <c r="E46" s="18" t="n">
        <v>54.00089114</v>
      </c>
      <c r="F46" s="20" t="n">
        <v>1.40632787</v>
      </c>
      <c r="G46" s="18" t="n">
        <v>4.6327913</v>
      </c>
      <c r="H46" s="20" t="n">
        <v>0.5826076</v>
      </c>
      <c r="I46" s="18" t="n">
        <v>6.25144809</v>
      </c>
      <c r="J46" s="20" t="n">
        <v>0.80042051</v>
      </c>
      <c r="K46" s="18" t="s">
        <v>349</v>
      </c>
      <c r="L46" s="20" t="s">
        <v>349</v>
      </c>
      <c r="M46" s="18" t="n">
        <v>0.80934996</v>
      </c>
      <c r="N46" s="20" t="n">
        <v>0.2156568</v>
      </c>
      <c r="O46" s="18" t="n">
        <v>0.07578011</v>
      </c>
      <c r="P46" s="20" t="n">
        <v>0.04596942</v>
      </c>
      <c r="Q46" s="18" t="n">
        <v>0</v>
      </c>
      <c r="R46" s="20" t="n">
        <v>0</v>
      </c>
      <c r="S46" s="18" t="n">
        <v>34.2297394</v>
      </c>
      <c r="T46" s="20" t="n">
        <v>1.41626266</v>
      </c>
    </row>
    <row r="47" spans="1:20">
      <c r="A47" s="15" t="s">
        <v>389</v>
      </c>
      <c r="B47" s="17" t="n">
        <v>5928</v>
      </c>
      <c r="C47" s="18">
        <f>(5220.0/B47*100)</f>
        <v/>
      </c>
      <c r="D47" s="19" t="n">
        <v>708</v>
      </c>
      <c r="E47" s="18" t="n">
        <v>37.70671311</v>
      </c>
      <c r="F47" s="20" t="n">
        <v>1.98156244</v>
      </c>
      <c r="G47" s="18" t="n">
        <v>4.63764478</v>
      </c>
      <c r="H47" s="20" t="n">
        <v>0.7873704</v>
      </c>
      <c r="I47" s="18" t="n">
        <v>21.68196201</v>
      </c>
      <c r="J47" s="20" t="n">
        <v>2.18381532</v>
      </c>
      <c r="K47" s="18" t="s">
        <v>349</v>
      </c>
      <c r="L47" s="20" t="s">
        <v>349</v>
      </c>
      <c r="M47" s="18" t="n">
        <v>0.5562372799999999</v>
      </c>
      <c r="N47" s="20" t="n">
        <v>0.28590088</v>
      </c>
      <c r="O47" s="18" t="n">
        <v>0</v>
      </c>
      <c r="P47" s="20" t="n">
        <v>0</v>
      </c>
      <c r="Q47" s="18" t="n">
        <v>0</v>
      </c>
      <c r="R47" s="20" t="n">
        <v>0</v>
      </c>
      <c r="S47" s="18" t="n">
        <v>35.41744282</v>
      </c>
      <c r="T47" s="20" t="n">
        <v>1.86350117</v>
      </c>
    </row>
    <row r="48" spans="1:20">
      <c r="A48" s="15" t="s">
        <v>390</v>
      </c>
      <c r="B48" s="17" t="n">
        <v>9841</v>
      </c>
      <c r="C48" s="18">
        <f>(8625.0/B48*100)</f>
        <v/>
      </c>
      <c r="D48" s="19" t="n">
        <v>1216</v>
      </c>
      <c r="E48" s="18" t="n">
        <v>29.62267</v>
      </c>
      <c r="F48" s="20" t="n">
        <v>1.92316065</v>
      </c>
      <c r="G48" s="18" t="n">
        <v>4.72778035</v>
      </c>
      <c r="H48" s="20" t="n">
        <v>0.75731522</v>
      </c>
      <c r="I48" s="18" t="n">
        <v>55.83129885</v>
      </c>
      <c r="J48" s="20" t="n">
        <v>2.37696628</v>
      </c>
      <c r="K48" s="18" t="s">
        <v>349</v>
      </c>
      <c r="L48" s="20" t="s">
        <v>349</v>
      </c>
      <c r="M48" s="18" t="n">
        <v>0.49554632</v>
      </c>
      <c r="N48" s="20" t="n">
        <v>0.24885773</v>
      </c>
      <c r="O48" s="18" t="n">
        <v>0.22320455</v>
      </c>
      <c r="P48" s="20" t="n">
        <v>0.16659602</v>
      </c>
      <c r="Q48" s="18" t="n">
        <v>0</v>
      </c>
      <c r="R48" s="20" t="n">
        <v>0</v>
      </c>
      <c r="S48" s="18" t="n">
        <v>9.099499939999999</v>
      </c>
      <c r="T48" s="20" t="n">
        <v>1.13998627</v>
      </c>
    </row>
    <row r="49" spans="1:20">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11795</v>
      </c>
      <c r="C50" s="18">
        <f>(10356.0/B50*100)</f>
        <v/>
      </c>
      <c r="D50" s="19" t="n">
        <v>1439</v>
      </c>
      <c r="E50" s="18" t="n">
        <v>67.22224654</v>
      </c>
      <c r="F50" s="20" t="n">
        <v>1.68936076</v>
      </c>
      <c r="G50" s="18" t="n">
        <v>2.4782356</v>
      </c>
      <c r="H50" s="20" t="n">
        <v>0.55824046</v>
      </c>
      <c r="I50" s="18" t="n">
        <v>9.825087440000001</v>
      </c>
      <c r="J50" s="20" t="n">
        <v>1.31089148</v>
      </c>
      <c r="K50" s="18" t="s">
        <v>349</v>
      </c>
      <c r="L50" s="20" t="s">
        <v>349</v>
      </c>
      <c r="M50" s="18" t="n">
        <v>0.94992075</v>
      </c>
      <c r="N50" s="20" t="n">
        <v>0.35531606</v>
      </c>
      <c r="O50" s="18" t="n">
        <v>1.06294164</v>
      </c>
      <c r="P50" s="20" t="n">
        <v>0.25789129</v>
      </c>
      <c r="Q50" s="18" t="n">
        <v>0</v>
      </c>
      <c r="R50" s="20" t="n">
        <v>0</v>
      </c>
      <c r="S50" s="18" t="n">
        <v>18.46156804</v>
      </c>
      <c r="T50" s="20" t="n">
        <v>1.17005266</v>
      </c>
    </row>
    <row r="51" spans="1:20">
      <c r="A51" s="15" t="s">
        <v>393</v>
      </c>
      <c r="B51" s="17" t="n">
        <v>6866</v>
      </c>
      <c r="C51" s="18">
        <f>(5459.0/B51*100)</f>
        <v/>
      </c>
      <c r="D51" s="19" t="n">
        <v>1407</v>
      </c>
      <c r="E51" s="18" t="n">
        <v>59.81365787</v>
      </c>
      <c r="F51" s="20" t="n">
        <v>1.41907405</v>
      </c>
      <c r="G51" s="18" t="n">
        <v>2.06618582</v>
      </c>
      <c r="H51" s="20" t="n">
        <v>0.37901527</v>
      </c>
      <c r="I51" s="18" t="n">
        <v>7.64973879</v>
      </c>
      <c r="J51" s="20" t="n">
        <v>0.85489154</v>
      </c>
      <c r="K51" s="18" t="s">
        <v>349</v>
      </c>
      <c r="L51" s="20" t="s">
        <v>349</v>
      </c>
      <c r="M51" s="18" t="n">
        <v>0.6555135</v>
      </c>
      <c r="N51" s="20" t="n">
        <v>0.23157358</v>
      </c>
      <c r="O51" s="18" t="n">
        <v>0.1338731</v>
      </c>
      <c r="P51" s="20" t="n">
        <v>0.12424541</v>
      </c>
      <c r="Q51" s="18" t="n">
        <v>0</v>
      </c>
      <c r="R51" s="20" t="n">
        <v>0</v>
      </c>
      <c r="S51" s="18" t="n">
        <v>29.68103094</v>
      </c>
      <c r="T51" s="20" t="n">
        <v>1.29654769</v>
      </c>
    </row>
    <row r="52" spans="1:20">
      <c r="A52" s="15" t="s">
        <v>394</v>
      </c>
      <c r="B52" s="17" t="n">
        <v>5809</v>
      </c>
      <c r="C52" s="18">
        <f>(5098.0/B52*100)</f>
        <v/>
      </c>
      <c r="D52" s="19" t="n">
        <v>711</v>
      </c>
      <c r="E52" s="18" t="n">
        <v>38.99870324</v>
      </c>
      <c r="F52" s="20" t="n">
        <v>1.94683387</v>
      </c>
      <c r="G52" s="18" t="n">
        <v>0.8281660199999999</v>
      </c>
      <c r="H52" s="20" t="n">
        <v>0.35939253</v>
      </c>
      <c r="I52" s="18" t="n">
        <v>17.56633469</v>
      </c>
      <c r="J52" s="20" t="n">
        <v>1.59302909</v>
      </c>
      <c r="K52" s="18" t="s">
        <v>349</v>
      </c>
      <c r="L52" s="20" t="s">
        <v>349</v>
      </c>
      <c r="M52" s="18" t="n">
        <v>0.48732206</v>
      </c>
      <c r="N52" s="20" t="n">
        <v>0.28217297</v>
      </c>
      <c r="O52" s="18" t="n">
        <v>0</v>
      </c>
      <c r="P52" s="20" t="n">
        <v>0</v>
      </c>
      <c r="Q52" s="18" t="n">
        <v>0</v>
      </c>
      <c r="R52" s="20" t="n">
        <v>0</v>
      </c>
      <c r="S52" s="18" t="n">
        <v>42.11947398</v>
      </c>
      <c r="T52" s="20" t="n">
        <v>1.98334412</v>
      </c>
    </row>
    <row r="53" spans="1:20">
      <c r="A53" s="15" t="s">
        <v>395</v>
      </c>
      <c r="B53" s="17" t="n">
        <v>5571</v>
      </c>
      <c r="C53" s="18">
        <f>(4875.0/B53*100)</f>
        <v/>
      </c>
      <c r="D53" s="19" t="n">
        <v>696</v>
      </c>
      <c r="E53" s="18" t="n">
        <v>49.56873333</v>
      </c>
      <c r="F53" s="20" t="n">
        <v>1.88402848</v>
      </c>
      <c r="G53" s="18" t="n">
        <v>0.50320817</v>
      </c>
      <c r="H53" s="20" t="n">
        <v>0.25377488</v>
      </c>
      <c r="I53" s="18" t="n">
        <v>14.68941618</v>
      </c>
      <c r="J53" s="20" t="n">
        <v>1.52926842</v>
      </c>
      <c r="K53" s="18" t="s">
        <v>349</v>
      </c>
      <c r="L53" s="20" t="s">
        <v>349</v>
      </c>
      <c r="M53" s="18" t="n">
        <v>0.66852627</v>
      </c>
      <c r="N53" s="20" t="n">
        <v>0.34826984</v>
      </c>
      <c r="O53" s="18" t="n">
        <v>0</v>
      </c>
      <c r="P53" s="20" t="n">
        <v>0</v>
      </c>
      <c r="Q53" s="18" t="n">
        <v>0</v>
      </c>
      <c r="R53" s="20" t="n">
        <v>0</v>
      </c>
      <c r="S53" s="18" t="n">
        <v>34.57011606</v>
      </c>
      <c r="T53" s="20" t="n">
        <v>2.08627222</v>
      </c>
    </row>
    <row r="54" spans="1:20">
      <c r="A54" s="15" t="s">
        <v>396</v>
      </c>
      <c r="B54" s="17" t="n">
        <v>4740</v>
      </c>
      <c r="C54" s="18">
        <f>(3965.0/B54*100)</f>
        <v/>
      </c>
      <c r="D54" s="19" t="n">
        <v>775</v>
      </c>
      <c r="E54" s="18" t="n">
        <v>57.92266062</v>
      </c>
      <c r="F54" s="20" t="n">
        <v>1.82701595</v>
      </c>
      <c r="G54" s="18" t="n">
        <v>0.52939331</v>
      </c>
      <c r="H54" s="20" t="n">
        <v>0.25355752</v>
      </c>
      <c r="I54" s="18" t="n">
        <v>1.29477711</v>
      </c>
      <c r="J54" s="20" t="n">
        <v>0.39205433</v>
      </c>
      <c r="K54" s="18" t="s">
        <v>349</v>
      </c>
      <c r="L54" s="20" t="s">
        <v>349</v>
      </c>
      <c r="M54" s="18" t="n">
        <v>5.76647673</v>
      </c>
      <c r="N54" s="20" t="n">
        <v>0.82644549</v>
      </c>
      <c r="O54" s="18" t="n">
        <v>0.96630017</v>
      </c>
      <c r="P54" s="20" t="n">
        <v>0.93515159</v>
      </c>
      <c r="Q54" s="18" t="n">
        <v>0</v>
      </c>
      <c r="R54" s="20" t="n">
        <v>0</v>
      </c>
      <c r="S54" s="18" t="n">
        <v>33.52039206</v>
      </c>
      <c r="T54" s="20" t="n">
        <v>1.88286357</v>
      </c>
    </row>
    <row r="55" spans="1:20">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5359</v>
      </c>
      <c r="C56" s="18">
        <f>(4689.0/B56*100)</f>
        <v/>
      </c>
      <c r="D56" s="19" t="n">
        <v>670</v>
      </c>
      <c r="E56" s="18" t="n">
        <v>32.10713698</v>
      </c>
      <c r="F56" s="20" t="n">
        <v>1.96618302</v>
      </c>
      <c r="G56" s="18" t="n">
        <v>3.48698158</v>
      </c>
      <c r="H56" s="20" t="n">
        <v>0.89229127</v>
      </c>
      <c r="I56" s="18" t="n">
        <v>50.02799773</v>
      </c>
      <c r="J56" s="20" t="n">
        <v>1.94515092</v>
      </c>
      <c r="K56" s="18" t="s">
        <v>349</v>
      </c>
      <c r="L56" s="20" t="s">
        <v>349</v>
      </c>
      <c r="M56" s="18" t="n">
        <v>0</v>
      </c>
      <c r="N56" s="20" t="n">
        <v>0</v>
      </c>
      <c r="O56" s="18" t="n">
        <v>0.55019633</v>
      </c>
      <c r="P56" s="20" t="n">
        <v>0.33447792</v>
      </c>
      <c r="Q56" s="18" t="n">
        <v>0</v>
      </c>
      <c r="R56" s="20" t="n">
        <v>0</v>
      </c>
      <c r="S56" s="18" t="n">
        <v>13.82768737</v>
      </c>
      <c r="T56" s="20" t="n">
        <v>1.49912958</v>
      </c>
    </row>
    <row r="57" spans="1:20">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6525</v>
      </c>
      <c r="C61" s="18">
        <f>(5704.0/B61*100)</f>
        <v/>
      </c>
      <c r="D61" s="19" t="n">
        <v>821</v>
      </c>
      <c r="E61" s="18" t="n">
        <v>39.65961886</v>
      </c>
      <c r="F61" s="20" t="n">
        <v>2.18114345</v>
      </c>
      <c r="G61" s="18" t="n">
        <v>1.97853727</v>
      </c>
      <c r="H61" s="20" t="n">
        <v>0.60068738</v>
      </c>
      <c r="I61" s="18" t="n">
        <v>28.71180088</v>
      </c>
      <c r="J61" s="20" t="n">
        <v>1.89306513</v>
      </c>
      <c r="K61" s="18" t="s">
        <v>349</v>
      </c>
      <c r="L61" s="20" t="s">
        <v>349</v>
      </c>
      <c r="M61" s="18" t="n">
        <v>0.4784187</v>
      </c>
      <c r="N61" s="20" t="n">
        <v>0.37194304</v>
      </c>
      <c r="O61" s="18" t="n">
        <v>0</v>
      </c>
      <c r="P61" s="20" t="n">
        <v>0</v>
      </c>
      <c r="Q61" s="18" t="n">
        <v>0</v>
      </c>
      <c r="R61" s="20" t="n">
        <v>0</v>
      </c>
      <c r="S61" s="18" t="n">
        <v>29.17162429</v>
      </c>
      <c r="T61" s="20" t="n">
        <v>1.71813699</v>
      </c>
    </row>
    <row r="62" spans="1:20">
      <c r="A62" s="15" t="s">
        <v>404</v>
      </c>
      <c r="B62" s="17" t="n">
        <v>4476</v>
      </c>
      <c r="C62" s="18">
        <f>(3920.0/B62*100)</f>
        <v/>
      </c>
      <c r="D62" s="19" t="n">
        <v>556</v>
      </c>
      <c r="E62" s="18" t="n">
        <v>30.56953456</v>
      </c>
      <c r="F62" s="20" t="n">
        <v>1.72278191</v>
      </c>
      <c r="G62" s="18" t="n">
        <v>2.52008411</v>
      </c>
      <c r="H62" s="20" t="n">
        <v>0.65336653</v>
      </c>
      <c r="I62" s="18" t="n">
        <v>52.83238482</v>
      </c>
      <c r="J62" s="20" t="n">
        <v>1.67877653</v>
      </c>
      <c r="K62" s="18" t="s">
        <v>349</v>
      </c>
      <c r="L62" s="20" t="s">
        <v>349</v>
      </c>
      <c r="M62" s="18" t="n">
        <v>0</v>
      </c>
      <c r="N62" s="20" t="n">
        <v>0</v>
      </c>
      <c r="O62" s="18" t="n">
        <v>0</v>
      </c>
      <c r="P62" s="20" t="n">
        <v>0</v>
      </c>
      <c r="Q62" s="18" t="n">
        <v>0</v>
      </c>
      <c r="R62" s="20" t="n">
        <v>0</v>
      </c>
      <c r="S62" s="18" t="n">
        <v>14.07799651</v>
      </c>
      <c r="T62" s="20" t="n">
        <v>1.28189073</v>
      </c>
    </row>
    <row r="63" spans="1:20">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5665</v>
      </c>
      <c r="C66" s="18">
        <f>(4979.0/B66*100)</f>
        <v/>
      </c>
      <c r="D66" s="19" t="n">
        <v>686</v>
      </c>
      <c r="E66" s="18" t="n">
        <v>36.328049</v>
      </c>
      <c r="F66" s="20" t="n">
        <v>1.82400294</v>
      </c>
      <c r="G66" s="18" t="n">
        <v>0.61675993</v>
      </c>
      <c r="H66" s="20" t="n">
        <v>0.30848742</v>
      </c>
      <c r="I66" s="18" t="n">
        <v>6.98842892</v>
      </c>
      <c r="J66" s="20" t="n">
        <v>1.06632413</v>
      </c>
      <c r="K66" s="18" t="s">
        <v>349</v>
      </c>
      <c r="L66" s="20" t="s">
        <v>349</v>
      </c>
      <c r="M66" s="18" t="n">
        <v>1.61637604</v>
      </c>
      <c r="N66" s="20" t="n">
        <v>0.46041323</v>
      </c>
      <c r="O66" s="18" t="n">
        <v>0.41467559</v>
      </c>
      <c r="P66" s="20" t="n">
        <v>0.24218535</v>
      </c>
      <c r="Q66" s="18" t="n">
        <v>0</v>
      </c>
      <c r="R66" s="20" t="n">
        <v>0</v>
      </c>
      <c r="S66" s="18" t="n">
        <v>54.03571052</v>
      </c>
      <c r="T66" s="20" t="n">
        <v>2.02508835</v>
      </c>
    </row>
    <row r="67" spans="1:20">
      <c r="A67" s="15" t="s">
        <v>409</v>
      </c>
      <c r="B67" s="17" t="n">
        <v>6971</v>
      </c>
      <c r="C67" s="18">
        <f>(6154.0/B67*100)</f>
        <v/>
      </c>
      <c r="D67" s="19" t="n">
        <v>817</v>
      </c>
      <c r="E67" s="18" t="n">
        <v>54.67383288</v>
      </c>
      <c r="F67" s="20" t="n">
        <v>1.86609126</v>
      </c>
      <c r="G67" s="18" t="n">
        <v>0.89178808</v>
      </c>
      <c r="H67" s="20" t="n">
        <v>0.31052788</v>
      </c>
      <c r="I67" s="18" t="n">
        <v>9.960579259999999</v>
      </c>
      <c r="J67" s="20" t="n">
        <v>1.10488207</v>
      </c>
      <c r="K67" s="18" t="s">
        <v>349</v>
      </c>
      <c r="L67" s="20" t="s">
        <v>349</v>
      </c>
      <c r="M67" s="18" t="n">
        <v>0.05040912</v>
      </c>
      <c r="N67" s="20" t="n">
        <v>0.05058729</v>
      </c>
      <c r="O67" s="18" t="n">
        <v>0.19250699</v>
      </c>
      <c r="P67" s="20" t="n">
        <v>0.1358735</v>
      </c>
      <c r="Q67" s="18" t="n">
        <v>0</v>
      </c>
      <c r="R67" s="20" t="n">
        <v>0</v>
      </c>
      <c r="S67" s="18" t="n">
        <v>34.23088367</v>
      </c>
      <c r="T67" s="20" t="n">
        <v>1.95797986</v>
      </c>
    </row>
    <row r="68" spans="1:20">
      <c r="A68" s="15" t="s">
        <v>410</v>
      </c>
      <c r="B68" s="17" t="n">
        <v>12083</v>
      </c>
      <c r="C68" s="18">
        <f>(10083.0/B68*100)</f>
        <v/>
      </c>
      <c r="D68" s="19" t="n">
        <v>2000</v>
      </c>
      <c r="E68" s="18" t="n">
        <v>58.68065386</v>
      </c>
      <c r="F68" s="20" t="n">
        <v>1.08520955</v>
      </c>
      <c r="G68" s="18" t="n">
        <v>1.65881892</v>
      </c>
      <c r="H68" s="20" t="n">
        <v>0.28061432</v>
      </c>
      <c r="I68" s="18" t="n">
        <v>16.55028511</v>
      </c>
      <c r="J68" s="20" t="n">
        <v>0.87895102</v>
      </c>
      <c r="K68" s="18" t="s">
        <v>349</v>
      </c>
      <c r="L68" s="20" t="s">
        <v>349</v>
      </c>
      <c r="M68" s="18" t="n">
        <v>1.99351307</v>
      </c>
      <c r="N68" s="20" t="n">
        <v>0.29229172</v>
      </c>
      <c r="O68" s="18" t="n">
        <v>0.0497575</v>
      </c>
      <c r="P68" s="20" t="n">
        <v>0.04970084</v>
      </c>
      <c r="Q68" s="18" t="n">
        <v>0</v>
      </c>
      <c r="R68" s="20" t="n">
        <v>0</v>
      </c>
      <c r="S68" s="18" t="n">
        <v>21.06697154</v>
      </c>
      <c r="T68" s="20" t="n">
        <v>0.98855538</v>
      </c>
    </row>
    <row r="69" spans="1:20">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6036</v>
      </c>
      <c r="C70" s="18">
        <f>(5293.0/B70*100)</f>
        <v/>
      </c>
      <c r="D70" s="19" t="n">
        <v>743</v>
      </c>
      <c r="E70" s="18" t="n">
        <v>34.90082291</v>
      </c>
      <c r="F70" s="20" t="n">
        <v>1.99815502</v>
      </c>
      <c r="G70" s="18" t="n">
        <v>1.73635805</v>
      </c>
      <c r="H70" s="20" t="n">
        <v>0.56462987</v>
      </c>
      <c r="I70" s="18" t="n">
        <v>39.1047043</v>
      </c>
      <c r="J70" s="20" t="n">
        <v>2.59883697</v>
      </c>
      <c r="K70" s="18" t="s">
        <v>349</v>
      </c>
      <c r="L70" s="20" t="s">
        <v>349</v>
      </c>
      <c r="M70" s="18" t="n">
        <v>0.10534734</v>
      </c>
      <c r="N70" s="20" t="n">
        <v>0.10478774</v>
      </c>
      <c r="O70" s="18" t="n">
        <v>0.55801517</v>
      </c>
      <c r="P70" s="20" t="n">
        <v>0.26011567</v>
      </c>
      <c r="Q70" s="18" t="n">
        <v>0</v>
      </c>
      <c r="R70" s="20" t="n">
        <v>0</v>
      </c>
      <c r="S70" s="18" t="n">
        <v>23.59475223</v>
      </c>
      <c r="T70" s="20" t="n">
        <v>1.61569218</v>
      </c>
    </row>
    <row r="71" spans="1:20">
      <c r="A71" s="15" t="s">
        <v>413</v>
      </c>
      <c r="B71" s="17" t="n">
        <v>6115</v>
      </c>
      <c r="C71" s="18">
        <f>(5348.0/B71*100)</f>
        <v/>
      </c>
      <c r="D71" s="19" t="n">
        <v>767</v>
      </c>
      <c r="E71" s="18" t="n">
        <v>22.47858566</v>
      </c>
      <c r="F71" s="20" t="n">
        <v>1.55296446</v>
      </c>
      <c r="G71" s="18" t="n">
        <v>3.96476483</v>
      </c>
      <c r="H71" s="20" t="n">
        <v>0.7280748500000001</v>
      </c>
      <c r="I71" s="18" t="n">
        <v>62.79095684</v>
      </c>
      <c r="J71" s="20" t="n">
        <v>1.92348295</v>
      </c>
      <c r="K71" s="18" t="s">
        <v>349</v>
      </c>
      <c r="L71" s="20" t="s">
        <v>349</v>
      </c>
      <c r="M71" s="18" t="n">
        <v>0.22662423</v>
      </c>
      <c r="N71" s="20" t="n">
        <v>0.16720832</v>
      </c>
      <c r="O71" s="18" t="n">
        <v>0</v>
      </c>
      <c r="P71" s="20" t="n">
        <v>0</v>
      </c>
      <c r="Q71" s="18" t="n">
        <v>0</v>
      </c>
      <c r="R71" s="20" t="n">
        <v>0</v>
      </c>
      <c r="S71" s="18" t="n">
        <v>10.53906844</v>
      </c>
      <c r="T71" s="20" t="n">
        <v>1.08064563</v>
      </c>
    </row>
    <row r="72" spans="1:20">
      <c r="A72" s="15" t="s">
        <v>414</v>
      </c>
      <c r="B72" s="17" t="n">
        <v>7708</v>
      </c>
      <c r="C72" s="18">
        <f>(6749.0/B72*100)</f>
        <v/>
      </c>
      <c r="D72" s="19" t="n">
        <v>959</v>
      </c>
      <c r="E72" s="18" t="n">
        <v>25.71720687</v>
      </c>
      <c r="F72" s="20" t="n">
        <v>1.52641036</v>
      </c>
      <c r="G72" s="18" t="n">
        <v>5.17737583</v>
      </c>
      <c r="H72" s="20" t="n">
        <v>0.85229376</v>
      </c>
      <c r="I72" s="18" t="n">
        <v>58.26256343</v>
      </c>
      <c r="J72" s="20" t="n">
        <v>1.75670391</v>
      </c>
      <c r="K72" s="18" t="s">
        <v>349</v>
      </c>
      <c r="L72" s="20" t="s">
        <v>349</v>
      </c>
      <c r="M72" s="18" t="n">
        <v>0.25444192</v>
      </c>
      <c r="N72" s="20" t="n">
        <v>0.18100254</v>
      </c>
      <c r="O72" s="18" t="n">
        <v>0</v>
      </c>
      <c r="P72" s="20" t="n">
        <v>0</v>
      </c>
      <c r="Q72" s="18" t="n">
        <v>0</v>
      </c>
      <c r="R72" s="20" t="n">
        <v>0</v>
      </c>
      <c r="S72" s="18" t="n">
        <v>10.58841194</v>
      </c>
      <c r="T72" s="20" t="n">
        <v>1.04820813</v>
      </c>
    </row>
    <row r="73" spans="1:20">
      <c r="A73" s="15" t="s">
        <v>415</v>
      </c>
      <c r="B73" s="17" t="n">
        <v>8249</v>
      </c>
      <c r="C73" s="18">
        <f>(7262.0/B73*100)</f>
        <v/>
      </c>
      <c r="D73" s="19" t="n">
        <v>987</v>
      </c>
      <c r="E73" s="18" t="n">
        <v>75.95782016</v>
      </c>
      <c r="F73" s="20" t="n">
        <v>1.56115575</v>
      </c>
      <c r="G73" s="18" t="n">
        <v>1.26344715</v>
      </c>
      <c r="H73" s="20" t="n">
        <v>0.35451666</v>
      </c>
      <c r="I73" s="18" t="n">
        <v>15.74245563</v>
      </c>
      <c r="J73" s="20" t="n">
        <v>1.4161537</v>
      </c>
      <c r="K73" s="18" t="s">
        <v>349</v>
      </c>
      <c r="L73" s="20" t="s">
        <v>349</v>
      </c>
      <c r="M73" s="18" t="n">
        <v>0</v>
      </c>
      <c r="N73" s="20" t="n">
        <v>0</v>
      </c>
      <c r="O73" s="18" t="n">
        <v>0.05398772</v>
      </c>
      <c r="P73" s="20" t="n">
        <v>0.05403612</v>
      </c>
      <c r="Q73" s="18" t="n">
        <v>0</v>
      </c>
      <c r="R73" s="20" t="n">
        <v>0</v>
      </c>
      <c r="S73" s="18" t="n">
        <v>6.98228934</v>
      </c>
      <c r="T73" s="20" t="n">
        <v>0.9272743</v>
      </c>
    </row>
    <row r="74" spans="1:20">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5375</v>
      </c>
      <c r="C75" s="18">
        <f>(4754.0/B75*100)</f>
        <v/>
      </c>
      <c r="D75" s="19" t="n">
        <v>621</v>
      </c>
      <c r="E75" s="18" t="n">
        <v>46.68502337</v>
      </c>
      <c r="F75" s="20" t="n">
        <v>2.12763977</v>
      </c>
      <c r="G75" s="18" t="n">
        <v>1.38942146</v>
      </c>
      <c r="H75" s="20" t="n">
        <v>0.48557761</v>
      </c>
      <c r="I75" s="18" t="n">
        <v>15.21758044</v>
      </c>
      <c r="J75" s="20" t="n">
        <v>1.57737796</v>
      </c>
      <c r="K75" s="18" t="s">
        <v>349</v>
      </c>
      <c r="L75" s="20" t="s">
        <v>349</v>
      </c>
      <c r="M75" s="18" t="n">
        <v>2.36041608</v>
      </c>
      <c r="N75" s="20" t="n">
        <v>0.63337097</v>
      </c>
      <c r="O75" s="18" t="n">
        <v>0.18977402</v>
      </c>
      <c r="P75" s="20" t="n">
        <v>0.18851575</v>
      </c>
      <c r="Q75" s="18" t="n">
        <v>0</v>
      </c>
      <c r="R75" s="20" t="n">
        <v>0</v>
      </c>
      <c r="S75" s="18" t="n">
        <v>34.15778464</v>
      </c>
      <c r="T75" s="20" t="n">
        <v>1.94795137</v>
      </c>
    </row>
    <row r="76" spans="1:20">
      <c r="A76" s="15" t="s">
        <v>418</v>
      </c>
      <c r="B76" s="17" t="n">
        <v>14167</v>
      </c>
      <c r="C76" s="18">
        <f>(12413.0/B76*100)</f>
        <v/>
      </c>
      <c r="D76" s="19" t="n">
        <v>1754</v>
      </c>
      <c r="E76" s="18" t="n">
        <v>57.28252094</v>
      </c>
      <c r="F76" s="20" t="n">
        <v>1.71824134</v>
      </c>
      <c r="G76" s="18" t="n">
        <v>2.10427937</v>
      </c>
      <c r="H76" s="20" t="n">
        <v>0.39283627</v>
      </c>
      <c r="I76" s="18" t="n">
        <v>25.788215</v>
      </c>
      <c r="J76" s="20" t="n">
        <v>1.34608575</v>
      </c>
      <c r="K76" s="18" t="s">
        <v>349</v>
      </c>
      <c r="L76" s="20" t="s">
        <v>349</v>
      </c>
      <c r="M76" s="18" t="n">
        <v>0.27588139</v>
      </c>
      <c r="N76" s="20" t="n">
        <v>0.13171291</v>
      </c>
      <c r="O76" s="18" t="n">
        <v>0.05359963</v>
      </c>
      <c r="P76" s="20" t="n">
        <v>0.03800365</v>
      </c>
      <c r="Q76" s="18" t="n">
        <v>0</v>
      </c>
      <c r="R76" s="20" t="n">
        <v>0</v>
      </c>
      <c r="S76" s="18" t="n">
        <v>14.49550367</v>
      </c>
      <c r="T76" s="20" t="n">
        <v>1.04728914</v>
      </c>
    </row>
    <row r="77" spans="1:20">
      <c r="A77" s="15" t="s">
        <v>419</v>
      </c>
      <c r="B77" s="17" t="n">
        <v>6062</v>
      </c>
      <c r="C77" s="18">
        <f>(5313.0/B77*100)</f>
        <v/>
      </c>
      <c r="D77" s="19" t="n">
        <v>749</v>
      </c>
      <c r="E77" s="18" t="n">
        <v>37.06870921</v>
      </c>
      <c r="F77" s="20" t="n">
        <v>1.86480244</v>
      </c>
      <c r="G77" s="18" t="n">
        <v>2.46342608</v>
      </c>
      <c r="H77" s="20" t="n">
        <v>0.57820352</v>
      </c>
      <c r="I77" s="18" t="n">
        <v>10.23176701</v>
      </c>
      <c r="J77" s="20" t="n">
        <v>1.07093382</v>
      </c>
      <c r="K77" s="18" t="s">
        <v>349</v>
      </c>
      <c r="L77" s="20" t="s">
        <v>349</v>
      </c>
      <c r="M77" s="18" t="n">
        <v>1.90445475</v>
      </c>
      <c r="N77" s="20" t="n">
        <v>0.54866487</v>
      </c>
      <c r="O77" s="18" t="n">
        <v>2.33116691</v>
      </c>
      <c r="P77" s="20" t="n">
        <v>0.58007357</v>
      </c>
      <c r="Q77" s="18" t="n">
        <v>0</v>
      </c>
      <c r="R77" s="20" t="n">
        <v>0</v>
      </c>
      <c r="S77" s="18" t="n">
        <v>46.00047604</v>
      </c>
      <c r="T77" s="20" t="n">
        <v>1.98810247</v>
      </c>
    </row>
    <row r="78" spans="1:20">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(7756.0/B81*100)</f>
        <v/>
      </c>
      <c r="D81" s="19" t="n">
        <v>1105</v>
      </c>
      <c r="E81" s="18" t="n">
        <v>55.70425084</v>
      </c>
      <c r="F81" s="20" t="n">
        <v>2.03171504</v>
      </c>
      <c r="G81" s="18" t="n">
        <v>2.12488438</v>
      </c>
      <c r="H81" s="20" t="n">
        <v>0.47412781</v>
      </c>
      <c r="I81" s="18" t="n">
        <v>34.67377311</v>
      </c>
      <c r="J81" s="20" t="n">
        <v>2.05131894</v>
      </c>
      <c r="K81" s="18" t="s">
        <v>349</v>
      </c>
      <c r="L81" s="20" t="s">
        <v>349</v>
      </c>
      <c r="M81" s="18" t="n">
        <v>0</v>
      </c>
      <c r="N81" s="20" t="n">
        <v>0</v>
      </c>
      <c r="O81" s="18" t="n">
        <v>0</v>
      </c>
      <c r="P81" s="20" t="n">
        <v>0</v>
      </c>
      <c r="Q81" s="18" t="n">
        <v>0</v>
      </c>
      <c r="R81" s="20" t="n">
        <v>0</v>
      </c>
      <c r="S81" s="18" t="n">
        <v>7.49709167</v>
      </c>
      <c r="T81" s="20" t="n">
        <v>1.01002818</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(12711.0/B7*100)</f>
        <v/>
      </c>
      <c r="D7" s="19" t="n">
        <v>1819</v>
      </c>
      <c r="E7" s="18" t="n">
        <v>88.51608915</v>
      </c>
      <c r="F7" s="20" t="n">
        <v>0.8628237</v>
      </c>
      <c r="G7" s="18" t="n">
        <v>6.28581453</v>
      </c>
      <c r="H7" s="20" t="n">
        <v>0.71924074</v>
      </c>
      <c r="I7" s="18" t="s">
        <v>349</v>
      </c>
      <c r="J7" s="20" t="s">
        <v>349</v>
      </c>
      <c r="K7" s="18" t="n">
        <v>0.40405576</v>
      </c>
      <c r="L7" s="20" t="n">
        <v>0.17181849</v>
      </c>
      <c r="M7" s="18" t="n">
        <v>0</v>
      </c>
      <c r="N7" s="20" t="n">
        <v>0</v>
      </c>
      <c r="O7" s="18" t="n">
        <v>0</v>
      </c>
      <c r="P7" s="20" t="n">
        <v>0</v>
      </c>
      <c r="Q7" s="18" t="n">
        <v>4.79404056</v>
      </c>
      <c r="R7" s="20" t="n">
        <v>0.56215421</v>
      </c>
    </row>
    <row r="8" spans="1:18">
      <c r="A8" s="15" t="s">
        <v>350</v>
      </c>
      <c r="B8" s="17" t="n">
        <v>7007</v>
      </c>
      <c r="C8" s="18">
        <f>(6137.0/B8*100)</f>
        <v/>
      </c>
      <c r="D8" s="19" t="n">
        <v>870</v>
      </c>
      <c r="E8" s="18" t="n">
        <v>84.23719115999999</v>
      </c>
      <c r="F8" s="20" t="n">
        <v>1.20867969</v>
      </c>
      <c r="G8" s="18" t="n">
        <v>6.95844702</v>
      </c>
      <c r="H8" s="20" t="n">
        <v>0.86002256</v>
      </c>
      <c r="I8" s="18" t="s">
        <v>349</v>
      </c>
      <c r="J8" s="20" t="s">
        <v>349</v>
      </c>
      <c r="K8" s="18" t="n">
        <v>0.16142633</v>
      </c>
      <c r="L8" s="20" t="n">
        <v>0.17360732</v>
      </c>
      <c r="M8" s="18" t="n">
        <v>0</v>
      </c>
      <c r="N8" s="20" t="n">
        <v>0</v>
      </c>
      <c r="O8" s="18" t="n">
        <v>0</v>
      </c>
      <c r="P8" s="20" t="n">
        <v>0</v>
      </c>
      <c r="Q8" s="18" t="n">
        <v>8.642935489999999</v>
      </c>
      <c r="R8" s="20" t="n">
        <v>0.93767967</v>
      </c>
    </row>
    <row r="9" spans="1:18">
      <c r="A9" s="15" t="s">
        <v>351</v>
      </c>
      <c r="B9" s="17" t="n">
        <v>9651</v>
      </c>
      <c r="C9" s="18">
        <f>(8490.0/B9*100)</f>
        <v/>
      </c>
      <c r="D9" s="19" t="n">
        <v>1161</v>
      </c>
      <c r="E9" s="18" t="n">
        <v>86.07114761</v>
      </c>
      <c r="F9" s="20" t="n">
        <v>1.10116816</v>
      </c>
      <c r="G9" s="18" t="n">
        <v>8.07451562</v>
      </c>
      <c r="H9" s="20" t="n">
        <v>0.81307864</v>
      </c>
      <c r="I9" s="18" t="s">
        <v>349</v>
      </c>
      <c r="J9" s="20" t="s">
        <v>349</v>
      </c>
      <c r="K9" s="18" t="n">
        <v>0.92908533</v>
      </c>
      <c r="L9" s="20" t="n">
        <v>0.33950327</v>
      </c>
      <c r="M9" s="18" t="n">
        <v>0</v>
      </c>
      <c r="N9" s="20" t="n">
        <v>0</v>
      </c>
      <c r="O9" s="18" t="n">
        <v>0</v>
      </c>
      <c r="P9" s="20" t="n">
        <v>0</v>
      </c>
      <c r="Q9" s="18" t="n">
        <v>4.92525144</v>
      </c>
      <c r="R9" s="20" t="n">
        <v>0.72215887</v>
      </c>
    </row>
    <row r="10" spans="1:18">
      <c r="A10" s="15" t="s">
        <v>352</v>
      </c>
      <c r="B10" s="17" t="n">
        <v>20058</v>
      </c>
      <c r="C10" s="18">
        <f>(17562.0/B10*100)</f>
        <v/>
      </c>
      <c r="D10" s="19" t="n">
        <v>2496</v>
      </c>
      <c r="E10" s="18" t="n">
        <v>89.88653601</v>
      </c>
      <c r="F10" s="20" t="n">
        <v>0.87183236</v>
      </c>
      <c r="G10" s="18" t="n">
        <v>6.70814899</v>
      </c>
      <c r="H10" s="20" t="n">
        <v>0.6579108</v>
      </c>
      <c r="I10" s="18" t="s">
        <v>349</v>
      </c>
      <c r="J10" s="20" t="s">
        <v>349</v>
      </c>
      <c r="K10" s="18" t="n">
        <v>0.2078361</v>
      </c>
      <c r="L10" s="20" t="n">
        <v>0.07698009</v>
      </c>
      <c r="M10" s="18" t="n">
        <v>0</v>
      </c>
      <c r="N10" s="20" t="n">
        <v>0</v>
      </c>
      <c r="O10" s="18" t="n">
        <v>0</v>
      </c>
      <c r="P10" s="20" t="n">
        <v>0</v>
      </c>
      <c r="Q10" s="18" t="n">
        <v>3.1974789</v>
      </c>
      <c r="R10" s="20" t="n">
        <v>0.46024917</v>
      </c>
    </row>
    <row r="11" spans="1:18">
      <c r="A11" s="15" t="s">
        <v>353</v>
      </c>
      <c r="B11" s="17" t="n">
        <v>7053</v>
      </c>
      <c r="C11" s="18">
        <f>(6219.0/B11*100)</f>
        <v/>
      </c>
      <c r="D11" s="19" t="n">
        <v>834</v>
      </c>
      <c r="E11" s="18" t="n">
        <v>88.77589691999999</v>
      </c>
      <c r="F11" s="20" t="n">
        <v>1.32217002</v>
      </c>
      <c r="G11" s="18" t="n">
        <v>0.91918984</v>
      </c>
      <c r="H11" s="20" t="n">
        <v>0.27555097</v>
      </c>
      <c r="I11" s="18" t="s">
        <v>349</v>
      </c>
      <c r="J11" s="20" t="s">
        <v>349</v>
      </c>
      <c r="K11" s="18" t="n">
        <v>0.52486436</v>
      </c>
      <c r="L11" s="20" t="n">
        <v>0.20488495</v>
      </c>
      <c r="M11" s="18" t="n">
        <v>0</v>
      </c>
      <c r="N11" s="20" t="n">
        <v>0</v>
      </c>
      <c r="O11" s="18" t="n">
        <v>0</v>
      </c>
      <c r="P11" s="20" t="n">
        <v>0</v>
      </c>
      <c r="Q11" s="18" t="n">
        <v>9.78004887</v>
      </c>
      <c r="R11" s="20" t="n">
        <v>1.34323408</v>
      </c>
    </row>
    <row r="12" spans="1:18">
      <c r="A12" s="15" t="s">
        <v>354</v>
      </c>
      <c r="B12" s="17" t="n">
        <v>6894</v>
      </c>
      <c r="C12" s="18">
        <f>(6075.0/B12*100)</f>
        <v/>
      </c>
      <c r="D12" s="19" t="n">
        <v>819</v>
      </c>
      <c r="E12" s="18" t="n">
        <v>85.47899689</v>
      </c>
      <c r="F12" s="20" t="n">
        <v>1.43339933</v>
      </c>
      <c r="G12" s="18" t="n">
        <v>7.7388997</v>
      </c>
      <c r="H12" s="20" t="n">
        <v>1.06733498</v>
      </c>
      <c r="I12" s="18" t="s">
        <v>349</v>
      </c>
      <c r="J12" s="20" t="s">
        <v>349</v>
      </c>
      <c r="K12" s="18" t="n">
        <v>0</v>
      </c>
      <c r="L12" s="20" t="n">
        <v>0</v>
      </c>
      <c r="M12" s="18" t="n">
        <v>0</v>
      </c>
      <c r="N12" s="20" t="n">
        <v>0</v>
      </c>
      <c r="O12" s="18" t="n">
        <v>0</v>
      </c>
      <c r="P12" s="20" t="n">
        <v>0</v>
      </c>
      <c r="Q12" s="18" t="n">
        <v>6.78210341</v>
      </c>
      <c r="R12" s="20" t="n">
        <v>0.94947333</v>
      </c>
    </row>
    <row r="13" spans="1:18">
      <c r="A13" s="15" t="s">
        <v>355</v>
      </c>
      <c r="B13" s="17" t="n">
        <v>7161</v>
      </c>
      <c r="C13" s="18">
        <f>(6323.0/B13*100)</f>
        <v/>
      </c>
      <c r="D13" s="19" t="n">
        <v>838</v>
      </c>
      <c r="E13" s="18" t="n">
        <v>86.2282014</v>
      </c>
      <c r="F13" s="20" t="n">
        <v>1.39817423</v>
      </c>
      <c r="G13" s="18" t="n">
        <v>8.721384949999999</v>
      </c>
      <c r="H13" s="20" t="n">
        <v>1.23978529</v>
      </c>
      <c r="I13" s="18" t="s">
        <v>349</v>
      </c>
      <c r="J13" s="20" t="s">
        <v>349</v>
      </c>
      <c r="K13" s="18" t="n">
        <v>0.58517118</v>
      </c>
      <c r="L13" s="20" t="n">
        <v>0.29676021</v>
      </c>
      <c r="M13" s="18" t="n">
        <v>0</v>
      </c>
      <c r="N13" s="20" t="n">
        <v>0</v>
      </c>
      <c r="O13" s="18" t="n">
        <v>0</v>
      </c>
      <c r="P13" s="20" t="n">
        <v>0</v>
      </c>
      <c r="Q13" s="18" t="n">
        <v>4.46524248</v>
      </c>
      <c r="R13" s="20" t="n">
        <v>0.91401286</v>
      </c>
    </row>
    <row r="14" spans="1:18">
      <c r="A14" s="15" t="s">
        <v>356</v>
      </c>
      <c r="B14" s="17" t="n">
        <v>5587</v>
      </c>
      <c r="C14" s="18">
        <f>(4907.0/B14*100)</f>
        <v/>
      </c>
      <c r="D14" s="19" t="n">
        <v>680</v>
      </c>
      <c r="E14" s="18" t="n">
        <v>87.86338093000001</v>
      </c>
      <c r="F14" s="20" t="n">
        <v>1.55545208</v>
      </c>
      <c r="G14" s="18" t="n">
        <v>7.19872465</v>
      </c>
      <c r="H14" s="20" t="n">
        <v>1.08309652</v>
      </c>
      <c r="I14" s="18" t="s">
        <v>349</v>
      </c>
      <c r="J14" s="20" t="s">
        <v>349</v>
      </c>
      <c r="K14" s="18" t="n">
        <v>0</v>
      </c>
      <c r="L14" s="20" t="n">
        <v>0</v>
      </c>
      <c r="M14" s="18" t="n">
        <v>0</v>
      </c>
      <c r="N14" s="20" t="n">
        <v>0</v>
      </c>
      <c r="O14" s="18" t="n">
        <v>0</v>
      </c>
      <c r="P14" s="20" t="n">
        <v>0</v>
      </c>
      <c r="Q14" s="18" t="n">
        <v>4.93789442</v>
      </c>
      <c r="R14" s="20" t="n">
        <v>1.06483392</v>
      </c>
    </row>
    <row r="15" spans="1:18">
      <c r="A15" s="15" t="s">
        <v>357</v>
      </c>
      <c r="B15" s="17" t="n">
        <v>5882</v>
      </c>
      <c r="C15" s="18">
        <f>(5164.0/B15*100)</f>
        <v/>
      </c>
      <c r="D15" s="19" t="n">
        <v>718</v>
      </c>
      <c r="E15" s="18" t="n">
        <v>88.19345921999999</v>
      </c>
      <c r="F15" s="20" t="n">
        <v>1.22249726</v>
      </c>
      <c r="G15" s="18" t="n">
        <v>6.72173512</v>
      </c>
      <c r="H15" s="20" t="n">
        <v>0.9610919999999999</v>
      </c>
      <c r="I15" s="18" t="s">
        <v>349</v>
      </c>
      <c r="J15" s="20" t="s">
        <v>349</v>
      </c>
      <c r="K15" s="18" t="n">
        <v>0.72449316</v>
      </c>
      <c r="L15" s="20" t="n">
        <v>0.3273534</v>
      </c>
      <c r="M15" s="18" t="n">
        <v>0</v>
      </c>
      <c r="N15" s="20" t="n">
        <v>0</v>
      </c>
      <c r="O15" s="18" t="n">
        <v>0</v>
      </c>
      <c r="P15" s="20" t="n">
        <v>0</v>
      </c>
      <c r="Q15" s="18" t="n">
        <v>4.36031251</v>
      </c>
      <c r="R15" s="20" t="n">
        <v>0.8422962000000001</v>
      </c>
    </row>
    <row r="16" spans="1:18">
      <c r="A16" s="15" t="s">
        <v>358</v>
      </c>
      <c r="B16" s="17" t="n">
        <v>6108</v>
      </c>
      <c r="C16" s="18">
        <f>(5383.0/B16*100)</f>
        <v/>
      </c>
      <c r="D16" s="19" t="n">
        <v>725</v>
      </c>
      <c r="E16" s="18" t="n">
        <v>88.32356397</v>
      </c>
      <c r="F16" s="20" t="n">
        <v>1.17541822</v>
      </c>
      <c r="G16" s="18" t="n">
        <v>5.39901012</v>
      </c>
      <c r="H16" s="20" t="n">
        <v>0.9289018</v>
      </c>
      <c r="I16" s="18" t="s">
        <v>349</v>
      </c>
      <c r="J16" s="20" t="s">
        <v>349</v>
      </c>
      <c r="K16" s="18" t="n">
        <v>0.96540973</v>
      </c>
      <c r="L16" s="20" t="n">
        <v>0.35818437</v>
      </c>
      <c r="M16" s="18" t="n">
        <v>0</v>
      </c>
      <c r="N16" s="20" t="n">
        <v>0</v>
      </c>
      <c r="O16" s="18" t="n">
        <v>0</v>
      </c>
      <c r="P16" s="20" t="n">
        <v>0</v>
      </c>
      <c r="Q16" s="18" t="n">
        <v>5.31201618</v>
      </c>
      <c r="R16" s="20" t="n">
        <v>0.82566873</v>
      </c>
    </row>
    <row r="17" spans="1:18">
      <c r="A17" s="15" t="s">
        <v>359</v>
      </c>
      <c r="B17" s="17" t="n">
        <v>6504</v>
      </c>
      <c r="C17" s="18">
        <f>(5741.0/B17*100)</f>
        <v/>
      </c>
      <c r="D17" s="19" t="n">
        <v>763</v>
      </c>
      <c r="E17" s="18" t="n">
        <v>86.83956795</v>
      </c>
      <c r="F17" s="20" t="n">
        <v>1.28777409</v>
      </c>
      <c r="G17" s="18" t="n">
        <v>6.14788533</v>
      </c>
      <c r="H17" s="20" t="n">
        <v>0.83674248</v>
      </c>
      <c r="I17" s="18" t="s">
        <v>349</v>
      </c>
      <c r="J17" s="20" t="s">
        <v>349</v>
      </c>
      <c r="K17" s="18" t="n">
        <v>0.35423854</v>
      </c>
      <c r="L17" s="20" t="n">
        <v>0.23530199</v>
      </c>
      <c r="M17" s="18" t="n">
        <v>0</v>
      </c>
      <c r="N17" s="20" t="n">
        <v>0</v>
      </c>
      <c r="O17" s="18" t="n">
        <v>0</v>
      </c>
      <c r="P17" s="20" t="n">
        <v>0</v>
      </c>
      <c r="Q17" s="18" t="n">
        <v>6.65830818</v>
      </c>
      <c r="R17" s="20" t="n">
        <v>0.93139046</v>
      </c>
    </row>
    <row r="18" spans="1:18">
      <c r="A18" s="15" t="s">
        <v>360</v>
      </c>
      <c r="B18" s="17" t="n">
        <v>5532</v>
      </c>
      <c r="C18" s="18">
        <f>(4862.0/B18*100)</f>
        <v/>
      </c>
      <c r="D18" s="19" t="n">
        <v>670</v>
      </c>
      <c r="E18" s="18" t="n">
        <v>90.1535875</v>
      </c>
      <c r="F18" s="20" t="n">
        <v>1.12793481</v>
      </c>
      <c r="G18" s="18" t="n">
        <v>1.62569945</v>
      </c>
      <c r="H18" s="20" t="n">
        <v>0.56235337</v>
      </c>
      <c r="I18" s="18" t="s">
        <v>349</v>
      </c>
      <c r="J18" s="20" t="s">
        <v>349</v>
      </c>
      <c r="K18" s="18" t="n">
        <v>1.05043819</v>
      </c>
      <c r="L18" s="20" t="n">
        <v>0.47312054</v>
      </c>
      <c r="M18" s="18" t="n">
        <v>0</v>
      </c>
      <c r="N18" s="20" t="n">
        <v>0</v>
      </c>
      <c r="O18" s="18" t="n">
        <v>0</v>
      </c>
      <c r="P18" s="20" t="n">
        <v>0</v>
      </c>
      <c r="Q18" s="18" t="n">
        <v>7.17027486</v>
      </c>
      <c r="R18" s="20" t="n">
        <v>0.95374886</v>
      </c>
    </row>
    <row r="19" spans="1:18">
      <c r="A19" s="15" t="s">
        <v>361</v>
      </c>
      <c r="B19" s="17" t="n">
        <v>5658</v>
      </c>
      <c r="C19" s="18">
        <f>(4980.0/B19*100)</f>
        <v/>
      </c>
      <c r="D19" s="19" t="n">
        <v>678</v>
      </c>
      <c r="E19" s="18" t="n">
        <v>93.08321966</v>
      </c>
      <c r="F19" s="20" t="n">
        <v>0.90316567</v>
      </c>
      <c r="G19" s="18" t="n">
        <v>4.32471483</v>
      </c>
      <c r="H19" s="20" t="n">
        <v>0.77022339</v>
      </c>
      <c r="I19" s="18" t="s">
        <v>349</v>
      </c>
      <c r="J19" s="20" t="s">
        <v>349</v>
      </c>
      <c r="K19" s="18" t="n">
        <v>0</v>
      </c>
      <c r="L19" s="20" t="n">
        <v>0</v>
      </c>
      <c r="M19" s="18" t="n">
        <v>0</v>
      </c>
      <c r="N19" s="20" t="n">
        <v>0</v>
      </c>
      <c r="O19" s="18" t="n">
        <v>0</v>
      </c>
      <c r="P19" s="20" t="n">
        <v>0</v>
      </c>
      <c r="Q19" s="18" t="n">
        <v>2.59206551</v>
      </c>
      <c r="R19" s="20" t="n">
        <v>0.63826527</v>
      </c>
    </row>
    <row r="20" spans="1:18">
      <c r="A20" s="15" t="s">
        <v>362</v>
      </c>
      <c r="B20" s="17" t="n">
        <v>3371</v>
      </c>
      <c r="C20" s="18">
        <f>(2966.0/B20*100)</f>
        <v/>
      </c>
      <c r="D20" s="19" t="n">
        <v>405</v>
      </c>
      <c r="E20" s="18" t="n">
        <v>86.42461341000001</v>
      </c>
      <c r="F20" s="20" t="n">
        <v>1.76790762</v>
      </c>
      <c r="G20" s="18" t="n">
        <v>8.53006459</v>
      </c>
      <c r="H20" s="20" t="n">
        <v>1.54725816</v>
      </c>
      <c r="I20" s="18" t="s">
        <v>349</v>
      </c>
      <c r="J20" s="20" t="s">
        <v>349</v>
      </c>
      <c r="K20" s="18" t="n">
        <v>0.72341288</v>
      </c>
      <c r="L20" s="20" t="n">
        <v>0.40233069</v>
      </c>
      <c r="M20" s="18" t="n">
        <v>0</v>
      </c>
      <c r="N20" s="20" t="n">
        <v>0</v>
      </c>
      <c r="O20" s="18" t="n">
        <v>0</v>
      </c>
      <c r="P20" s="20" t="n">
        <v>0</v>
      </c>
      <c r="Q20" s="18" t="n">
        <v>4.32190912</v>
      </c>
      <c r="R20" s="20" t="n">
        <v>1.03896489</v>
      </c>
    </row>
    <row r="21" spans="1:18">
      <c r="A21" s="15" t="s">
        <v>363</v>
      </c>
      <c r="B21" s="17" t="n">
        <v>5741</v>
      </c>
      <c r="C21" s="18">
        <f>(4778.0/B21*100)</f>
        <v/>
      </c>
      <c r="D21" s="19" t="n">
        <v>963</v>
      </c>
      <c r="E21" s="18" t="n">
        <v>93.59001035</v>
      </c>
      <c r="F21" s="20" t="n">
        <v>0.76300035</v>
      </c>
      <c r="G21" s="18" t="n">
        <v>3.59865026</v>
      </c>
      <c r="H21" s="20" t="n">
        <v>0.6454996200000001</v>
      </c>
      <c r="I21" s="18" t="s">
        <v>349</v>
      </c>
      <c r="J21" s="20" t="s">
        <v>349</v>
      </c>
      <c r="K21" s="18" t="n">
        <v>0.16137845</v>
      </c>
      <c r="L21" s="20" t="n">
        <v>0.11401637</v>
      </c>
      <c r="M21" s="18" t="n">
        <v>0</v>
      </c>
      <c r="N21" s="20" t="n">
        <v>0</v>
      </c>
      <c r="O21" s="18" t="n">
        <v>0</v>
      </c>
      <c r="P21" s="20" t="n">
        <v>0</v>
      </c>
      <c r="Q21" s="18" t="n">
        <v>2.64996093</v>
      </c>
      <c r="R21" s="20" t="n">
        <v>0.45067215</v>
      </c>
    </row>
    <row r="22" spans="1:18">
      <c r="A22" s="15" t="s">
        <v>364</v>
      </c>
      <c r="B22" s="17" t="n">
        <v>6598</v>
      </c>
      <c r="C22" s="18">
        <f>(5860.0/B22*100)</f>
        <v/>
      </c>
      <c r="D22" s="19" t="n">
        <v>738</v>
      </c>
      <c r="E22" s="18" t="n">
        <v>87.49952825</v>
      </c>
      <c r="F22" s="20" t="n">
        <v>1.233937</v>
      </c>
      <c r="G22" s="18" t="n">
        <v>3.10437538</v>
      </c>
      <c r="H22" s="20" t="n">
        <v>0.68931141</v>
      </c>
      <c r="I22" s="18" t="s">
        <v>349</v>
      </c>
      <c r="J22" s="20" t="s">
        <v>349</v>
      </c>
      <c r="K22" s="18" t="n">
        <v>1.21862948</v>
      </c>
      <c r="L22" s="20" t="n">
        <v>0.45139712</v>
      </c>
      <c r="M22" s="18" t="n">
        <v>0</v>
      </c>
      <c r="N22" s="20" t="n">
        <v>0</v>
      </c>
      <c r="O22" s="18" t="n">
        <v>0</v>
      </c>
      <c r="P22" s="20" t="n">
        <v>0</v>
      </c>
      <c r="Q22" s="18" t="n">
        <v>8.17746689</v>
      </c>
      <c r="R22" s="20" t="n">
        <v>1.10564317</v>
      </c>
    </row>
    <row r="23" spans="1:18">
      <c r="A23" s="15" t="s">
        <v>365</v>
      </c>
      <c r="B23" s="17" t="n">
        <v>11583</v>
      </c>
      <c r="C23" s="18">
        <f>(10145.0/B23*100)</f>
        <v/>
      </c>
      <c r="D23" s="19" t="n">
        <v>1438</v>
      </c>
      <c r="E23" s="18" t="n">
        <v>85.12630105</v>
      </c>
      <c r="F23" s="20" t="n">
        <v>1.3207704</v>
      </c>
      <c r="G23" s="18" t="n">
        <v>4.53435443</v>
      </c>
      <c r="H23" s="20" t="n">
        <v>0.73941565</v>
      </c>
      <c r="I23" s="18" t="s">
        <v>349</v>
      </c>
      <c r="J23" s="20" t="s">
        <v>349</v>
      </c>
      <c r="K23" s="18" t="n">
        <v>0.98485667</v>
      </c>
      <c r="L23" s="20" t="n">
        <v>0.39829524</v>
      </c>
      <c r="M23" s="18" t="n">
        <v>0</v>
      </c>
      <c r="N23" s="20" t="n">
        <v>0</v>
      </c>
      <c r="O23" s="18" t="n">
        <v>0</v>
      </c>
      <c r="P23" s="20" t="n">
        <v>0</v>
      </c>
      <c r="Q23" s="18" t="n">
        <v>9.35448785</v>
      </c>
      <c r="R23" s="20" t="n">
        <v>1.08014889</v>
      </c>
    </row>
    <row r="24" spans="1:18">
      <c r="A24" s="15" t="s">
        <v>366</v>
      </c>
      <c r="B24" s="17" t="n">
        <v>6647</v>
      </c>
      <c r="C24" s="18">
        <f>(5842.0/B24*100)</f>
        <v/>
      </c>
      <c r="D24" s="19" t="n">
        <v>805</v>
      </c>
      <c r="E24" s="18" t="n">
        <v>73.06833533</v>
      </c>
      <c r="F24" s="20" t="n">
        <v>1.8769559</v>
      </c>
      <c r="G24" s="18" t="n">
        <v>20.24533691</v>
      </c>
      <c r="H24" s="20" t="n">
        <v>1.69420886</v>
      </c>
      <c r="I24" s="18" t="s">
        <v>349</v>
      </c>
      <c r="J24" s="20" t="s">
        <v>349</v>
      </c>
      <c r="K24" s="18" t="n">
        <v>0.08860807</v>
      </c>
      <c r="L24" s="20" t="n">
        <v>0.08876536</v>
      </c>
      <c r="M24" s="18" t="n">
        <v>0</v>
      </c>
      <c r="N24" s="20" t="n">
        <v>0</v>
      </c>
      <c r="O24" s="18" t="n">
        <v>0</v>
      </c>
      <c r="P24" s="20" t="n">
        <v>0</v>
      </c>
      <c r="Q24" s="18" t="n">
        <v>6.59771969</v>
      </c>
      <c r="R24" s="20" t="n">
        <v>0.95220019</v>
      </c>
    </row>
    <row r="25" spans="1:18">
      <c r="A25" s="15" t="s">
        <v>367</v>
      </c>
      <c r="B25" s="17" t="n">
        <v>5581</v>
      </c>
      <c r="C25" s="18">
        <f>(4882.0/B25*100)</f>
        <v/>
      </c>
      <c r="D25" s="19" t="n">
        <v>699</v>
      </c>
      <c r="E25" s="18" t="n">
        <v>84.38918597</v>
      </c>
      <c r="F25" s="20" t="n">
        <v>1.51096398</v>
      </c>
      <c r="G25" s="18" t="n">
        <v>10.79143266</v>
      </c>
      <c r="H25" s="20" t="n">
        <v>1.19928342</v>
      </c>
      <c r="I25" s="18" t="s">
        <v>349</v>
      </c>
      <c r="J25" s="20" t="s">
        <v>349</v>
      </c>
      <c r="K25" s="18" t="n">
        <v>1.14756326</v>
      </c>
      <c r="L25" s="20" t="n">
        <v>0.42591374</v>
      </c>
      <c r="M25" s="18" t="n">
        <v>0</v>
      </c>
      <c r="N25" s="20" t="n">
        <v>0</v>
      </c>
      <c r="O25" s="18" t="n">
        <v>0</v>
      </c>
      <c r="P25" s="20" t="n">
        <v>0</v>
      </c>
      <c r="Q25" s="18" t="n">
        <v>3.67181811</v>
      </c>
      <c r="R25" s="20" t="n">
        <v>0.74057625</v>
      </c>
    </row>
    <row r="26" spans="1:18">
      <c r="A26" s="15" t="s">
        <v>368</v>
      </c>
      <c r="B26" s="17" t="n">
        <v>4869</v>
      </c>
      <c r="C26" s="18">
        <f>(4265.0/B26*100)</f>
        <v/>
      </c>
      <c r="D26" s="19" t="n">
        <v>604</v>
      </c>
      <c r="E26" s="18" t="n">
        <v>92.03597399</v>
      </c>
      <c r="F26" s="20" t="n">
        <v>1.03660758</v>
      </c>
      <c r="G26" s="18" t="n">
        <v>4.35660606</v>
      </c>
      <c r="H26" s="20" t="n">
        <v>0.87626939</v>
      </c>
      <c r="I26" s="18" t="s">
        <v>349</v>
      </c>
      <c r="J26" s="20" t="s">
        <v>349</v>
      </c>
      <c r="K26" s="18" t="n">
        <v>0.27817262</v>
      </c>
      <c r="L26" s="20" t="n">
        <v>0.20179568</v>
      </c>
      <c r="M26" s="18" t="n">
        <v>0</v>
      </c>
      <c r="N26" s="20" t="n">
        <v>0</v>
      </c>
      <c r="O26" s="18" t="n">
        <v>0</v>
      </c>
      <c r="P26" s="20" t="n">
        <v>0</v>
      </c>
      <c r="Q26" s="18" t="n">
        <v>3.32924732</v>
      </c>
      <c r="R26" s="20" t="n">
        <v>0.74082306</v>
      </c>
    </row>
    <row r="27" spans="1:18">
      <c r="A27" s="15" t="s">
        <v>369</v>
      </c>
      <c r="B27" s="17" t="n">
        <v>5299</v>
      </c>
      <c r="C27" s="18">
        <f>(4651.0/B27*100)</f>
        <v/>
      </c>
      <c r="D27" s="19" t="n">
        <v>648</v>
      </c>
      <c r="E27" s="18" t="n">
        <v>89.66900756</v>
      </c>
      <c r="F27" s="20" t="n">
        <v>1.29920122</v>
      </c>
      <c r="G27" s="18" t="n">
        <v>5.86366332</v>
      </c>
      <c r="H27" s="20" t="n">
        <v>0.95680132</v>
      </c>
      <c r="I27" s="18" t="s">
        <v>349</v>
      </c>
      <c r="J27" s="20" t="s">
        <v>349</v>
      </c>
      <c r="K27" s="18" t="n">
        <v>0.31124107</v>
      </c>
      <c r="L27" s="20" t="n">
        <v>0.21995088</v>
      </c>
      <c r="M27" s="18" t="n">
        <v>0</v>
      </c>
      <c r="N27" s="20" t="n">
        <v>0</v>
      </c>
      <c r="O27" s="18" t="n">
        <v>0</v>
      </c>
      <c r="P27" s="20" t="n">
        <v>0</v>
      </c>
      <c r="Q27" s="18" t="n">
        <v>4.15608805</v>
      </c>
      <c r="R27" s="20" t="n">
        <v>0.86998089</v>
      </c>
    </row>
    <row r="28" spans="1:18">
      <c r="A28" s="15" t="s">
        <v>370</v>
      </c>
      <c r="B28" s="17" t="n">
        <v>7568</v>
      </c>
      <c r="C28" s="18">
        <f>(6650.0/B28*100)</f>
        <v/>
      </c>
      <c r="D28" s="19" t="n">
        <v>918</v>
      </c>
      <c r="E28" s="18" t="n">
        <v>94.33926178</v>
      </c>
      <c r="F28" s="20" t="n">
        <v>0.96904598</v>
      </c>
      <c r="G28" s="18" t="n">
        <v>1.58619077</v>
      </c>
      <c r="H28" s="20" t="n">
        <v>0.44966017</v>
      </c>
      <c r="I28" s="18" t="s">
        <v>349</v>
      </c>
      <c r="J28" s="20" t="s">
        <v>349</v>
      </c>
      <c r="K28" s="18" t="n">
        <v>1.05895806</v>
      </c>
      <c r="L28" s="20" t="n">
        <v>0.41539943</v>
      </c>
      <c r="M28" s="18" t="n">
        <v>0</v>
      </c>
      <c r="N28" s="20" t="n">
        <v>0</v>
      </c>
      <c r="O28" s="18" t="n">
        <v>0</v>
      </c>
      <c r="P28" s="20" t="n">
        <v>0</v>
      </c>
      <c r="Q28" s="18" t="n">
        <v>3.01558939</v>
      </c>
      <c r="R28" s="20" t="n">
        <v>0.7326585799999999</v>
      </c>
    </row>
    <row r="29" spans="1:18">
      <c r="A29" s="15" t="s">
        <v>371</v>
      </c>
      <c r="B29" s="17" t="n">
        <v>5385</v>
      </c>
      <c r="C29" s="18">
        <f>(4720.0/B29*100)</f>
        <v/>
      </c>
      <c r="D29" s="19" t="n">
        <v>665</v>
      </c>
      <c r="E29" s="18" t="n">
        <v>86.88413681</v>
      </c>
      <c r="F29" s="20" t="n">
        <v>1.39530611</v>
      </c>
      <c r="G29" s="18" t="n">
        <v>9.28709656</v>
      </c>
      <c r="H29" s="20" t="n">
        <v>1.12554877</v>
      </c>
      <c r="I29" s="18" t="s">
        <v>349</v>
      </c>
      <c r="J29" s="20" t="s">
        <v>349</v>
      </c>
      <c r="K29" s="18" t="n">
        <v>0.35302953</v>
      </c>
      <c r="L29" s="20" t="n">
        <v>0.23434448</v>
      </c>
      <c r="M29" s="18" t="n">
        <v>0</v>
      </c>
      <c r="N29" s="20" t="n">
        <v>0</v>
      </c>
      <c r="O29" s="18" t="n">
        <v>0</v>
      </c>
      <c r="P29" s="20" t="n">
        <v>0</v>
      </c>
      <c r="Q29" s="18" t="n">
        <v>3.47573711</v>
      </c>
      <c r="R29" s="20" t="n">
        <v>0.79404144</v>
      </c>
    </row>
    <row r="30" spans="1:18">
      <c r="A30" s="15" t="s">
        <v>372</v>
      </c>
      <c r="B30" s="17" t="n">
        <v>4520</v>
      </c>
      <c r="C30" s="18">
        <f>(3958.0/B30*100)</f>
        <v/>
      </c>
      <c r="D30" s="19" t="n">
        <v>562</v>
      </c>
      <c r="E30" s="18" t="n">
        <v>84.87045641</v>
      </c>
      <c r="F30" s="20" t="n">
        <v>1.47629623</v>
      </c>
      <c r="G30" s="18" t="n">
        <v>6.58591058</v>
      </c>
      <c r="H30" s="20" t="n">
        <v>0.98460377</v>
      </c>
      <c r="I30" s="18" t="s">
        <v>349</v>
      </c>
      <c r="J30" s="20" t="s">
        <v>349</v>
      </c>
      <c r="K30" s="18" t="n">
        <v>0.5516081</v>
      </c>
      <c r="L30" s="20" t="n">
        <v>0.33692728</v>
      </c>
      <c r="M30" s="18" t="n">
        <v>0</v>
      </c>
      <c r="N30" s="20" t="n">
        <v>0</v>
      </c>
      <c r="O30" s="18" t="n">
        <v>0</v>
      </c>
      <c r="P30" s="20" t="n">
        <v>0</v>
      </c>
      <c r="Q30" s="18" t="n">
        <v>7.99202491</v>
      </c>
      <c r="R30" s="20" t="n">
        <v>1.17193918</v>
      </c>
    </row>
    <row r="31" spans="1:18">
      <c r="A31" s="15" t="s">
        <v>373</v>
      </c>
      <c r="B31" s="17" t="n">
        <v>5456</v>
      </c>
      <c r="C31" s="18">
        <f>(4810.0/B31*100)</f>
        <v/>
      </c>
      <c r="D31" s="19" t="n">
        <v>646</v>
      </c>
      <c r="E31" s="18" t="n">
        <v>81.84214357</v>
      </c>
      <c r="F31" s="20" t="n">
        <v>1.69823466</v>
      </c>
      <c r="G31" s="18" t="n">
        <v>8.38266413</v>
      </c>
      <c r="H31" s="20" t="n">
        <v>1.24305018</v>
      </c>
      <c r="I31" s="18" t="s">
        <v>349</v>
      </c>
      <c r="J31" s="20" t="s">
        <v>349</v>
      </c>
      <c r="K31" s="18" t="n">
        <v>1.51617122</v>
      </c>
      <c r="L31" s="20" t="n">
        <v>0.43341746</v>
      </c>
      <c r="M31" s="18" t="n">
        <v>0</v>
      </c>
      <c r="N31" s="20" t="n">
        <v>0</v>
      </c>
      <c r="O31" s="18" t="n">
        <v>0</v>
      </c>
      <c r="P31" s="20" t="n">
        <v>0</v>
      </c>
      <c r="Q31" s="18" t="n">
        <v>8.259021069999999</v>
      </c>
      <c r="R31" s="20" t="n">
        <v>0.97364505</v>
      </c>
    </row>
    <row r="32" spans="1:18">
      <c r="A32" s="15" t="s">
        <v>374</v>
      </c>
      <c r="B32" s="17" t="n">
        <v>4478</v>
      </c>
      <c r="C32" s="18">
        <f>(3737.0/B32*100)</f>
        <v/>
      </c>
      <c r="D32" s="19" t="n">
        <v>741</v>
      </c>
      <c r="E32" s="18" t="n">
        <v>84.78073684</v>
      </c>
      <c r="F32" s="20" t="n">
        <v>1.50870766</v>
      </c>
      <c r="G32" s="18" t="n">
        <v>10.18379199</v>
      </c>
      <c r="H32" s="20" t="n">
        <v>1.36012312</v>
      </c>
      <c r="I32" s="18" t="s">
        <v>349</v>
      </c>
      <c r="J32" s="20" t="s">
        <v>349</v>
      </c>
      <c r="K32" s="18" t="n">
        <v>0.27861705</v>
      </c>
      <c r="L32" s="20" t="n">
        <v>0.18218449</v>
      </c>
      <c r="M32" s="18" t="n">
        <v>0</v>
      </c>
      <c r="N32" s="20" t="n">
        <v>0</v>
      </c>
      <c r="O32" s="18" t="n">
        <v>0</v>
      </c>
      <c r="P32" s="20" t="n">
        <v>0</v>
      </c>
      <c r="Q32" s="18" t="n">
        <v>4.75685413</v>
      </c>
      <c r="R32" s="20" t="n">
        <v>0.81678629</v>
      </c>
    </row>
    <row r="33" spans="1:18">
      <c r="A33" s="15" t="s">
        <v>375</v>
      </c>
      <c r="B33" s="17" t="n">
        <v>7325</v>
      </c>
      <c r="C33" s="18">
        <f>(6443.0/B33*100)</f>
        <v/>
      </c>
      <c r="D33" s="19" t="n">
        <v>882</v>
      </c>
      <c r="E33" s="18" t="n">
        <v>88.61169714</v>
      </c>
      <c r="F33" s="20" t="n">
        <v>1.44312557</v>
      </c>
      <c r="G33" s="18" t="n">
        <v>4.49871336</v>
      </c>
      <c r="H33" s="20" t="n">
        <v>1.15559194</v>
      </c>
      <c r="I33" s="18" t="s">
        <v>349</v>
      </c>
      <c r="J33" s="20" t="s">
        <v>349</v>
      </c>
      <c r="K33" s="18" t="n">
        <v>0.7046821599999999</v>
      </c>
      <c r="L33" s="20" t="n">
        <v>0.43399759</v>
      </c>
      <c r="M33" s="18" t="n">
        <v>0</v>
      </c>
      <c r="N33" s="20" t="n">
        <v>0</v>
      </c>
      <c r="O33" s="18" t="n">
        <v>0</v>
      </c>
      <c r="P33" s="20" t="n">
        <v>0</v>
      </c>
      <c r="Q33" s="18" t="n">
        <v>6.18490734</v>
      </c>
      <c r="R33" s="20" t="n">
        <v>1.01741149</v>
      </c>
    </row>
    <row r="34" spans="1:18">
      <c r="A34" s="15" t="s">
        <v>376</v>
      </c>
      <c r="B34" s="17" t="n">
        <v>6350</v>
      </c>
      <c r="C34" s="18">
        <f>(5587.0/B34*100)</f>
        <v/>
      </c>
      <c r="D34" s="19" t="n">
        <v>763</v>
      </c>
      <c r="E34" s="18" t="n">
        <v>86.6997564</v>
      </c>
      <c r="F34" s="20" t="n">
        <v>1.08291308</v>
      </c>
      <c r="G34" s="18" t="n">
        <v>7.00827834</v>
      </c>
      <c r="H34" s="20" t="n">
        <v>0.83964059</v>
      </c>
      <c r="I34" s="18" t="s">
        <v>349</v>
      </c>
      <c r="J34" s="20" t="s">
        <v>349</v>
      </c>
      <c r="K34" s="18" t="n">
        <v>0.83176525</v>
      </c>
      <c r="L34" s="20" t="n">
        <v>0.35389034</v>
      </c>
      <c r="M34" s="18" t="n">
        <v>0</v>
      </c>
      <c r="N34" s="20" t="n">
        <v>0</v>
      </c>
      <c r="O34" s="18" t="n">
        <v>0</v>
      </c>
      <c r="P34" s="20" t="n">
        <v>0</v>
      </c>
      <c r="Q34" s="18" t="n">
        <v>5.46020001</v>
      </c>
      <c r="R34" s="20" t="n">
        <v>0.6116732</v>
      </c>
    </row>
    <row r="35" spans="1:18">
      <c r="A35" s="15" t="s">
        <v>377</v>
      </c>
      <c r="B35" s="17" t="n">
        <v>6406</v>
      </c>
      <c r="C35" s="18">
        <f>(5662.0/B35*100)</f>
        <v/>
      </c>
      <c r="D35" s="19" t="n">
        <v>744</v>
      </c>
      <c r="E35" s="18" t="n">
        <v>87.76540242</v>
      </c>
      <c r="F35" s="20" t="n">
        <v>1.59635215</v>
      </c>
      <c r="G35" s="18" t="n">
        <v>8.38962538</v>
      </c>
      <c r="H35" s="20" t="n">
        <v>1.40773866</v>
      </c>
      <c r="I35" s="18" t="s">
        <v>349</v>
      </c>
      <c r="J35" s="20" t="s">
        <v>349</v>
      </c>
      <c r="K35" s="18" t="n">
        <v>0.0769929</v>
      </c>
      <c r="L35" s="20" t="n">
        <v>0.07803454999999999</v>
      </c>
      <c r="M35" s="18" t="n">
        <v>0</v>
      </c>
      <c r="N35" s="20" t="n">
        <v>0</v>
      </c>
      <c r="O35" s="18" t="n">
        <v>0</v>
      </c>
      <c r="P35" s="20" t="n">
        <v>0</v>
      </c>
      <c r="Q35" s="18" t="n">
        <v>3.7679793</v>
      </c>
      <c r="R35" s="20" t="n">
        <v>0.88852135</v>
      </c>
    </row>
    <row r="36" spans="1:18">
      <c r="A36" s="15" t="s">
        <v>378</v>
      </c>
      <c r="B36" s="17" t="n">
        <v>6736</v>
      </c>
      <c r="C36" s="18">
        <f>(5901.0/B36*100)</f>
        <v/>
      </c>
      <c r="D36" s="19" t="n">
        <v>835</v>
      </c>
      <c r="E36" s="18" t="n">
        <v>87.58221835000001</v>
      </c>
      <c r="F36" s="20" t="n">
        <v>1.42192373</v>
      </c>
      <c r="G36" s="18" t="n">
        <v>3.06375329</v>
      </c>
      <c r="H36" s="20" t="n">
        <v>0.6247598599999999</v>
      </c>
      <c r="I36" s="18" t="s">
        <v>349</v>
      </c>
      <c r="J36" s="20" t="s">
        <v>349</v>
      </c>
      <c r="K36" s="18" t="n">
        <v>0.43413662</v>
      </c>
      <c r="L36" s="20" t="n">
        <v>0.22542442</v>
      </c>
      <c r="M36" s="18" t="n">
        <v>0</v>
      </c>
      <c r="N36" s="20" t="n">
        <v>0</v>
      </c>
      <c r="O36" s="18" t="n">
        <v>0</v>
      </c>
      <c r="P36" s="20" t="n">
        <v>0</v>
      </c>
      <c r="Q36" s="18" t="n">
        <v>8.91989175</v>
      </c>
      <c r="R36" s="20" t="n">
        <v>1.23832545</v>
      </c>
    </row>
    <row r="37" spans="1:18">
      <c r="A37" s="15" t="s">
        <v>379</v>
      </c>
      <c r="B37" s="17" t="n">
        <v>5458</v>
      </c>
      <c r="C37" s="18">
        <f>(4798.0/B37*100)</f>
        <v/>
      </c>
      <c r="D37" s="19" t="n">
        <v>660</v>
      </c>
      <c r="E37" s="18" t="n">
        <v>76.47965453</v>
      </c>
      <c r="F37" s="20" t="n">
        <v>1.89016377</v>
      </c>
      <c r="G37" s="18" t="n">
        <v>10.35391621</v>
      </c>
      <c r="H37" s="20" t="n">
        <v>1.16714393</v>
      </c>
      <c r="I37" s="18" t="s">
        <v>349</v>
      </c>
      <c r="J37" s="20" t="s">
        <v>349</v>
      </c>
      <c r="K37" s="18" t="n">
        <v>1.48749277</v>
      </c>
      <c r="L37" s="20" t="n">
        <v>0.51469807</v>
      </c>
      <c r="M37" s="18" t="n">
        <v>0</v>
      </c>
      <c r="N37" s="20" t="n">
        <v>0</v>
      </c>
      <c r="O37" s="18" t="n">
        <v>0</v>
      </c>
      <c r="P37" s="20" t="n">
        <v>0</v>
      </c>
      <c r="Q37" s="18" t="n">
        <v>11.67893648</v>
      </c>
      <c r="R37" s="20" t="n">
        <v>1.33135897</v>
      </c>
    </row>
    <row r="38" spans="1:18">
      <c r="A38" s="15" t="s">
        <v>380</v>
      </c>
      <c r="B38" s="17" t="n">
        <v>5860</v>
      </c>
      <c r="C38" s="18">
        <f>(4871.0/B38*100)</f>
        <v/>
      </c>
      <c r="D38" s="19" t="n">
        <v>989</v>
      </c>
      <c r="E38" s="18" t="n">
        <v>78.14375459999999</v>
      </c>
      <c r="F38" s="20" t="n">
        <v>1.69239817</v>
      </c>
      <c r="G38" s="18" t="n">
        <v>16.48323008</v>
      </c>
      <c r="H38" s="20" t="n">
        <v>1.42320528</v>
      </c>
      <c r="I38" s="18" t="s">
        <v>349</v>
      </c>
      <c r="J38" s="20" t="s">
        <v>349</v>
      </c>
      <c r="K38" s="18" t="n">
        <v>0.22014579</v>
      </c>
      <c r="L38" s="20" t="n">
        <v>0.14932443</v>
      </c>
      <c r="M38" s="18" t="n">
        <v>0</v>
      </c>
      <c r="N38" s="20" t="n">
        <v>0</v>
      </c>
      <c r="O38" s="18" t="n">
        <v>0</v>
      </c>
      <c r="P38" s="20" t="n">
        <v>0</v>
      </c>
      <c r="Q38" s="18" t="n">
        <v>5.15286953</v>
      </c>
      <c r="R38" s="20" t="n">
        <v>1.01981939</v>
      </c>
    </row>
    <row r="39" spans="1:18">
      <c r="A39" s="15" t="s">
        <v>381</v>
      </c>
      <c r="B39" s="17" t="n">
        <v>5895</v>
      </c>
      <c r="C39" s="18">
        <f>(5171.0/B39*100)</f>
        <v/>
      </c>
      <c r="D39" s="19" t="n">
        <v>724</v>
      </c>
      <c r="E39" s="18" t="n">
        <v>89.9353965</v>
      </c>
      <c r="F39" s="20" t="n">
        <v>1.07903473</v>
      </c>
      <c r="G39" s="18" t="n">
        <v>4.65939924</v>
      </c>
      <c r="H39" s="20" t="n">
        <v>0.78727983</v>
      </c>
      <c r="I39" s="18" t="s">
        <v>349</v>
      </c>
      <c r="J39" s="20" t="s">
        <v>349</v>
      </c>
      <c r="K39" s="18" t="n">
        <v>0.61356701</v>
      </c>
      <c r="L39" s="20" t="n">
        <v>0.25286089</v>
      </c>
      <c r="M39" s="18" t="n">
        <v>0</v>
      </c>
      <c r="N39" s="20" t="n">
        <v>0</v>
      </c>
      <c r="O39" s="18" t="n">
        <v>0</v>
      </c>
      <c r="P39" s="20" t="n">
        <v>0</v>
      </c>
      <c r="Q39" s="18" t="n">
        <v>4.79163725</v>
      </c>
      <c r="R39" s="20" t="n">
        <v>0.89094129</v>
      </c>
    </row>
    <row r="40" spans="1:18">
      <c r="A40" s="15" t="s">
        <v>382</v>
      </c>
      <c r="B40" s="17" t="n">
        <v>14157</v>
      </c>
      <c r="C40" s="18">
        <f>(12445.0/B40*100)</f>
        <v/>
      </c>
      <c r="D40" s="19" t="n">
        <v>1712</v>
      </c>
      <c r="E40" s="18" t="n">
        <v>86.37115459</v>
      </c>
      <c r="F40" s="20" t="n">
        <v>0.94227789</v>
      </c>
      <c r="G40" s="18" t="n">
        <v>6.35254518</v>
      </c>
      <c r="H40" s="20" t="n">
        <v>0.8191086</v>
      </c>
      <c r="I40" s="18" t="s">
        <v>349</v>
      </c>
      <c r="J40" s="20" t="s">
        <v>349</v>
      </c>
      <c r="K40" s="18" t="n">
        <v>0.96279362</v>
      </c>
      <c r="L40" s="20" t="n">
        <v>0.32591774</v>
      </c>
      <c r="M40" s="18" t="n">
        <v>0</v>
      </c>
      <c r="N40" s="20" t="n">
        <v>0</v>
      </c>
      <c r="O40" s="18" t="n">
        <v>0</v>
      </c>
      <c r="P40" s="20" t="n">
        <v>0</v>
      </c>
      <c r="Q40" s="18" t="n">
        <v>6.31350662</v>
      </c>
      <c r="R40" s="20" t="n">
        <v>0.8735427099999999</v>
      </c>
    </row>
    <row r="41" spans="1:18">
      <c r="A41" s="15" t="s">
        <v>383</v>
      </c>
      <c r="B41" s="17" t="n">
        <v>5712</v>
      </c>
      <c r="C41" s="18">
        <f>(5021.0/B41*100)</f>
        <v/>
      </c>
      <c r="D41" s="19" t="n">
        <v>691</v>
      </c>
      <c r="E41" s="18" t="n">
        <v>92.94148521</v>
      </c>
      <c r="F41" s="20" t="n">
        <v>1.2775895</v>
      </c>
      <c r="G41" s="18" t="n">
        <v>5.37508574</v>
      </c>
      <c r="H41" s="20" t="n">
        <v>1.08193811</v>
      </c>
      <c r="I41" s="18" t="s">
        <v>349</v>
      </c>
      <c r="J41" s="20" t="s">
        <v>349</v>
      </c>
      <c r="K41" s="18" t="n">
        <v>0.30209776</v>
      </c>
      <c r="L41" s="20" t="n">
        <v>0.19786091</v>
      </c>
      <c r="M41" s="18" t="n">
        <v>0</v>
      </c>
      <c r="N41" s="20" t="n">
        <v>0</v>
      </c>
      <c r="O41" s="18" t="n">
        <v>0</v>
      </c>
      <c r="P41" s="20" t="n">
        <v>0</v>
      </c>
      <c r="Q41" s="18" t="n">
        <v>1.3813313</v>
      </c>
      <c r="R41" s="20" t="n">
        <v>0.454178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(20588.0/B46*100)</f>
        <v/>
      </c>
      <c r="D46" s="19" t="n">
        <v>2553</v>
      </c>
      <c r="E46" s="18" t="n">
        <v>88.25989375</v>
      </c>
      <c r="F46" s="20" t="n">
        <v>0.91792152</v>
      </c>
      <c r="G46" s="18" t="n">
        <v>1.6768975</v>
      </c>
      <c r="H46" s="20" t="n">
        <v>0.42308132</v>
      </c>
      <c r="I46" s="18" t="s">
        <v>349</v>
      </c>
      <c r="J46" s="20" t="s">
        <v>349</v>
      </c>
      <c r="K46" s="18" t="n">
        <v>1.06304545</v>
      </c>
      <c r="L46" s="20" t="n">
        <v>0.26802461</v>
      </c>
      <c r="M46" s="18" t="n">
        <v>0</v>
      </c>
      <c r="N46" s="20" t="n">
        <v>0</v>
      </c>
      <c r="O46" s="18" t="n">
        <v>0</v>
      </c>
      <c r="P46" s="20" t="n">
        <v>0</v>
      </c>
      <c r="Q46" s="18" t="n">
        <v>9.000163300000001</v>
      </c>
      <c r="R46" s="20" t="n">
        <v>0.75699524</v>
      </c>
    </row>
    <row r="47" spans="1:18">
      <c r="A47" s="15" t="s">
        <v>389</v>
      </c>
      <c r="B47" s="17" t="n">
        <v>5928</v>
      </c>
      <c r="C47" s="18">
        <f>(5221.0/B47*100)</f>
        <v/>
      </c>
      <c r="D47" s="19" t="n">
        <v>707</v>
      </c>
      <c r="E47" s="18" t="n">
        <v>91.43815540999999</v>
      </c>
      <c r="F47" s="20" t="n">
        <v>1.2298353</v>
      </c>
      <c r="G47" s="18" t="n">
        <v>2.34243762</v>
      </c>
      <c r="H47" s="20" t="n">
        <v>0.6727266200000001</v>
      </c>
      <c r="I47" s="18" t="s">
        <v>349</v>
      </c>
      <c r="J47" s="20" t="s">
        <v>349</v>
      </c>
      <c r="K47" s="18" t="n">
        <v>0.84964411</v>
      </c>
      <c r="L47" s="20" t="n">
        <v>0.35604905</v>
      </c>
      <c r="M47" s="18" t="n">
        <v>0</v>
      </c>
      <c r="N47" s="20" t="n">
        <v>0</v>
      </c>
      <c r="O47" s="18" t="n">
        <v>0</v>
      </c>
      <c r="P47" s="20" t="n">
        <v>0</v>
      </c>
      <c r="Q47" s="18" t="n">
        <v>5.36976286</v>
      </c>
      <c r="R47" s="20" t="n">
        <v>0.8943884600000001</v>
      </c>
    </row>
    <row r="48" spans="1:18">
      <c r="A48" s="15" t="s">
        <v>390</v>
      </c>
      <c r="B48" s="17" t="n">
        <v>9841</v>
      </c>
      <c r="C48" s="18">
        <f>(8626.0/B48*100)</f>
        <v/>
      </c>
      <c r="D48" s="19" t="n">
        <v>1215</v>
      </c>
      <c r="E48" s="18" t="n">
        <v>83.81448512</v>
      </c>
      <c r="F48" s="20" t="n">
        <v>1.40258202</v>
      </c>
      <c r="G48" s="18" t="n">
        <v>14.16362644</v>
      </c>
      <c r="H48" s="20" t="n">
        <v>1.43400907</v>
      </c>
      <c r="I48" s="18" t="s">
        <v>349</v>
      </c>
      <c r="J48" s="20" t="s">
        <v>349</v>
      </c>
      <c r="K48" s="18" t="n">
        <v>0.69596846</v>
      </c>
      <c r="L48" s="20" t="n">
        <v>0.28804206</v>
      </c>
      <c r="M48" s="18" t="n">
        <v>0</v>
      </c>
      <c r="N48" s="20" t="n">
        <v>0</v>
      </c>
      <c r="O48" s="18" t="n">
        <v>0</v>
      </c>
      <c r="P48" s="20" t="n">
        <v>0</v>
      </c>
      <c r="Q48" s="18" t="n">
        <v>1.32591997</v>
      </c>
      <c r="R48" s="20" t="n">
        <v>0.41007444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(10362.0/B50*100)</f>
        <v/>
      </c>
      <c r="D50" s="19" t="n">
        <v>1433</v>
      </c>
      <c r="E50" s="18" t="n">
        <v>95.58801615</v>
      </c>
      <c r="F50" s="20" t="n">
        <v>0.66292115</v>
      </c>
      <c r="G50" s="18" t="n">
        <v>0.94940735</v>
      </c>
      <c r="H50" s="20" t="n">
        <v>0.34759484</v>
      </c>
      <c r="I50" s="18" t="s">
        <v>349</v>
      </c>
      <c r="J50" s="20" t="s">
        <v>349</v>
      </c>
      <c r="K50" s="18" t="n">
        <v>0.99761375</v>
      </c>
      <c r="L50" s="20" t="n">
        <v>0.35987995</v>
      </c>
      <c r="M50" s="18" t="n">
        <v>0</v>
      </c>
      <c r="N50" s="20" t="n">
        <v>0</v>
      </c>
      <c r="O50" s="18" t="n">
        <v>0</v>
      </c>
      <c r="P50" s="20" t="n">
        <v>0</v>
      </c>
      <c r="Q50" s="18" t="n">
        <v>2.46496274</v>
      </c>
      <c r="R50" s="20" t="n">
        <v>0.46790638</v>
      </c>
    </row>
    <row r="51" spans="1:18">
      <c r="A51" s="15" t="s">
        <v>393</v>
      </c>
      <c r="B51" s="17" t="n">
        <v>6866</v>
      </c>
      <c r="C51" s="18">
        <f>(6136.0/B51*100)</f>
        <v/>
      </c>
      <c r="D51" s="19" t="n">
        <v>730</v>
      </c>
      <c r="E51" s="18" t="n">
        <v>92.04123127</v>
      </c>
      <c r="F51" s="20" t="n">
        <v>1.17088598</v>
      </c>
      <c r="G51" s="18" t="n">
        <v>1.38774425</v>
      </c>
      <c r="H51" s="20" t="n">
        <v>0.47706322</v>
      </c>
      <c r="I51" s="18" t="s">
        <v>349</v>
      </c>
      <c r="J51" s="20" t="s">
        <v>349</v>
      </c>
      <c r="K51" s="18" t="n">
        <v>0.46318803</v>
      </c>
      <c r="L51" s="20" t="n">
        <v>0.26079299</v>
      </c>
      <c r="M51" s="18" t="n">
        <v>0</v>
      </c>
      <c r="N51" s="20" t="n">
        <v>0</v>
      </c>
      <c r="O51" s="18" t="n">
        <v>0</v>
      </c>
      <c r="P51" s="20" t="n">
        <v>0</v>
      </c>
      <c r="Q51" s="18" t="n">
        <v>6.10783646</v>
      </c>
      <c r="R51" s="20" t="n">
        <v>1.07568061</v>
      </c>
    </row>
    <row r="52" spans="1:18">
      <c r="A52" s="15" t="s">
        <v>394</v>
      </c>
      <c r="B52" s="17" t="n">
        <v>5809</v>
      </c>
      <c r="C52" s="18">
        <f>(5100.0/B52*100)</f>
        <v/>
      </c>
      <c r="D52" s="19" t="n">
        <v>709</v>
      </c>
      <c r="E52" s="18" t="n">
        <v>90.7660978</v>
      </c>
      <c r="F52" s="20" t="n">
        <v>1.11449052</v>
      </c>
      <c r="G52" s="18" t="n">
        <v>2.57226431</v>
      </c>
      <c r="H52" s="20" t="n">
        <v>0.59594186</v>
      </c>
      <c r="I52" s="18" t="s">
        <v>349</v>
      </c>
      <c r="J52" s="20" t="s">
        <v>349</v>
      </c>
      <c r="K52" s="18" t="n">
        <v>0.48860378</v>
      </c>
      <c r="L52" s="20" t="n">
        <v>0.28292006</v>
      </c>
      <c r="M52" s="18" t="n">
        <v>0</v>
      </c>
      <c r="N52" s="20" t="n">
        <v>0</v>
      </c>
      <c r="O52" s="18" t="n">
        <v>0</v>
      </c>
      <c r="P52" s="20" t="n">
        <v>0</v>
      </c>
      <c r="Q52" s="18" t="n">
        <v>6.1730341</v>
      </c>
      <c r="R52" s="20" t="n">
        <v>0.90921354</v>
      </c>
    </row>
    <row r="53" spans="1:18">
      <c r="A53" s="15" t="s">
        <v>395</v>
      </c>
      <c r="B53" s="17" t="n">
        <v>5571</v>
      </c>
      <c r="C53" s="18">
        <f>(4877.0/B53*100)</f>
        <v/>
      </c>
      <c r="D53" s="19" t="n">
        <v>694</v>
      </c>
      <c r="E53" s="18" t="n">
        <v>89.75639504</v>
      </c>
      <c r="F53" s="20" t="n">
        <v>1.24890892</v>
      </c>
      <c r="G53" s="18" t="n">
        <v>1.45423436</v>
      </c>
      <c r="H53" s="20" t="n">
        <v>0.4719432</v>
      </c>
      <c r="I53" s="18" t="s">
        <v>349</v>
      </c>
      <c r="J53" s="20" t="s">
        <v>349</v>
      </c>
      <c r="K53" s="18" t="n">
        <v>0.67001395</v>
      </c>
      <c r="L53" s="20" t="n">
        <v>0.34906639</v>
      </c>
      <c r="M53" s="18" t="n">
        <v>0</v>
      </c>
      <c r="N53" s="20" t="n">
        <v>0</v>
      </c>
      <c r="O53" s="18" t="n">
        <v>0</v>
      </c>
      <c r="P53" s="20" t="n">
        <v>0</v>
      </c>
      <c r="Q53" s="18" t="n">
        <v>8.119356639999999</v>
      </c>
      <c r="R53" s="20" t="n">
        <v>1.01134056</v>
      </c>
    </row>
    <row r="54" spans="1:18">
      <c r="A54" s="15" t="s">
        <v>396</v>
      </c>
      <c r="B54" s="17" t="n">
        <v>4740</v>
      </c>
      <c r="C54" s="18">
        <f>(3966.0/B54*100)</f>
        <v/>
      </c>
      <c r="D54" s="19" t="n">
        <v>774</v>
      </c>
      <c r="E54" s="18" t="n">
        <v>85.17990197</v>
      </c>
      <c r="F54" s="20" t="n">
        <v>1.38504646</v>
      </c>
      <c r="G54" s="18" t="n">
        <v>0.51482216</v>
      </c>
      <c r="H54" s="20" t="n">
        <v>0.25881779</v>
      </c>
      <c r="I54" s="18" t="s">
        <v>349</v>
      </c>
      <c r="J54" s="20" t="s">
        <v>349</v>
      </c>
      <c r="K54" s="18" t="n">
        <v>7.0780959</v>
      </c>
      <c r="L54" s="20" t="n">
        <v>0.98879435</v>
      </c>
      <c r="M54" s="18" t="n">
        <v>0</v>
      </c>
      <c r="N54" s="20" t="n">
        <v>0</v>
      </c>
      <c r="O54" s="18" t="n">
        <v>0</v>
      </c>
      <c r="P54" s="20" t="n">
        <v>0</v>
      </c>
      <c r="Q54" s="18" t="n">
        <v>7.22717996</v>
      </c>
      <c r="R54" s="20" t="n">
        <v>0.96894919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85.87139388</v>
      </c>
      <c r="F56" s="20" t="n">
        <v>1.27892433</v>
      </c>
      <c r="G56" s="18" t="n">
        <v>12.64179546</v>
      </c>
      <c r="H56" s="20" t="n">
        <v>1.21213509</v>
      </c>
      <c r="I56" s="18" t="s">
        <v>349</v>
      </c>
      <c r="J56" s="20" t="s">
        <v>349</v>
      </c>
      <c r="K56" s="18" t="n">
        <v>0</v>
      </c>
      <c r="L56" s="20" t="n">
        <v>0</v>
      </c>
      <c r="M56" s="18" t="n">
        <v>0</v>
      </c>
      <c r="N56" s="20" t="n">
        <v>0</v>
      </c>
      <c r="O56" s="18" t="n">
        <v>0</v>
      </c>
      <c r="P56" s="20" t="n">
        <v>0</v>
      </c>
      <c r="Q56" s="18" t="n">
        <v>1.48681066</v>
      </c>
      <c r="R56" s="20" t="n">
        <v>0.4449995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(5705.0/B61*100)</f>
        <v/>
      </c>
      <c r="D61" s="19" t="n">
        <v>820</v>
      </c>
      <c r="E61" s="18" t="n">
        <v>90.15156277</v>
      </c>
      <c r="F61" s="20" t="n">
        <v>1.16572387</v>
      </c>
      <c r="G61" s="18" t="n">
        <v>5.92664169</v>
      </c>
      <c r="H61" s="20" t="n">
        <v>0.90606899</v>
      </c>
      <c r="I61" s="18" t="s">
        <v>349</v>
      </c>
      <c r="J61" s="20" t="s">
        <v>349</v>
      </c>
      <c r="K61" s="18" t="n">
        <v>0.47797135</v>
      </c>
      <c r="L61" s="20" t="n">
        <v>0.37158639</v>
      </c>
      <c r="M61" s="18" t="n">
        <v>0</v>
      </c>
      <c r="N61" s="20" t="n">
        <v>0</v>
      </c>
      <c r="O61" s="18" t="n">
        <v>0</v>
      </c>
      <c r="P61" s="20" t="n">
        <v>0</v>
      </c>
      <c r="Q61" s="18" t="n">
        <v>3.44382419</v>
      </c>
      <c r="R61" s="20" t="n">
        <v>0.68452397</v>
      </c>
    </row>
    <row r="62" spans="1:18">
      <c r="A62" s="15" t="s">
        <v>404</v>
      </c>
      <c r="B62" s="17" t="n">
        <v>4476</v>
      </c>
      <c r="C62" s="18">
        <f>(3920.0/B62*100)</f>
        <v/>
      </c>
      <c r="D62" s="19" t="n">
        <v>556</v>
      </c>
      <c r="E62" s="18" t="n">
        <v>90.31962720999999</v>
      </c>
      <c r="F62" s="20" t="n">
        <v>1.20766899</v>
      </c>
      <c r="G62" s="18" t="n">
        <v>8.77982914</v>
      </c>
      <c r="H62" s="20" t="n">
        <v>1.1256203</v>
      </c>
      <c r="I62" s="18" t="s">
        <v>349</v>
      </c>
      <c r="J62" s="20" t="s">
        <v>349</v>
      </c>
      <c r="K62" s="18" t="n">
        <v>0.17855601</v>
      </c>
      <c r="L62" s="20" t="n">
        <v>0.17872997</v>
      </c>
      <c r="M62" s="18" t="n">
        <v>0</v>
      </c>
      <c r="N62" s="20" t="n">
        <v>0</v>
      </c>
      <c r="O62" s="18" t="n">
        <v>0</v>
      </c>
      <c r="P62" s="20" t="n">
        <v>0</v>
      </c>
      <c r="Q62" s="18" t="n">
        <v>0.72198764</v>
      </c>
      <c r="R62" s="20" t="n">
        <v>0.36054204</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(4981.0/B66*100)</f>
        <v/>
      </c>
      <c r="D66" s="19" t="n">
        <v>684</v>
      </c>
      <c r="E66" s="18" t="n">
        <v>83.17926496</v>
      </c>
      <c r="F66" s="20" t="n">
        <v>1.19093215</v>
      </c>
      <c r="G66" s="18" t="n">
        <v>0.95452964</v>
      </c>
      <c r="H66" s="20" t="n">
        <v>0.39005633</v>
      </c>
      <c r="I66" s="18" t="s">
        <v>349</v>
      </c>
      <c r="J66" s="20" t="s">
        <v>349</v>
      </c>
      <c r="K66" s="18" t="n">
        <v>1.8727382</v>
      </c>
      <c r="L66" s="20" t="n">
        <v>0.49627071</v>
      </c>
      <c r="M66" s="18" t="n">
        <v>0</v>
      </c>
      <c r="N66" s="20" t="n">
        <v>0</v>
      </c>
      <c r="O66" s="18" t="n">
        <v>0</v>
      </c>
      <c r="P66" s="20" t="n">
        <v>0</v>
      </c>
      <c r="Q66" s="18" t="n">
        <v>13.9934672</v>
      </c>
      <c r="R66" s="20" t="n">
        <v>1.23722045</v>
      </c>
    </row>
    <row r="67" spans="1:18">
      <c r="A67" s="15" t="s">
        <v>409</v>
      </c>
      <c r="B67" s="17" t="n">
        <v>6971</v>
      </c>
      <c r="C67" s="18">
        <f>(6168.0/B67*100)</f>
        <v/>
      </c>
      <c r="D67" s="19" t="n">
        <v>803</v>
      </c>
      <c r="E67" s="18" t="n">
        <v>90.75862359</v>
      </c>
      <c r="F67" s="20" t="n">
        <v>1.07094632</v>
      </c>
      <c r="G67" s="18" t="n">
        <v>1.42164368</v>
      </c>
      <c r="H67" s="20" t="n">
        <v>0.37360998</v>
      </c>
      <c r="I67" s="18" t="s">
        <v>349</v>
      </c>
      <c r="J67" s="20" t="s">
        <v>349</v>
      </c>
      <c r="K67" s="18" t="n">
        <v>0.05119662</v>
      </c>
      <c r="L67" s="20" t="n">
        <v>0.05138026</v>
      </c>
      <c r="M67" s="18" t="n">
        <v>0</v>
      </c>
      <c r="N67" s="20" t="n">
        <v>0</v>
      </c>
      <c r="O67" s="18" t="n">
        <v>0</v>
      </c>
      <c r="P67" s="20" t="n">
        <v>0</v>
      </c>
      <c r="Q67" s="18" t="n">
        <v>7.76853612</v>
      </c>
      <c r="R67" s="20" t="n">
        <v>1.03611684</v>
      </c>
    </row>
    <row r="68" spans="1:18">
      <c r="A68" s="15" t="s">
        <v>410</v>
      </c>
      <c r="B68" s="17" t="n">
        <v>12083</v>
      </c>
      <c r="C68" s="18">
        <f>(10087.0/B68*100)</f>
        <v/>
      </c>
      <c r="D68" s="19" t="n">
        <v>1996</v>
      </c>
      <c r="E68" s="18" t="n">
        <v>88.58881725000001</v>
      </c>
      <c r="F68" s="20" t="n">
        <v>0.73896333</v>
      </c>
      <c r="G68" s="18" t="n">
        <v>2.21661851</v>
      </c>
      <c r="H68" s="20" t="n">
        <v>0.35938038</v>
      </c>
      <c r="I68" s="18" t="s">
        <v>349</v>
      </c>
      <c r="J68" s="20" t="s">
        <v>349</v>
      </c>
      <c r="K68" s="18" t="n">
        <v>2.38922058</v>
      </c>
      <c r="L68" s="20" t="n">
        <v>0.31080582</v>
      </c>
      <c r="M68" s="18" t="n">
        <v>0</v>
      </c>
      <c r="N68" s="20" t="n">
        <v>0</v>
      </c>
      <c r="O68" s="18" t="n">
        <v>0</v>
      </c>
      <c r="P68" s="20" t="n">
        <v>0</v>
      </c>
      <c r="Q68" s="18" t="n">
        <v>6.80534366</v>
      </c>
      <c r="R68" s="20" t="n">
        <v>0.59225395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(5294.0/B70*100)</f>
        <v/>
      </c>
      <c r="D70" s="19" t="n">
        <v>742</v>
      </c>
      <c r="E70" s="18" t="n">
        <v>87.02427846</v>
      </c>
      <c r="F70" s="20" t="n">
        <v>1.48402207</v>
      </c>
      <c r="G70" s="18" t="n">
        <v>9.4990211</v>
      </c>
      <c r="H70" s="20" t="n">
        <v>1.39056552</v>
      </c>
      <c r="I70" s="18" t="s">
        <v>349</v>
      </c>
      <c r="J70" s="20" t="s">
        <v>349</v>
      </c>
      <c r="K70" s="18" t="n">
        <v>0.10547959</v>
      </c>
      <c r="L70" s="20" t="n">
        <v>0.10491823</v>
      </c>
      <c r="M70" s="18" t="n">
        <v>0</v>
      </c>
      <c r="N70" s="20" t="n">
        <v>0</v>
      </c>
      <c r="O70" s="18" t="n">
        <v>0</v>
      </c>
      <c r="P70" s="20" t="n">
        <v>0</v>
      </c>
      <c r="Q70" s="18" t="n">
        <v>3.37122085</v>
      </c>
      <c r="R70" s="20" t="n">
        <v>0.97825612</v>
      </c>
    </row>
    <row r="71" spans="1:18">
      <c r="A71" s="15" t="s">
        <v>413</v>
      </c>
      <c r="B71" s="17" t="n">
        <v>6115</v>
      </c>
      <c r="C71" s="18">
        <f>(5349.0/B71*100)</f>
        <v/>
      </c>
      <c r="D71" s="19" t="n">
        <v>766</v>
      </c>
      <c r="E71" s="18" t="n">
        <v>81.33959745</v>
      </c>
      <c r="F71" s="20" t="n">
        <v>1.56702114</v>
      </c>
      <c r="G71" s="18" t="n">
        <v>17.41995861</v>
      </c>
      <c r="H71" s="20" t="n">
        <v>1.52979382</v>
      </c>
      <c r="I71" s="18" t="s">
        <v>349</v>
      </c>
      <c r="J71" s="20" t="s">
        <v>349</v>
      </c>
      <c r="K71" s="18" t="n">
        <v>0.22709867</v>
      </c>
      <c r="L71" s="20" t="n">
        <v>0.16755507</v>
      </c>
      <c r="M71" s="18" t="n">
        <v>0</v>
      </c>
      <c r="N71" s="20" t="n">
        <v>0</v>
      </c>
      <c r="O71" s="18" t="n">
        <v>0</v>
      </c>
      <c r="P71" s="20" t="n">
        <v>0</v>
      </c>
      <c r="Q71" s="18" t="n">
        <v>1.01334526</v>
      </c>
      <c r="R71" s="20" t="n">
        <v>0.35646536</v>
      </c>
    </row>
    <row r="72" spans="1:18">
      <c r="A72" s="15" t="s">
        <v>414</v>
      </c>
      <c r="B72" s="17" t="n">
        <v>7708</v>
      </c>
      <c r="C72" s="18">
        <f>(6750.0/B72*100)</f>
        <v/>
      </c>
      <c r="D72" s="19" t="n">
        <v>958</v>
      </c>
      <c r="E72" s="18" t="n">
        <v>81.22876081</v>
      </c>
      <c r="F72" s="20" t="n">
        <v>1.28602213</v>
      </c>
      <c r="G72" s="18" t="n">
        <v>16.73539821</v>
      </c>
      <c r="H72" s="20" t="n">
        <v>1.20675318</v>
      </c>
      <c r="I72" s="18" t="s">
        <v>349</v>
      </c>
      <c r="J72" s="20" t="s">
        <v>349</v>
      </c>
      <c r="K72" s="18" t="n">
        <v>0.25487639</v>
      </c>
      <c r="L72" s="20" t="n">
        <v>0.1813061</v>
      </c>
      <c r="M72" s="18" t="n">
        <v>0</v>
      </c>
      <c r="N72" s="20" t="n">
        <v>0</v>
      </c>
      <c r="O72" s="18" t="n">
        <v>0</v>
      </c>
      <c r="P72" s="20" t="n">
        <v>0</v>
      </c>
      <c r="Q72" s="18" t="n">
        <v>1.78096459</v>
      </c>
      <c r="R72" s="20" t="n">
        <v>0.46373564</v>
      </c>
    </row>
    <row r="73" spans="1:18">
      <c r="A73" s="15" t="s">
        <v>415</v>
      </c>
      <c r="B73" s="17" t="n">
        <v>8249</v>
      </c>
      <c r="C73" s="18">
        <f>(7267.0/B73*100)</f>
        <v/>
      </c>
      <c r="D73" s="19" t="n">
        <v>982</v>
      </c>
      <c r="E73" s="18" t="n">
        <v>95.23307847</v>
      </c>
      <c r="F73" s="20" t="n">
        <v>0.89571495</v>
      </c>
      <c r="G73" s="18" t="n">
        <v>2.41012625</v>
      </c>
      <c r="H73" s="20" t="n">
        <v>0.55987965</v>
      </c>
      <c r="I73" s="18" t="s">
        <v>349</v>
      </c>
      <c r="J73" s="20" t="s">
        <v>349</v>
      </c>
      <c r="K73" s="18" t="n">
        <v>0</v>
      </c>
      <c r="L73" s="20" t="n">
        <v>0</v>
      </c>
      <c r="M73" s="18" t="n">
        <v>0</v>
      </c>
      <c r="N73" s="20" t="n">
        <v>0</v>
      </c>
      <c r="O73" s="18" t="n">
        <v>0</v>
      </c>
      <c r="P73" s="20" t="n">
        <v>0</v>
      </c>
      <c r="Q73" s="18" t="n">
        <v>2.35679528</v>
      </c>
      <c r="R73" s="20" t="n">
        <v>0.69033131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(4759.0/B75*100)</f>
        <v/>
      </c>
      <c r="D75" s="19" t="n">
        <v>616</v>
      </c>
      <c r="E75" s="18" t="n">
        <v>87.66519843</v>
      </c>
      <c r="F75" s="20" t="n">
        <v>1.32087348</v>
      </c>
      <c r="G75" s="18" t="n">
        <v>0.0783822</v>
      </c>
      <c r="H75" s="20" t="n">
        <v>0.07779214</v>
      </c>
      <c r="I75" s="18" t="s">
        <v>349</v>
      </c>
      <c r="J75" s="20" t="s">
        <v>349</v>
      </c>
      <c r="K75" s="18" t="n">
        <v>2.68042211</v>
      </c>
      <c r="L75" s="20" t="n">
        <v>0.6720548200000001</v>
      </c>
      <c r="M75" s="18" t="n">
        <v>0</v>
      </c>
      <c r="N75" s="20" t="n">
        <v>0</v>
      </c>
      <c r="O75" s="18" t="n">
        <v>0</v>
      </c>
      <c r="P75" s="20" t="n">
        <v>0</v>
      </c>
      <c r="Q75" s="18" t="n">
        <v>9.57599725</v>
      </c>
      <c r="R75" s="20" t="n">
        <v>1.29395468</v>
      </c>
    </row>
    <row r="76" spans="1:18">
      <c r="A76" s="15" t="s">
        <v>418</v>
      </c>
      <c r="B76" s="17" t="n">
        <v>14167</v>
      </c>
      <c r="C76" s="18">
        <f>(12416.0/B76*100)</f>
        <v/>
      </c>
      <c r="D76" s="19" t="n">
        <v>1751</v>
      </c>
      <c r="E76" s="18" t="n">
        <v>94.76779993</v>
      </c>
      <c r="F76" s="20" t="n">
        <v>0.61995318</v>
      </c>
      <c r="G76" s="18" t="n">
        <v>1.09278847</v>
      </c>
      <c r="H76" s="20" t="n">
        <v>0.20781564</v>
      </c>
      <c r="I76" s="18" t="s">
        <v>349</v>
      </c>
      <c r="J76" s="20" t="s">
        <v>349</v>
      </c>
      <c r="K76" s="18" t="n">
        <v>0.30399602</v>
      </c>
      <c r="L76" s="20" t="n">
        <v>0.13509335</v>
      </c>
      <c r="M76" s="18" t="n">
        <v>0</v>
      </c>
      <c r="N76" s="20" t="n">
        <v>0</v>
      </c>
      <c r="O76" s="18" t="n">
        <v>0</v>
      </c>
      <c r="P76" s="20" t="n">
        <v>0</v>
      </c>
      <c r="Q76" s="18" t="n">
        <v>3.83541557</v>
      </c>
      <c r="R76" s="20" t="n">
        <v>0.56341031</v>
      </c>
    </row>
    <row r="77" spans="1:18">
      <c r="A77" s="15" t="s">
        <v>419</v>
      </c>
      <c r="B77" s="17" t="n">
        <v>6062</v>
      </c>
      <c r="C77" s="18">
        <f>(5318.0/B77*100)</f>
        <v/>
      </c>
      <c r="D77" s="19" t="n">
        <v>744</v>
      </c>
      <c r="E77" s="18" t="n">
        <v>86.1936345</v>
      </c>
      <c r="F77" s="20" t="n">
        <v>1.13720272</v>
      </c>
      <c r="G77" s="18" t="n">
        <v>0.80670498</v>
      </c>
      <c r="H77" s="20" t="n">
        <v>0.30448102</v>
      </c>
      <c r="I77" s="18" t="s">
        <v>349</v>
      </c>
      <c r="J77" s="20" t="s">
        <v>349</v>
      </c>
      <c r="K77" s="18" t="n">
        <v>2.04905604</v>
      </c>
      <c r="L77" s="20" t="n">
        <v>0.56033103</v>
      </c>
      <c r="M77" s="18" t="n">
        <v>0</v>
      </c>
      <c r="N77" s="20" t="n">
        <v>0</v>
      </c>
      <c r="O77" s="18" t="n">
        <v>0</v>
      </c>
      <c r="P77" s="20" t="n">
        <v>0</v>
      </c>
      <c r="Q77" s="18" t="n">
        <v>10.95060448</v>
      </c>
      <c r="R77" s="20" t="n">
        <v>1.08350453</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(7759.0/B81*100)</f>
        <v/>
      </c>
      <c r="D81" s="19" t="n">
        <v>1102</v>
      </c>
      <c r="E81" s="18" t="n">
        <v>92.92364162</v>
      </c>
      <c r="F81" s="20" t="n">
        <v>0.98203294</v>
      </c>
      <c r="G81" s="18" t="n">
        <v>5.75611681</v>
      </c>
      <c r="H81" s="20" t="n">
        <v>0.79719613</v>
      </c>
      <c r="I81" s="18" t="s">
        <v>349</v>
      </c>
      <c r="J81" s="20" t="s">
        <v>349</v>
      </c>
      <c r="K81" s="18" t="n">
        <v>0</v>
      </c>
      <c r="L81" s="20" t="n">
        <v>0</v>
      </c>
      <c r="M81" s="18" t="n">
        <v>0</v>
      </c>
      <c r="N81" s="20" t="n">
        <v>0</v>
      </c>
      <c r="O81" s="18" t="n">
        <v>0</v>
      </c>
      <c r="P81" s="20" t="n">
        <v>0</v>
      </c>
      <c r="Q81" s="18" t="n">
        <v>1.32024157</v>
      </c>
      <c r="R81" s="20" t="n">
        <v>0.5928573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(12721.0/B7*100)</f>
        <v/>
      </c>
      <c r="D7" s="19" t="n">
        <v>1809</v>
      </c>
      <c r="E7" s="18" t="n">
        <v>17.50927428</v>
      </c>
      <c r="F7" s="20" t="n">
        <v>1.16863267</v>
      </c>
      <c r="G7" s="18" t="n">
        <v>79.62013702</v>
      </c>
      <c r="H7" s="20" t="n">
        <v>1.2573268</v>
      </c>
      <c r="I7" s="18" t="s">
        <v>349</v>
      </c>
      <c r="J7" s="20" t="s">
        <v>349</v>
      </c>
      <c r="K7" s="18" t="n">
        <v>0.55828467</v>
      </c>
      <c r="L7" s="20" t="n">
        <v>0.2088442</v>
      </c>
      <c r="M7" s="18" t="n">
        <v>0.2099567</v>
      </c>
      <c r="N7" s="20" t="n">
        <v>0.13274216</v>
      </c>
      <c r="O7" s="18" t="n">
        <v>0</v>
      </c>
      <c r="P7" s="20" t="n">
        <v>0</v>
      </c>
      <c r="Q7" s="18" t="n">
        <v>2.10234733</v>
      </c>
      <c r="R7" s="20" t="n">
        <v>0.33803547</v>
      </c>
    </row>
    <row r="8" spans="1:18">
      <c r="A8" s="15" t="s">
        <v>350</v>
      </c>
      <c r="B8" s="17" t="n">
        <v>7007</v>
      </c>
      <c r="C8" s="18">
        <f>(6137.0/B8*100)</f>
        <v/>
      </c>
      <c r="D8" s="19" t="n">
        <v>870</v>
      </c>
      <c r="E8" s="18" t="n">
        <v>22.78205717</v>
      </c>
      <c r="F8" s="20" t="n">
        <v>1.77031596</v>
      </c>
      <c r="G8" s="18" t="n">
        <v>75.12118387</v>
      </c>
      <c r="H8" s="20" t="n">
        <v>1.94226889</v>
      </c>
      <c r="I8" s="18" t="s">
        <v>349</v>
      </c>
      <c r="J8" s="20" t="s">
        <v>349</v>
      </c>
      <c r="K8" s="18" t="n">
        <v>0.57717946</v>
      </c>
      <c r="L8" s="20" t="n">
        <v>0.33969304</v>
      </c>
      <c r="M8" s="18" t="n">
        <v>0</v>
      </c>
      <c r="N8" s="20" t="n">
        <v>0</v>
      </c>
      <c r="O8" s="18" t="n">
        <v>0</v>
      </c>
      <c r="P8" s="20" t="n">
        <v>0</v>
      </c>
      <c r="Q8" s="18" t="n">
        <v>1.5195795</v>
      </c>
      <c r="R8" s="20" t="n">
        <v>0.39709754</v>
      </c>
    </row>
    <row r="9" spans="1:18">
      <c r="A9" s="15" t="s">
        <v>351</v>
      </c>
      <c r="B9" s="17" t="n">
        <v>9651</v>
      </c>
      <c r="C9" s="18">
        <f>(8502.0/B9*100)</f>
        <v/>
      </c>
      <c r="D9" s="19" t="n">
        <v>1149</v>
      </c>
      <c r="E9" s="18" t="n">
        <v>27.63113655</v>
      </c>
      <c r="F9" s="20" t="n">
        <v>1.35836619</v>
      </c>
      <c r="G9" s="18" t="n">
        <v>69.66837472</v>
      </c>
      <c r="H9" s="20" t="n">
        <v>1.43077624</v>
      </c>
      <c r="I9" s="18" t="s">
        <v>349</v>
      </c>
      <c r="J9" s="20" t="s">
        <v>349</v>
      </c>
      <c r="K9" s="18" t="n">
        <v>1.0158593</v>
      </c>
      <c r="L9" s="20" t="n">
        <v>0.41593067</v>
      </c>
      <c r="M9" s="18" t="n">
        <v>0.55463997</v>
      </c>
      <c r="N9" s="20" t="n">
        <v>0.21893942</v>
      </c>
      <c r="O9" s="18" t="n">
        <v>0</v>
      </c>
      <c r="P9" s="20" t="n">
        <v>0</v>
      </c>
      <c r="Q9" s="18" t="n">
        <v>1.12998947</v>
      </c>
      <c r="R9" s="20" t="n">
        <v>0.36319634</v>
      </c>
    </row>
    <row r="10" spans="1:18">
      <c r="A10" s="15" t="s">
        <v>352</v>
      </c>
      <c r="B10" s="17" t="n">
        <v>20058</v>
      </c>
      <c r="C10" s="18">
        <f>(17574.0/B10*100)</f>
        <v/>
      </c>
      <c r="D10" s="19" t="n">
        <v>2484</v>
      </c>
      <c r="E10" s="18" t="n">
        <v>18.96363389</v>
      </c>
      <c r="F10" s="20" t="n">
        <v>1.062739</v>
      </c>
      <c r="G10" s="18" t="n">
        <v>80.0578235</v>
      </c>
      <c r="H10" s="20" t="n">
        <v>1.08098306</v>
      </c>
      <c r="I10" s="18" t="s">
        <v>349</v>
      </c>
      <c r="J10" s="20" t="s">
        <v>349</v>
      </c>
      <c r="K10" s="18" t="n">
        <v>0.21465963</v>
      </c>
      <c r="L10" s="20" t="n">
        <v>0.07765189</v>
      </c>
      <c r="M10" s="18" t="n">
        <v>0.08715219</v>
      </c>
      <c r="N10" s="20" t="n">
        <v>0.05721533</v>
      </c>
      <c r="O10" s="18" t="n">
        <v>0</v>
      </c>
      <c r="P10" s="20" t="n">
        <v>0</v>
      </c>
      <c r="Q10" s="18" t="n">
        <v>0.6767308</v>
      </c>
      <c r="R10" s="20" t="n">
        <v>0.19941002</v>
      </c>
    </row>
    <row r="11" spans="1:18">
      <c r="A11" s="15" t="s">
        <v>353</v>
      </c>
      <c r="B11" s="17" t="n">
        <v>7053</v>
      </c>
      <c r="C11" s="18">
        <f>(6232.0/B11*100)</f>
        <v/>
      </c>
      <c r="D11" s="19" t="n">
        <v>821</v>
      </c>
      <c r="E11" s="18" t="n">
        <v>44.16337006</v>
      </c>
      <c r="F11" s="20" t="n">
        <v>1.82200812</v>
      </c>
      <c r="G11" s="18" t="n">
        <v>51.10057443</v>
      </c>
      <c r="H11" s="20" t="n">
        <v>2.09558181</v>
      </c>
      <c r="I11" s="18" t="s">
        <v>349</v>
      </c>
      <c r="J11" s="20" t="s">
        <v>349</v>
      </c>
      <c r="K11" s="18" t="n">
        <v>0.69974554</v>
      </c>
      <c r="L11" s="20" t="n">
        <v>0.23852912</v>
      </c>
      <c r="M11" s="18" t="n">
        <v>0</v>
      </c>
      <c r="N11" s="20" t="n">
        <v>0</v>
      </c>
      <c r="O11" s="18" t="n">
        <v>0</v>
      </c>
      <c r="P11" s="20" t="n">
        <v>0</v>
      </c>
      <c r="Q11" s="18" t="n">
        <v>4.03630997</v>
      </c>
      <c r="R11" s="20" t="n">
        <v>0.98454282</v>
      </c>
    </row>
    <row r="12" spans="1:18">
      <c r="A12" s="15" t="s">
        <v>354</v>
      </c>
      <c r="B12" s="17" t="n">
        <v>6894</v>
      </c>
      <c r="C12" s="18">
        <f>(6084.0/B12*100)</f>
        <v/>
      </c>
      <c r="D12" s="19" t="n">
        <v>810</v>
      </c>
      <c r="E12" s="18" t="n">
        <v>23.5353095</v>
      </c>
      <c r="F12" s="20" t="n">
        <v>1.50826988</v>
      </c>
      <c r="G12" s="18" t="n">
        <v>74.02565919</v>
      </c>
      <c r="H12" s="20" t="n">
        <v>1.53336294</v>
      </c>
      <c r="I12" s="18" t="s">
        <v>349</v>
      </c>
      <c r="J12" s="20" t="s">
        <v>349</v>
      </c>
      <c r="K12" s="18" t="n">
        <v>0</v>
      </c>
      <c r="L12" s="20" t="n">
        <v>0</v>
      </c>
      <c r="M12" s="18" t="n">
        <v>0.05539466</v>
      </c>
      <c r="N12" s="20" t="n">
        <v>0.05680304</v>
      </c>
      <c r="O12" s="18" t="n">
        <v>0</v>
      </c>
      <c r="P12" s="20" t="n">
        <v>0</v>
      </c>
      <c r="Q12" s="18" t="n">
        <v>2.38363666</v>
      </c>
      <c r="R12" s="20" t="n">
        <v>0.52779184</v>
      </c>
    </row>
    <row r="13" spans="1:18">
      <c r="A13" s="15" t="s">
        <v>355</v>
      </c>
      <c r="B13" s="17" t="n">
        <v>7161</v>
      </c>
      <c r="C13" s="18">
        <f>(6329.0/B13*100)</f>
        <v/>
      </c>
      <c r="D13" s="19" t="n">
        <v>832</v>
      </c>
      <c r="E13" s="18" t="n">
        <v>17.67763994</v>
      </c>
      <c r="F13" s="20" t="n">
        <v>1.53591488</v>
      </c>
      <c r="G13" s="18" t="n">
        <v>80.98933824</v>
      </c>
      <c r="H13" s="20" t="n">
        <v>1.57382829</v>
      </c>
      <c r="I13" s="18" t="s">
        <v>349</v>
      </c>
      <c r="J13" s="20" t="s">
        <v>349</v>
      </c>
      <c r="K13" s="18" t="n">
        <v>0.63126401</v>
      </c>
      <c r="L13" s="20" t="n">
        <v>0.2901305</v>
      </c>
      <c r="M13" s="18" t="n">
        <v>0.11144213</v>
      </c>
      <c r="N13" s="20" t="n">
        <v>0.11234752</v>
      </c>
      <c r="O13" s="18" t="n">
        <v>0</v>
      </c>
      <c r="P13" s="20" t="n">
        <v>0</v>
      </c>
      <c r="Q13" s="18" t="n">
        <v>0.59031568</v>
      </c>
      <c r="R13" s="20" t="n">
        <v>0.26492798</v>
      </c>
    </row>
    <row r="14" spans="1:18">
      <c r="A14" s="15" t="s">
        <v>356</v>
      </c>
      <c r="B14" s="17" t="n">
        <v>5587</v>
      </c>
      <c r="C14" s="18">
        <f>(4909.0/B14*100)</f>
        <v/>
      </c>
      <c r="D14" s="19" t="n">
        <v>678</v>
      </c>
      <c r="E14" s="18" t="n">
        <v>22.12444869</v>
      </c>
      <c r="F14" s="20" t="n">
        <v>1.71706066</v>
      </c>
      <c r="G14" s="18" t="n">
        <v>76.79287143000001</v>
      </c>
      <c r="H14" s="20" t="n">
        <v>1.81998234</v>
      </c>
      <c r="I14" s="18" t="s">
        <v>349</v>
      </c>
      <c r="J14" s="20" t="s">
        <v>349</v>
      </c>
      <c r="K14" s="18" t="n">
        <v>0.24706382</v>
      </c>
      <c r="L14" s="20" t="n">
        <v>0.24733277</v>
      </c>
      <c r="M14" s="18" t="n">
        <v>0</v>
      </c>
      <c r="N14" s="20" t="n">
        <v>0</v>
      </c>
      <c r="O14" s="18" t="n">
        <v>0</v>
      </c>
      <c r="P14" s="20" t="n">
        <v>0</v>
      </c>
      <c r="Q14" s="18" t="n">
        <v>0.83561606</v>
      </c>
      <c r="R14" s="20" t="n">
        <v>0.49924824</v>
      </c>
    </row>
    <row r="15" spans="1:18">
      <c r="A15" s="15" t="s">
        <v>357</v>
      </c>
      <c r="B15" s="17" t="n">
        <v>5882</v>
      </c>
      <c r="C15" s="18">
        <f>(5169.0/B15*100)</f>
        <v/>
      </c>
      <c r="D15" s="19" t="n">
        <v>713</v>
      </c>
      <c r="E15" s="18" t="n">
        <v>18.3964016</v>
      </c>
      <c r="F15" s="20" t="n">
        <v>1.38706414</v>
      </c>
      <c r="G15" s="18" t="n">
        <v>79.02485408</v>
      </c>
      <c r="H15" s="20" t="n">
        <v>1.45278499</v>
      </c>
      <c r="I15" s="18" t="s">
        <v>349</v>
      </c>
      <c r="J15" s="20" t="s">
        <v>349</v>
      </c>
      <c r="K15" s="18" t="n">
        <v>0.86142427</v>
      </c>
      <c r="L15" s="20" t="n">
        <v>0.35472369</v>
      </c>
      <c r="M15" s="18" t="n">
        <v>0</v>
      </c>
      <c r="N15" s="20" t="n">
        <v>0</v>
      </c>
      <c r="O15" s="18" t="n">
        <v>0</v>
      </c>
      <c r="P15" s="20" t="n">
        <v>0</v>
      </c>
      <c r="Q15" s="18" t="n">
        <v>1.71732005</v>
      </c>
      <c r="R15" s="20" t="n">
        <v>0.53794253</v>
      </c>
    </row>
    <row r="16" spans="1:18">
      <c r="A16" s="15" t="s">
        <v>358</v>
      </c>
      <c r="B16" s="17" t="n">
        <v>6108</v>
      </c>
      <c r="C16" s="18">
        <f>(5385.0/B16*100)</f>
        <v/>
      </c>
      <c r="D16" s="19" t="n">
        <v>723</v>
      </c>
      <c r="E16" s="18" t="n">
        <v>24.59752421</v>
      </c>
      <c r="F16" s="20" t="n">
        <v>1.74160151</v>
      </c>
      <c r="G16" s="18" t="n">
        <v>71.62044483</v>
      </c>
      <c r="H16" s="20" t="n">
        <v>1.8170158</v>
      </c>
      <c r="I16" s="18" t="s">
        <v>349</v>
      </c>
      <c r="J16" s="20" t="s">
        <v>349</v>
      </c>
      <c r="K16" s="18" t="n">
        <v>1.341599</v>
      </c>
      <c r="L16" s="20" t="n">
        <v>0.41703826</v>
      </c>
      <c r="M16" s="18" t="n">
        <v>0</v>
      </c>
      <c r="N16" s="20" t="n">
        <v>0</v>
      </c>
      <c r="O16" s="18" t="n">
        <v>0</v>
      </c>
      <c r="P16" s="20" t="n">
        <v>0</v>
      </c>
      <c r="Q16" s="18" t="n">
        <v>2.44043197</v>
      </c>
      <c r="R16" s="20" t="n">
        <v>0.50977536</v>
      </c>
    </row>
    <row r="17" spans="1:18">
      <c r="A17" s="15" t="s">
        <v>359</v>
      </c>
      <c r="B17" s="17" t="n">
        <v>6504</v>
      </c>
      <c r="C17" s="18">
        <f>(5746.0/B17*100)</f>
        <v/>
      </c>
      <c r="D17" s="19" t="n">
        <v>758</v>
      </c>
      <c r="E17" s="18" t="n">
        <v>19.41482604</v>
      </c>
      <c r="F17" s="20" t="n">
        <v>1.50858705</v>
      </c>
      <c r="G17" s="18" t="n">
        <v>79.27866198</v>
      </c>
      <c r="H17" s="20" t="n">
        <v>1.52266478</v>
      </c>
      <c r="I17" s="18" t="s">
        <v>349</v>
      </c>
      <c r="J17" s="20" t="s">
        <v>349</v>
      </c>
      <c r="K17" s="18" t="n">
        <v>0.35639107</v>
      </c>
      <c r="L17" s="20" t="n">
        <v>0.23681488</v>
      </c>
      <c r="M17" s="18" t="n">
        <v>0</v>
      </c>
      <c r="N17" s="20" t="n">
        <v>0</v>
      </c>
      <c r="O17" s="18" t="n">
        <v>0</v>
      </c>
      <c r="P17" s="20" t="n">
        <v>0</v>
      </c>
      <c r="Q17" s="18" t="n">
        <v>0.95012091</v>
      </c>
      <c r="R17" s="20" t="n">
        <v>0.37972497</v>
      </c>
    </row>
    <row r="18" spans="1:18">
      <c r="A18" s="15" t="s">
        <v>360</v>
      </c>
      <c r="B18" s="17" t="n">
        <v>5532</v>
      </c>
      <c r="C18" s="18">
        <f>(4864.0/B18*100)</f>
        <v/>
      </c>
      <c r="D18" s="19" t="n">
        <v>668</v>
      </c>
      <c r="E18" s="18" t="n">
        <v>30.28399761</v>
      </c>
      <c r="F18" s="20" t="n">
        <v>1.61721298</v>
      </c>
      <c r="G18" s="18" t="n">
        <v>65.25299326</v>
      </c>
      <c r="H18" s="20" t="n">
        <v>1.90677371</v>
      </c>
      <c r="I18" s="18" t="s">
        <v>349</v>
      </c>
      <c r="J18" s="20" t="s">
        <v>349</v>
      </c>
      <c r="K18" s="18" t="n">
        <v>1.16795971</v>
      </c>
      <c r="L18" s="20" t="n">
        <v>0.49009386</v>
      </c>
      <c r="M18" s="18" t="n">
        <v>0.08956591999999999</v>
      </c>
      <c r="N18" s="20" t="n">
        <v>0.08973884</v>
      </c>
      <c r="O18" s="18" t="n">
        <v>0</v>
      </c>
      <c r="P18" s="20" t="n">
        <v>0</v>
      </c>
      <c r="Q18" s="18" t="n">
        <v>3.2054835</v>
      </c>
      <c r="R18" s="20" t="n">
        <v>0.83752277</v>
      </c>
    </row>
    <row r="19" spans="1:18">
      <c r="A19" s="15" t="s">
        <v>361</v>
      </c>
      <c r="B19" s="17" t="n">
        <v>5658</v>
      </c>
      <c r="C19" s="18">
        <f>(4988.0/B19*100)</f>
        <v/>
      </c>
      <c r="D19" s="19" t="n">
        <v>670</v>
      </c>
      <c r="E19" s="18" t="n">
        <v>32.2966918</v>
      </c>
      <c r="F19" s="20" t="n">
        <v>1.87550787</v>
      </c>
      <c r="G19" s="18" t="n">
        <v>64.28225892</v>
      </c>
      <c r="H19" s="20" t="n">
        <v>1.92424991</v>
      </c>
      <c r="I19" s="18" t="s">
        <v>349</v>
      </c>
      <c r="J19" s="20" t="s">
        <v>349</v>
      </c>
      <c r="K19" s="18" t="n">
        <v>0.53281735</v>
      </c>
      <c r="L19" s="20" t="n">
        <v>0.25229172</v>
      </c>
      <c r="M19" s="18" t="n">
        <v>0</v>
      </c>
      <c r="N19" s="20" t="n">
        <v>0</v>
      </c>
      <c r="O19" s="18" t="n">
        <v>0</v>
      </c>
      <c r="P19" s="20" t="n">
        <v>0</v>
      </c>
      <c r="Q19" s="18" t="n">
        <v>2.88823193</v>
      </c>
      <c r="R19" s="20" t="n">
        <v>0.61315149</v>
      </c>
    </row>
    <row r="20" spans="1:18">
      <c r="A20" s="15" t="s">
        <v>362</v>
      </c>
      <c r="B20" s="17" t="n">
        <v>3371</v>
      </c>
      <c r="C20" s="18">
        <f>(2968.0/B20*100)</f>
        <v/>
      </c>
      <c r="D20" s="19" t="n">
        <v>403</v>
      </c>
      <c r="E20" s="18" t="n">
        <v>29.60214436</v>
      </c>
      <c r="F20" s="20" t="n">
        <v>2.42344571</v>
      </c>
      <c r="G20" s="18" t="n">
        <v>67.32049941</v>
      </c>
      <c r="H20" s="20" t="n">
        <v>2.44264272</v>
      </c>
      <c r="I20" s="18" t="s">
        <v>349</v>
      </c>
      <c r="J20" s="20" t="s">
        <v>349</v>
      </c>
      <c r="K20" s="18" t="n">
        <v>0.95803709</v>
      </c>
      <c r="L20" s="20" t="n">
        <v>0.46196296</v>
      </c>
      <c r="M20" s="18" t="n">
        <v>0</v>
      </c>
      <c r="N20" s="20" t="n">
        <v>0</v>
      </c>
      <c r="O20" s="18" t="n">
        <v>0</v>
      </c>
      <c r="P20" s="20" t="n">
        <v>0</v>
      </c>
      <c r="Q20" s="18" t="n">
        <v>2.11931914</v>
      </c>
      <c r="R20" s="20" t="n">
        <v>0.78987889</v>
      </c>
    </row>
    <row r="21" spans="1:18">
      <c r="A21" s="15" t="s">
        <v>363</v>
      </c>
      <c r="B21" s="17" t="n">
        <v>5741</v>
      </c>
      <c r="C21" s="18">
        <f>(4779.0/B21*100)</f>
        <v/>
      </c>
      <c r="D21" s="19" t="n">
        <v>962</v>
      </c>
      <c r="E21" s="18" t="n">
        <v>19.22584361</v>
      </c>
      <c r="F21" s="20" t="n">
        <v>1.20309138</v>
      </c>
      <c r="G21" s="18" t="n">
        <v>79.73782543999999</v>
      </c>
      <c r="H21" s="20" t="n">
        <v>1.2289006</v>
      </c>
      <c r="I21" s="18" t="s">
        <v>349</v>
      </c>
      <c r="J21" s="20" t="s">
        <v>349</v>
      </c>
      <c r="K21" s="18" t="n">
        <v>0.24158137</v>
      </c>
      <c r="L21" s="20" t="n">
        <v>0.14008636</v>
      </c>
      <c r="M21" s="18" t="n">
        <v>0</v>
      </c>
      <c r="N21" s="20" t="n">
        <v>0</v>
      </c>
      <c r="O21" s="18" t="n">
        <v>0</v>
      </c>
      <c r="P21" s="20" t="n">
        <v>0</v>
      </c>
      <c r="Q21" s="18" t="n">
        <v>0.79474957</v>
      </c>
      <c r="R21" s="20" t="n">
        <v>0.31774832</v>
      </c>
    </row>
    <row r="22" spans="1:18">
      <c r="A22" s="15" t="s">
        <v>364</v>
      </c>
      <c r="B22" s="17" t="n">
        <v>6598</v>
      </c>
      <c r="C22" s="18">
        <f>(5765.0/B22*100)</f>
        <v/>
      </c>
      <c r="D22" s="19" t="n">
        <v>833</v>
      </c>
      <c r="E22" s="18" t="n">
        <v>34.32654268</v>
      </c>
      <c r="F22" s="20" t="n">
        <v>1.88641363</v>
      </c>
      <c r="G22" s="18" t="n">
        <v>58.70061336</v>
      </c>
      <c r="H22" s="20" t="n">
        <v>1.96535753</v>
      </c>
      <c r="I22" s="18" t="s">
        <v>349</v>
      </c>
      <c r="J22" s="20" t="s">
        <v>349</v>
      </c>
      <c r="K22" s="18" t="n">
        <v>1.82109308</v>
      </c>
      <c r="L22" s="20" t="n">
        <v>0.48955427</v>
      </c>
      <c r="M22" s="18" t="n">
        <v>0.185892</v>
      </c>
      <c r="N22" s="20" t="n">
        <v>0.18484934</v>
      </c>
      <c r="O22" s="18" t="n">
        <v>0</v>
      </c>
      <c r="P22" s="20" t="n">
        <v>0</v>
      </c>
      <c r="Q22" s="18" t="n">
        <v>4.96585887</v>
      </c>
      <c r="R22" s="20" t="n">
        <v>0.7503768</v>
      </c>
    </row>
    <row r="23" spans="1:18">
      <c r="A23" s="15" t="s">
        <v>365</v>
      </c>
      <c r="B23" s="17" t="n">
        <v>11583</v>
      </c>
      <c r="C23" s="18">
        <f>(10154.0/B23*100)</f>
        <v/>
      </c>
      <c r="D23" s="19" t="n">
        <v>1429</v>
      </c>
      <c r="E23" s="18" t="n">
        <v>32.03398451</v>
      </c>
      <c r="F23" s="20" t="n">
        <v>1.74547223</v>
      </c>
      <c r="G23" s="18" t="n">
        <v>63.20713034</v>
      </c>
      <c r="H23" s="20" t="n">
        <v>1.79163957</v>
      </c>
      <c r="I23" s="18" t="s">
        <v>349</v>
      </c>
      <c r="J23" s="20" t="s">
        <v>349</v>
      </c>
      <c r="K23" s="18" t="n">
        <v>1.20963452</v>
      </c>
      <c r="L23" s="20" t="n">
        <v>0.42586546</v>
      </c>
      <c r="M23" s="18" t="n">
        <v>0.08180096000000001</v>
      </c>
      <c r="N23" s="20" t="n">
        <v>0.08771896999999999</v>
      </c>
      <c r="O23" s="18" t="n">
        <v>0</v>
      </c>
      <c r="P23" s="20" t="n">
        <v>0</v>
      </c>
      <c r="Q23" s="18" t="n">
        <v>3.46744967</v>
      </c>
      <c r="R23" s="20" t="n">
        <v>0.6308927600000001</v>
      </c>
    </row>
    <row r="24" spans="1:18">
      <c r="A24" s="15" t="s">
        <v>366</v>
      </c>
      <c r="B24" s="17" t="n">
        <v>6647</v>
      </c>
      <c r="C24" s="18">
        <f>(5850.0/B24*100)</f>
        <v/>
      </c>
      <c r="D24" s="19" t="n">
        <v>797</v>
      </c>
      <c r="E24" s="18" t="n">
        <v>23.494096</v>
      </c>
      <c r="F24" s="20" t="n">
        <v>1.4084193</v>
      </c>
      <c r="G24" s="18" t="n">
        <v>74.53548275</v>
      </c>
      <c r="H24" s="20" t="n">
        <v>1.53345141</v>
      </c>
      <c r="I24" s="18" t="s">
        <v>349</v>
      </c>
      <c r="J24" s="20" t="s">
        <v>349</v>
      </c>
      <c r="K24" s="18" t="n">
        <v>0.08946802</v>
      </c>
      <c r="L24" s="20" t="n">
        <v>0.08962617000000001</v>
      </c>
      <c r="M24" s="18" t="n">
        <v>0</v>
      </c>
      <c r="N24" s="20" t="n">
        <v>0</v>
      </c>
      <c r="O24" s="18" t="n">
        <v>0</v>
      </c>
      <c r="P24" s="20" t="n">
        <v>0</v>
      </c>
      <c r="Q24" s="18" t="n">
        <v>1.88095323</v>
      </c>
      <c r="R24" s="20" t="n">
        <v>0.57668557</v>
      </c>
    </row>
    <row r="25" spans="1:18">
      <c r="A25" s="15" t="s">
        <v>367</v>
      </c>
      <c r="B25" s="17" t="n">
        <v>5581</v>
      </c>
      <c r="C25" s="18">
        <f>(4882.0/B25*100)</f>
        <v/>
      </c>
      <c r="D25" s="19" t="n">
        <v>699</v>
      </c>
      <c r="E25" s="18" t="n">
        <v>34.49327622</v>
      </c>
      <c r="F25" s="20" t="n">
        <v>1.73427452</v>
      </c>
      <c r="G25" s="18" t="n">
        <v>63.81915083</v>
      </c>
      <c r="H25" s="20" t="n">
        <v>1.67311573</v>
      </c>
      <c r="I25" s="18" t="s">
        <v>349</v>
      </c>
      <c r="J25" s="20" t="s">
        <v>349</v>
      </c>
      <c r="K25" s="18" t="n">
        <v>1.28046091</v>
      </c>
      <c r="L25" s="20" t="n">
        <v>0.44699709</v>
      </c>
      <c r="M25" s="18" t="n">
        <v>0</v>
      </c>
      <c r="N25" s="20" t="n">
        <v>0</v>
      </c>
      <c r="O25" s="18" t="n">
        <v>0</v>
      </c>
      <c r="P25" s="20" t="n">
        <v>0</v>
      </c>
      <c r="Q25" s="18" t="n">
        <v>0.40711204</v>
      </c>
      <c r="R25" s="20" t="n">
        <v>0.23619809</v>
      </c>
    </row>
    <row r="26" spans="1:18">
      <c r="A26" s="15" t="s">
        <v>368</v>
      </c>
      <c r="B26" s="17" t="n">
        <v>4869</v>
      </c>
      <c r="C26" s="18">
        <f>(4268.0/B26*100)</f>
        <v/>
      </c>
      <c r="D26" s="19" t="n">
        <v>601</v>
      </c>
      <c r="E26" s="18" t="n">
        <v>25.5664186</v>
      </c>
      <c r="F26" s="20" t="n">
        <v>2.07802043</v>
      </c>
      <c r="G26" s="18" t="n">
        <v>72.4432276</v>
      </c>
      <c r="H26" s="20" t="n">
        <v>2.15448791</v>
      </c>
      <c r="I26" s="18" t="s">
        <v>349</v>
      </c>
      <c r="J26" s="20" t="s">
        <v>349</v>
      </c>
      <c r="K26" s="18" t="n">
        <v>0.4108792</v>
      </c>
      <c r="L26" s="20" t="n">
        <v>0.24231455</v>
      </c>
      <c r="M26" s="18" t="n">
        <v>0</v>
      </c>
      <c r="N26" s="20" t="n">
        <v>0</v>
      </c>
      <c r="O26" s="18" t="n">
        <v>0</v>
      </c>
      <c r="P26" s="20" t="n">
        <v>0</v>
      </c>
      <c r="Q26" s="18" t="n">
        <v>1.5794746</v>
      </c>
      <c r="R26" s="20" t="n">
        <v>0.5404663</v>
      </c>
    </row>
    <row r="27" spans="1:18">
      <c r="A27" s="15" t="s">
        <v>369</v>
      </c>
      <c r="B27" s="17" t="n">
        <v>5299</v>
      </c>
      <c r="C27" s="18">
        <f>(4662.0/B27*100)</f>
        <v/>
      </c>
      <c r="D27" s="19" t="n">
        <v>637</v>
      </c>
      <c r="E27" s="18" t="n">
        <v>28.14943779</v>
      </c>
      <c r="F27" s="20" t="n">
        <v>1.52137478</v>
      </c>
      <c r="G27" s="18" t="n">
        <v>69.8044661</v>
      </c>
      <c r="H27" s="20" t="n">
        <v>1.54022668</v>
      </c>
      <c r="I27" s="18" t="s">
        <v>349</v>
      </c>
      <c r="J27" s="20" t="s">
        <v>349</v>
      </c>
      <c r="K27" s="18" t="n">
        <v>0.6332733699999999</v>
      </c>
      <c r="L27" s="20" t="n">
        <v>0.2268209</v>
      </c>
      <c r="M27" s="18" t="n">
        <v>0</v>
      </c>
      <c r="N27" s="20" t="n">
        <v>0</v>
      </c>
      <c r="O27" s="18" t="n">
        <v>0</v>
      </c>
      <c r="P27" s="20" t="n">
        <v>0</v>
      </c>
      <c r="Q27" s="18" t="n">
        <v>1.41282275</v>
      </c>
      <c r="R27" s="20" t="n">
        <v>0.52008516</v>
      </c>
    </row>
    <row r="28" spans="1:18">
      <c r="A28" s="15" t="s">
        <v>370</v>
      </c>
      <c r="B28" s="17" t="n">
        <v>7568</v>
      </c>
      <c r="C28" s="18">
        <f>(6689.0/B28*100)</f>
        <v/>
      </c>
      <c r="D28" s="19" t="n">
        <v>879</v>
      </c>
      <c r="E28" s="18" t="n">
        <v>57.34677356</v>
      </c>
      <c r="F28" s="20" t="n">
        <v>1.59412256</v>
      </c>
      <c r="G28" s="18" t="n">
        <v>40.50453009</v>
      </c>
      <c r="H28" s="20" t="n">
        <v>1.59197402</v>
      </c>
      <c r="I28" s="18" t="s">
        <v>349</v>
      </c>
      <c r="J28" s="20" t="s">
        <v>349</v>
      </c>
      <c r="K28" s="18" t="n">
        <v>1.11322211</v>
      </c>
      <c r="L28" s="20" t="n">
        <v>0.43592377</v>
      </c>
      <c r="M28" s="18" t="n">
        <v>0.18102047</v>
      </c>
      <c r="N28" s="20" t="n">
        <v>0.18152134</v>
      </c>
      <c r="O28" s="18" t="n">
        <v>0</v>
      </c>
      <c r="P28" s="20" t="n">
        <v>0</v>
      </c>
      <c r="Q28" s="18" t="n">
        <v>0.85445376</v>
      </c>
      <c r="R28" s="20" t="n">
        <v>0.31805415</v>
      </c>
    </row>
    <row r="29" spans="1:18">
      <c r="A29" s="15" t="s">
        <v>371</v>
      </c>
      <c r="B29" s="17" t="n">
        <v>5385</v>
      </c>
      <c r="C29" s="18">
        <f>(4720.0/B29*100)</f>
        <v/>
      </c>
      <c r="D29" s="19" t="n">
        <v>665</v>
      </c>
      <c r="E29" s="18" t="n">
        <v>27.91601345</v>
      </c>
      <c r="F29" s="20" t="n">
        <v>1.63569126</v>
      </c>
      <c r="G29" s="18" t="n">
        <v>71.1415271</v>
      </c>
      <c r="H29" s="20" t="n">
        <v>1.73003377</v>
      </c>
      <c r="I29" s="18" t="s">
        <v>349</v>
      </c>
      <c r="J29" s="20" t="s">
        <v>349</v>
      </c>
      <c r="K29" s="18" t="n">
        <v>0.35302953</v>
      </c>
      <c r="L29" s="20" t="n">
        <v>0.23434448</v>
      </c>
      <c r="M29" s="18" t="n">
        <v>0</v>
      </c>
      <c r="N29" s="20" t="n">
        <v>0</v>
      </c>
      <c r="O29" s="18" t="n">
        <v>0</v>
      </c>
      <c r="P29" s="20" t="n">
        <v>0</v>
      </c>
      <c r="Q29" s="18" t="n">
        <v>0.58942991</v>
      </c>
      <c r="R29" s="20" t="n">
        <v>0.29753972</v>
      </c>
    </row>
    <row r="30" spans="1:18">
      <c r="A30" s="15" t="s">
        <v>372</v>
      </c>
      <c r="B30" s="17" t="n">
        <v>4520</v>
      </c>
      <c r="C30" s="18">
        <f>(3966.0/B30*100)</f>
        <v/>
      </c>
      <c r="D30" s="19" t="n">
        <v>554</v>
      </c>
      <c r="E30" s="18" t="n">
        <v>19.09398738</v>
      </c>
      <c r="F30" s="20" t="n">
        <v>1.70459251</v>
      </c>
      <c r="G30" s="18" t="n">
        <v>78.42673622</v>
      </c>
      <c r="H30" s="20" t="n">
        <v>1.66650543</v>
      </c>
      <c r="I30" s="18" t="s">
        <v>349</v>
      </c>
      <c r="J30" s="20" t="s">
        <v>349</v>
      </c>
      <c r="K30" s="18" t="n">
        <v>0.55955307</v>
      </c>
      <c r="L30" s="20" t="n">
        <v>0.34225508</v>
      </c>
      <c r="M30" s="18" t="n">
        <v>0.16291459</v>
      </c>
      <c r="N30" s="20" t="n">
        <v>0.16568961</v>
      </c>
      <c r="O30" s="18" t="n">
        <v>0</v>
      </c>
      <c r="P30" s="20" t="n">
        <v>0</v>
      </c>
      <c r="Q30" s="18" t="n">
        <v>1.75680874</v>
      </c>
      <c r="R30" s="20" t="n">
        <v>0.51344228</v>
      </c>
    </row>
    <row r="31" spans="1:18">
      <c r="A31" s="15" t="s">
        <v>373</v>
      </c>
      <c r="B31" s="17" t="n">
        <v>5456</v>
      </c>
      <c r="C31" s="18">
        <f>(4812.0/B31*100)</f>
        <v/>
      </c>
      <c r="D31" s="19" t="n">
        <v>644</v>
      </c>
      <c r="E31" s="18" t="n">
        <v>20.41961331</v>
      </c>
      <c r="F31" s="20" t="n">
        <v>1.60869067</v>
      </c>
      <c r="G31" s="18" t="n">
        <v>75.69046229999999</v>
      </c>
      <c r="H31" s="20" t="n">
        <v>1.62095616</v>
      </c>
      <c r="I31" s="18" t="s">
        <v>349</v>
      </c>
      <c r="J31" s="20" t="s">
        <v>349</v>
      </c>
      <c r="K31" s="18" t="n">
        <v>1.58745432</v>
      </c>
      <c r="L31" s="20" t="n">
        <v>0.43912943</v>
      </c>
      <c r="M31" s="18" t="n">
        <v>0</v>
      </c>
      <c r="N31" s="20" t="n">
        <v>0</v>
      </c>
      <c r="O31" s="18" t="n">
        <v>0</v>
      </c>
      <c r="P31" s="20" t="n">
        <v>0</v>
      </c>
      <c r="Q31" s="18" t="n">
        <v>2.30247007</v>
      </c>
      <c r="R31" s="20" t="n">
        <v>0.60940843</v>
      </c>
    </row>
    <row r="32" spans="1:18">
      <c r="A32" s="15" t="s">
        <v>374</v>
      </c>
      <c r="B32" s="17" t="n">
        <v>4478</v>
      </c>
      <c r="C32" s="18">
        <f>(3741.0/B32*100)</f>
        <v/>
      </c>
      <c r="D32" s="19" t="n">
        <v>737</v>
      </c>
      <c r="E32" s="18" t="n">
        <v>24.43823307</v>
      </c>
      <c r="F32" s="20" t="n">
        <v>1.64612698</v>
      </c>
      <c r="G32" s="18" t="n">
        <v>74.70318951</v>
      </c>
      <c r="H32" s="20" t="n">
        <v>1.74293225</v>
      </c>
      <c r="I32" s="18" t="s">
        <v>349</v>
      </c>
      <c r="J32" s="20" t="s">
        <v>349</v>
      </c>
      <c r="K32" s="18" t="n">
        <v>0.27992025</v>
      </c>
      <c r="L32" s="20" t="n">
        <v>0.18316721</v>
      </c>
      <c r="M32" s="18" t="n">
        <v>0</v>
      </c>
      <c r="N32" s="20" t="n">
        <v>0</v>
      </c>
      <c r="O32" s="18" t="n">
        <v>0</v>
      </c>
      <c r="P32" s="20" t="n">
        <v>0</v>
      </c>
      <c r="Q32" s="18" t="n">
        <v>0.57865716</v>
      </c>
      <c r="R32" s="20" t="n">
        <v>0.30908734</v>
      </c>
    </row>
    <row r="33" spans="1:18">
      <c r="A33" s="15" t="s">
        <v>375</v>
      </c>
      <c r="B33" s="17" t="n">
        <v>7325</v>
      </c>
      <c r="C33" s="18">
        <f>(6458.0/B33*100)</f>
        <v/>
      </c>
      <c r="D33" s="19" t="n">
        <v>867</v>
      </c>
      <c r="E33" s="18" t="n">
        <v>32.09152204</v>
      </c>
      <c r="F33" s="20" t="n">
        <v>1.83655414</v>
      </c>
      <c r="G33" s="18" t="n">
        <v>65.97568192</v>
      </c>
      <c r="H33" s="20" t="n">
        <v>1.92905208</v>
      </c>
      <c r="I33" s="18" t="s">
        <v>349</v>
      </c>
      <c r="J33" s="20" t="s">
        <v>349</v>
      </c>
      <c r="K33" s="18" t="n">
        <v>0.71995041</v>
      </c>
      <c r="L33" s="20" t="n">
        <v>0.4434446</v>
      </c>
      <c r="M33" s="18" t="n">
        <v>0</v>
      </c>
      <c r="N33" s="20" t="n">
        <v>0</v>
      </c>
      <c r="O33" s="18" t="n">
        <v>0</v>
      </c>
      <c r="P33" s="20" t="n">
        <v>0</v>
      </c>
      <c r="Q33" s="18" t="n">
        <v>1.21284563</v>
      </c>
      <c r="R33" s="20" t="n">
        <v>0.44595158</v>
      </c>
    </row>
    <row r="34" spans="1:18">
      <c r="A34" s="15" t="s">
        <v>376</v>
      </c>
      <c r="B34" s="17" t="n">
        <v>6350</v>
      </c>
      <c r="C34" s="18">
        <f>(5593.0/B34*100)</f>
        <v/>
      </c>
      <c r="D34" s="19" t="n">
        <v>757</v>
      </c>
      <c r="E34" s="18" t="n">
        <v>32.9124139</v>
      </c>
      <c r="F34" s="20" t="n">
        <v>1.81619889</v>
      </c>
      <c r="G34" s="18" t="n">
        <v>63.6356275</v>
      </c>
      <c r="H34" s="20" t="n">
        <v>1.69080892</v>
      </c>
      <c r="I34" s="18" t="s">
        <v>349</v>
      </c>
      <c r="J34" s="20" t="s">
        <v>349</v>
      </c>
      <c r="K34" s="18" t="n">
        <v>0.83905825</v>
      </c>
      <c r="L34" s="20" t="n">
        <v>0.35720018</v>
      </c>
      <c r="M34" s="18" t="n">
        <v>0.08493742999999999</v>
      </c>
      <c r="N34" s="20" t="n">
        <v>0.08554183</v>
      </c>
      <c r="O34" s="18" t="n">
        <v>0</v>
      </c>
      <c r="P34" s="20" t="n">
        <v>0</v>
      </c>
      <c r="Q34" s="18" t="n">
        <v>2.52796293</v>
      </c>
      <c r="R34" s="20" t="n">
        <v>0.71304533</v>
      </c>
    </row>
    <row r="35" spans="1:18">
      <c r="A35" s="15" t="s">
        <v>377</v>
      </c>
      <c r="B35" s="17" t="n">
        <v>6406</v>
      </c>
      <c r="C35" s="18">
        <f>(5664.0/B35*100)</f>
        <v/>
      </c>
      <c r="D35" s="19" t="n">
        <v>742</v>
      </c>
      <c r="E35" s="18" t="n">
        <v>19.27510408</v>
      </c>
      <c r="F35" s="20" t="n">
        <v>1.72051967</v>
      </c>
      <c r="G35" s="18" t="n">
        <v>79.07875605</v>
      </c>
      <c r="H35" s="20" t="n">
        <v>1.76917848</v>
      </c>
      <c r="I35" s="18" t="s">
        <v>349</v>
      </c>
      <c r="J35" s="20" t="s">
        <v>349</v>
      </c>
      <c r="K35" s="18" t="n">
        <v>0.07712157</v>
      </c>
      <c r="L35" s="20" t="n">
        <v>0.07816819999999999</v>
      </c>
      <c r="M35" s="18" t="n">
        <v>0.60415262</v>
      </c>
      <c r="N35" s="20" t="n">
        <v>0.42242389</v>
      </c>
      <c r="O35" s="18" t="n">
        <v>0</v>
      </c>
      <c r="P35" s="20" t="n">
        <v>0</v>
      </c>
      <c r="Q35" s="18" t="n">
        <v>0.9648656799999999</v>
      </c>
      <c r="R35" s="20" t="n">
        <v>0.35432945</v>
      </c>
    </row>
    <row r="36" spans="1:18">
      <c r="A36" s="15" t="s">
        <v>378</v>
      </c>
      <c r="B36" s="17" t="n">
        <v>6736</v>
      </c>
      <c r="C36" s="18">
        <f>(5911.0/B36*100)</f>
        <v/>
      </c>
      <c r="D36" s="19" t="n">
        <v>825</v>
      </c>
      <c r="E36" s="18" t="n">
        <v>29.82040521</v>
      </c>
      <c r="F36" s="20" t="n">
        <v>1.86040958</v>
      </c>
      <c r="G36" s="18" t="n">
        <v>68.43333567000001</v>
      </c>
      <c r="H36" s="20" t="n">
        <v>1.80224339</v>
      </c>
      <c r="I36" s="18" t="s">
        <v>349</v>
      </c>
      <c r="J36" s="20" t="s">
        <v>349</v>
      </c>
      <c r="K36" s="18" t="n">
        <v>0.43963151</v>
      </c>
      <c r="L36" s="20" t="n">
        <v>0.22841908</v>
      </c>
      <c r="M36" s="18" t="n">
        <v>0</v>
      </c>
      <c r="N36" s="20" t="n">
        <v>0</v>
      </c>
      <c r="O36" s="18" t="n">
        <v>0</v>
      </c>
      <c r="P36" s="20" t="n">
        <v>0</v>
      </c>
      <c r="Q36" s="18" t="n">
        <v>1.30662761</v>
      </c>
      <c r="R36" s="20" t="n">
        <v>0.48007597</v>
      </c>
    </row>
    <row r="37" spans="1:18">
      <c r="A37" s="15" t="s">
        <v>379</v>
      </c>
      <c r="B37" s="17" t="n">
        <v>5458</v>
      </c>
      <c r="C37" s="18">
        <f>(4804.0/B37*100)</f>
        <v/>
      </c>
      <c r="D37" s="19" t="n">
        <v>654</v>
      </c>
      <c r="E37" s="18" t="n">
        <v>21.22096656</v>
      </c>
      <c r="F37" s="20" t="n">
        <v>1.73325074</v>
      </c>
      <c r="G37" s="18" t="n">
        <v>74.05085403</v>
      </c>
      <c r="H37" s="20" t="n">
        <v>1.97108351</v>
      </c>
      <c r="I37" s="18" t="s">
        <v>349</v>
      </c>
      <c r="J37" s="20" t="s">
        <v>349</v>
      </c>
      <c r="K37" s="18" t="n">
        <v>1.50098094</v>
      </c>
      <c r="L37" s="20" t="n">
        <v>0.51909561</v>
      </c>
      <c r="M37" s="18" t="n">
        <v>0</v>
      </c>
      <c r="N37" s="20" t="n">
        <v>0</v>
      </c>
      <c r="O37" s="18" t="n">
        <v>0</v>
      </c>
      <c r="P37" s="20" t="n">
        <v>0</v>
      </c>
      <c r="Q37" s="18" t="n">
        <v>3.22719847</v>
      </c>
      <c r="R37" s="20" t="n">
        <v>0.7646479</v>
      </c>
    </row>
    <row r="38" spans="1:18">
      <c r="A38" s="15" t="s">
        <v>380</v>
      </c>
      <c r="B38" s="17" t="n">
        <v>5860</v>
      </c>
      <c r="C38" s="18">
        <f>(4884.0/B38*100)</f>
        <v/>
      </c>
      <c r="D38" s="19" t="n">
        <v>976</v>
      </c>
      <c r="E38" s="18" t="n">
        <v>24.5066151</v>
      </c>
      <c r="F38" s="20" t="n">
        <v>2.10904062</v>
      </c>
      <c r="G38" s="18" t="n">
        <v>73.35448307</v>
      </c>
      <c r="H38" s="20" t="n">
        <v>1.91997869</v>
      </c>
      <c r="I38" s="18" t="s">
        <v>349</v>
      </c>
      <c r="J38" s="20" t="s">
        <v>349</v>
      </c>
      <c r="K38" s="18" t="n">
        <v>0.30294789</v>
      </c>
      <c r="L38" s="20" t="n">
        <v>0.17139786</v>
      </c>
      <c r="M38" s="18" t="n">
        <v>0.14228834</v>
      </c>
      <c r="N38" s="20" t="n">
        <v>0.14416813</v>
      </c>
      <c r="O38" s="18" t="n">
        <v>0</v>
      </c>
      <c r="P38" s="20" t="n">
        <v>0</v>
      </c>
      <c r="Q38" s="18" t="n">
        <v>1.6936656</v>
      </c>
      <c r="R38" s="20" t="n">
        <v>0.5721761</v>
      </c>
    </row>
    <row r="39" spans="1:18">
      <c r="A39" s="15" t="s">
        <v>381</v>
      </c>
      <c r="B39" s="17" t="n">
        <v>5895</v>
      </c>
      <c r="C39" s="18">
        <f>(5172.0/B39*100)</f>
        <v/>
      </c>
      <c r="D39" s="19" t="n">
        <v>723</v>
      </c>
      <c r="E39" s="18" t="n">
        <v>52.32881557</v>
      </c>
      <c r="F39" s="20" t="n">
        <v>1.95731126</v>
      </c>
      <c r="G39" s="18" t="n">
        <v>45.94769209</v>
      </c>
      <c r="H39" s="20" t="n">
        <v>1.9746638</v>
      </c>
      <c r="I39" s="18" t="s">
        <v>349</v>
      </c>
      <c r="J39" s="20" t="s">
        <v>349</v>
      </c>
      <c r="K39" s="18" t="n">
        <v>0.61435008</v>
      </c>
      <c r="L39" s="20" t="n">
        <v>0.25319427</v>
      </c>
      <c r="M39" s="18" t="n">
        <v>0</v>
      </c>
      <c r="N39" s="20" t="n">
        <v>0</v>
      </c>
      <c r="O39" s="18" t="n">
        <v>0</v>
      </c>
      <c r="P39" s="20" t="n">
        <v>0</v>
      </c>
      <c r="Q39" s="18" t="n">
        <v>1.10914225</v>
      </c>
      <c r="R39" s="20" t="n">
        <v>0.37236481</v>
      </c>
    </row>
    <row r="40" spans="1:18">
      <c r="A40" s="15" t="s">
        <v>382</v>
      </c>
      <c r="B40" s="17" t="n">
        <v>14157</v>
      </c>
      <c r="C40" s="18">
        <f>(12445.0/B40*100)</f>
        <v/>
      </c>
      <c r="D40" s="19" t="n">
        <v>1712</v>
      </c>
      <c r="E40" s="18" t="n">
        <v>20.71937212</v>
      </c>
      <c r="F40" s="20" t="n">
        <v>1.42280273</v>
      </c>
      <c r="G40" s="18" t="n">
        <v>76.85152416</v>
      </c>
      <c r="H40" s="20" t="n">
        <v>1.44000358</v>
      </c>
      <c r="I40" s="18" t="s">
        <v>349</v>
      </c>
      <c r="J40" s="20" t="s">
        <v>349</v>
      </c>
      <c r="K40" s="18" t="n">
        <v>0.98215223</v>
      </c>
      <c r="L40" s="20" t="n">
        <v>0.32592087</v>
      </c>
      <c r="M40" s="18" t="n">
        <v>0.09331224</v>
      </c>
      <c r="N40" s="20" t="n">
        <v>0.08931905</v>
      </c>
      <c r="O40" s="18" t="n">
        <v>0</v>
      </c>
      <c r="P40" s="20" t="n">
        <v>0</v>
      </c>
      <c r="Q40" s="18" t="n">
        <v>1.35363926</v>
      </c>
      <c r="R40" s="20" t="n">
        <v>0.5798652399999999</v>
      </c>
    </row>
    <row r="41" spans="1:18">
      <c r="A41" s="15" t="s">
        <v>383</v>
      </c>
      <c r="B41" s="17" t="n">
        <v>5712</v>
      </c>
      <c r="C41" s="18">
        <f>(5023.0/B41*100)</f>
        <v/>
      </c>
      <c r="D41" s="19" t="n">
        <v>689</v>
      </c>
      <c r="E41" s="18" t="n">
        <v>24.98673499</v>
      </c>
      <c r="F41" s="20" t="n">
        <v>1.96164755</v>
      </c>
      <c r="G41" s="18" t="n">
        <v>73.46189047</v>
      </c>
      <c r="H41" s="20" t="n">
        <v>1.95252284</v>
      </c>
      <c r="I41" s="18" t="s">
        <v>349</v>
      </c>
      <c r="J41" s="20" t="s">
        <v>349</v>
      </c>
      <c r="K41" s="18" t="n">
        <v>0.30298706</v>
      </c>
      <c r="L41" s="20" t="n">
        <v>0.19846097</v>
      </c>
      <c r="M41" s="18" t="n">
        <v>0</v>
      </c>
      <c r="N41" s="20" t="n">
        <v>0</v>
      </c>
      <c r="O41" s="18" t="n">
        <v>0</v>
      </c>
      <c r="P41" s="20" t="n">
        <v>0</v>
      </c>
      <c r="Q41" s="18" t="n">
        <v>1.24838748</v>
      </c>
      <c r="R41" s="20" t="n">
        <v>0.44550661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(20762.0/B46*100)</f>
        <v/>
      </c>
      <c r="D46" s="19" t="n">
        <v>2379</v>
      </c>
      <c r="E46" s="18" t="n">
        <v>52.69048195</v>
      </c>
      <c r="F46" s="20" t="n">
        <v>1.32147079</v>
      </c>
      <c r="G46" s="18" t="n">
        <v>40.47610861</v>
      </c>
      <c r="H46" s="20" t="n">
        <v>1.28255469</v>
      </c>
      <c r="I46" s="18" t="s">
        <v>349</v>
      </c>
      <c r="J46" s="20" t="s">
        <v>349</v>
      </c>
      <c r="K46" s="18" t="n">
        <v>1.24126297</v>
      </c>
      <c r="L46" s="20" t="n">
        <v>0.30173408</v>
      </c>
      <c r="M46" s="18" t="n">
        <v>0.0444322</v>
      </c>
      <c r="N46" s="20" t="n">
        <v>0.03267654</v>
      </c>
      <c r="O46" s="18" t="n">
        <v>0</v>
      </c>
      <c r="P46" s="20" t="n">
        <v>0</v>
      </c>
      <c r="Q46" s="18" t="n">
        <v>5.54771427</v>
      </c>
      <c r="R46" s="20" t="n">
        <v>0.64869063</v>
      </c>
    </row>
    <row r="47" spans="1:18">
      <c r="A47" s="15" t="s">
        <v>389</v>
      </c>
      <c r="B47" s="17" t="n">
        <v>5928</v>
      </c>
      <c r="C47" s="18">
        <f>(5233.0/B47*100)</f>
        <v/>
      </c>
      <c r="D47" s="19" t="n">
        <v>695</v>
      </c>
      <c r="E47" s="18" t="n">
        <v>35.67475697</v>
      </c>
      <c r="F47" s="20" t="n">
        <v>1.77625276</v>
      </c>
      <c r="G47" s="18" t="n">
        <v>57.45030408</v>
      </c>
      <c r="H47" s="20" t="n">
        <v>1.91246536</v>
      </c>
      <c r="I47" s="18" t="s">
        <v>349</v>
      </c>
      <c r="J47" s="20" t="s">
        <v>349</v>
      </c>
      <c r="K47" s="18" t="n">
        <v>1.13362782</v>
      </c>
      <c r="L47" s="20" t="n">
        <v>0.40918826</v>
      </c>
      <c r="M47" s="18" t="n">
        <v>0</v>
      </c>
      <c r="N47" s="20" t="n">
        <v>0</v>
      </c>
      <c r="O47" s="18" t="n">
        <v>0</v>
      </c>
      <c r="P47" s="20" t="n">
        <v>0</v>
      </c>
      <c r="Q47" s="18" t="n">
        <v>5.74131113</v>
      </c>
      <c r="R47" s="20" t="n">
        <v>0.96625777</v>
      </c>
    </row>
    <row r="48" spans="1:18">
      <c r="A48" s="15" t="s">
        <v>390</v>
      </c>
      <c r="B48" s="17" t="n">
        <v>9841</v>
      </c>
      <c r="C48" s="18">
        <f>(8631.0/B48*100)</f>
        <v/>
      </c>
      <c r="D48" s="19" t="n">
        <v>1210</v>
      </c>
      <c r="E48" s="18" t="n">
        <v>27.8905014</v>
      </c>
      <c r="F48" s="20" t="n">
        <v>1.62371137</v>
      </c>
      <c r="G48" s="18" t="n">
        <v>69.27888052</v>
      </c>
      <c r="H48" s="20" t="n">
        <v>1.85222407</v>
      </c>
      <c r="I48" s="18" t="s">
        <v>349</v>
      </c>
      <c r="J48" s="20" t="s">
        <v>349</v>
      </c>
      <c r="K48" s="18" t="n">
        <v>1.12140778</v>
      </c>
      <c r="L48" s="20" t="n">
        <v>0.50719391</v>
      </c>
      <c r="M48" s="18" t="n">
        <v>0.22474533</v>
      </c>
      <c r="N48" s="20" t="n">
        <v>0.16775141</v>
      </c>
      <c r="O48" s="18" t="n">
        <v>0</v>
      </c>
      <c r="P48" s="20" t="n">
        <v>0</v>
      </c>
      <c r="Q48" s="18" t="n">
        <v>1.48446498</v>
      </c>
      <c r="R48" s="20" t="n">
        <v>0.5121312099999999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(10388.0/B50*100)</f>
        <v/>
      </c>
      <c r="D50" s="19" t="n">
        <v>1407</v>
      </c>
      <c r="E50" s="18" t="n">
        <v>62.25889379</v>
      </c>
      <c r="F50" s="20" t="n">
        <v>1.47221563</v>
      </c>
      <c r="G50" s="18" t="n">
        <v>33.98123875</v>
      </c>
      <c r="H50" s="20" t="n">
        <v>1.48323822</v>
      </c>
      <c r="I50" s="18" t="s">
        <v>349</v>
      </c>
      <c r="J50" s="20" t="s">
        <v>349</v>
      </c>
      <c r="K50" s="18" t="n">
        <v>1.68431882</v>
      </c>
      <c r="L50" s="20" t="n">
        <v>0.4204528</v>
      </c>
      <c r="M50" s="18" t="n">
        <v>0.9002350099999999</v>
      </c>
      <c r="N50" s="20" t="n">
        <v>0.23136858</v>
      </c>
      <c r="O50" s="18" t="n">
        <v>0</v>
      </c>
      <c r="P50" s="20" t="n">
        <v>0</v>
      </c>
      <c r="Q50" s="18" t="n">
        <v>1.17531364</v>
      </c>
      <c r="R50" s="20" t="n">
        <v>0.35619078</v>
      </c>
    </row>
    <row r="51" spans="1:18">
      <c r="A51" s="15" t="s">
        <v>393</v>
      </c>
      <c r="B51" s="17" t="n">
        <v>6866</v>
      </c>
      <c r="C51" s="18">
        <f>(6154.0/B51*100)</f>
        <v/>
      </c>
      <c r="D51" s="19" t="n">
        <v>712</v>
      </c>
      <c r="E51" s="18" t="n">
        <v>51.05420744</v>
      </c>
      <c r="F51" s="20" t="n">
        <v>1.76038513</v>
      </c>
      <c r="G51" s="18" t="n">
        <v>45.74441062</v>
      </c>
      <c r="H51" s="20" t="n">
        <v>1.78780127</v>
      </c>
      <c r="I51" s="18" t="s">
        <v>349</v>
      </c>
      <c r="J51" s="20" t="s">
        <v>349</v>
      </c>
      <c r="K51" s="18" t="n">
        <v>0.88589973</v>
      </c>
      <c r="L51" s="20" t="n">
        <v>0.2850964</v>
      </c>
      <c r="M51" s="18" t="n">
        <v>0.26444928</v>
      </c>
      <c r="N51" s="20" t="n">
        <v>0.24523235</v>
      </c>
      <c r="O51" s="18" t="n">
        <v>0</v>
      </c>
      <c r="P51" s="20" t="n">
        <v>0</v>
      </c>
      <c r="Q51" s="18" t="n">
        <v>2.05103294</v>
      </c>
      <c r="R51" s="20" t="n">
        <v>0.6201615700000001</v>
      </c>
    </row>
    <row r="52" spans="1:18">
      <c r="A52" s="15" t="s">
        <v>394</v>
      </c>
      <c r="B52" s="17" t="n">
        <v>5809</v>
      </c>
      <c r="C52" s="18">
        <f>(5102.0/B52*100)</f>
        <v/>
      </c>
      <c r="D52" s="19" t="n">
        <v>707</v>
      </c>
      <c r="E52" s="18" t="n">
        <v>28.24515622</v>
      </c>
      <c r="F52" s="20" t="n">
        <v>1.55223412</v>
      </c>
      <c r="G52" s="18" t="n">
        <v>68.35282327</v>
      </c>
      <c r="H52" s="20" t="n">
        <v>1.65242949</v>
      </c>
      <c r="I52" s="18" t="s">
        <v>349</v>
      </c>
      <c r="J52" s="20" t="s">
        <v>349</v>
      </c>
      <c r="K52" s="18" t="n">
        <v>0.58221312</v>
      </c>
      <c r="L52" s="20" t="n">
        <v>0.29721083</v>
      </c>
      <c r="M52" s="18" t="n">
        <v>0</v>
      </c>
      <c r="N52" s="20" t="n">
        <v>0</v>
      </c>
      <c r="O52" s="18" t="n">
        <v>0</v>
      </c>
      <c r="P52" s="20" t="n">
        <v>0</v>
      </c>
      <c r="Q52" s="18" t="n">
        <v>2.81980739</v>
      </c>
      <c r="R52" s="20" t="n">
        <v>0.44658684</v>
      </c>
    </row>
    <row r="53" spans="1:18">
      <c r="A53" s="15" t="s">
        <v>395</v>
      </c>
      <c r="B53" s="17" t="n">
        <v>5571</v>
      </c>
      <c r="C53" s="18">
        <f>(4883.0/B53*100)</f>
        <v/>
      </c>
      <c r="D53" s="19" t="n">
        <v>688</v>
      </c>
      <c r="E53" s="18" t="n">
        <v>34.43167874</v>
      </c>
      <c r="F53" s="20" t="n">
        <v>1.66769795</v>
      </c>
      <c r="G53" s="18" t="n">
        <v>61.89843361</v>
      </c>
      <c r="H53" s="20" t="n">
        <v>1.67607676</v>
      </c>
      <c r="I53" s="18" t="s">
        <v>349</v>
      </c>
      <c r="J53" s="20" t="s">
        <v>349</v>
      </c>
      <c r="K53" s="18" t="n">
        <v>0.78056477</v>
      </c>
      <c r="L53" s="20" t="n">
        <v>0.36557163</v>
      </c>
      <c r="M53" s="18" t="n">
        <v>0</v>
      </c>
      <c r="N53" s="20" t="n">
        <v>0</v>
      </c>
      <c r="O53" s="18" t="n">
        <v>0</v>
      </c>
      <c r="P53" s="20" t="n">
        <v>0</v>
      </c>
      <c r="Q53" s="18" t="n">
        <v>2.88932288</v>
      </c>
      <c r="R53" s="20" t="n">
        <v>0.66182261</v>
      </c>
    </row>
    <row r="54" spans="1:18">
      <c r="A54" s="15" t="s">
        <v>396</v>
      </c>
      <c r="B54" s="17" t="n">
        <v>4740</v>
      </c>
      <c r="C54" s="18">
        <f>(3971.0/B54*100)</f>
        <v/>
      </c>
      <c r="D54" s="19" t="n">
        <v>769</v>
      </c>
      <c r="E54" s="18" t="n">
        <v>67.90341556</v>
      </c>
      <c r="F54" s="20" t="n">
        <v>2.01099227</v>
      </c>
      <c r="G54" s="18" t="n">
        <v>18.189086</v>
      </c>
      <c r="H54" s="20" t="n">
        <v>1.42200138</v>
      </c>
      <c r="I54" s="18" t="s">
        <v>349</v>
      </c>
      <c r="J54" s="20" t="s">
        <v>349</v>
      </c>
      <c r="K54" s="18" t="n">
        <v>8.90959361</v>
      </c>
      <c r="L54" s="20" t="n">
        <v>1.14808408</v>
      </c>
      <c r="M54" s="18" t="n">
        <v>0.9731814</v>
      </c>
      <c r="N54" s="20" t="n">
        <v>0.94184953</v>
      </c>
      <c r="O54" s="18" t="n">
        <v>0</v>
      </c>
      <c r="P54" s="20" t="n">
        <v>0</v>
      </c>
      <c r="Q54" s="18" t="n">
        <v>4.02472344</v>
      </c>
      <c r="R54" s="20" t="n">
        <v>0.74813638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(4690.0/B56*100)</f>
        <v/>
      </c>
      <c r="D56" s="19" t="n">
        <v>669</v>
      </c>
      <c r="E56" s="18" t="n">
        <v>24.26333924</v>
      </c>
      <c r="F56" s="20" t="n">
        <v>1.61890288</v>
      </c>
      <c r="G56" s="18" t="n">
        <v>74.78852836999999</v>
      </c>
      <c r="H56" s="20" t="n">
        <v>1.69698875</v>
      </c>
      <c r="I56" s="18" t="s">
        <v>349</v>
      </c>
      <c r="J56" s="20" t="s">
        <v>349</v>
      </c>
      <c r="K56" s="18" t="n">
        <v>0.08600720000000001</v>
      </c>
      <c r="L56" s="20" t="n">
        <v>0.0864182</v>
      </c>
      <c r="M56" s="18" t="n">
        <v>0</v>
      </c>
      <c r="N56" s="20" t="n">
        <v>0</v>
      </c>
      <c r="O56" s="18" t="n">
        <v>0</v>
      </c>
      <c r="P56" s="20" t="n">
        <v>0</v>
      </c>
      <c r="Q56" s="18" t="n">
        <v>0.86212518</v>
      </c>
      <c r="R56" s="20" t="n">
        <v>0.38306237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(5707.0/B61*100)</f>
        <v/>
      </c>
      <c r="D61" s="19" t="n">
        <v>818</v>
      </c>
      <c r="E61" s="18" t="n">
        <v>43.41664451</v>
      </c>
      <c r="F61" s="20" t="n">
        <v>1.88233755</v>
      </c>
      <c r="G61" s="18" t="n">
        <v>55.17274928</v>
      </c>
      <c r="H61" s="20" t="n">
        <v>1.92919686</v>
      </c>
      <c r="I61" s="18" t="s">
        <v>349</v>
      </c>
      <c r="J61" s="20" t="s">
        <v>349</v>
      </c>
      <c r="K61" s="18" t="n">
        <v>0.47904841</v>
      </c>
      <c r="L61" s="20" t="n">
        <v>0.37242282</v>
      </c>
      <c r="M61" s="18" t="n">
        <v>0</v>
      </c>
      <c r="N61" s="20" t="n">
        <v>0</v>
      </c>
      <c r="O61" s="18" t="n">
        <v>0</v>
      </c>
      <c r="P61" s="20" t="n">
        <v>0</v>
      </c>
      <c r="Q61" s="18" t="n">
        <v>0.93155781</v>
      </c>
      <c r="R61" s="20" t="n">
        <v>0.34533115</v>
      </c>
    </row>
    <row r="62" spans="1:18">
      <c r="A62" s="15" t="s">
        <v>404</v>
      </c>
      <c r="B62" s="17" t="n">
        <v>4476</v>
      </c>
      <c r="C62" s="18">
        <f>(3934.0/B62*100)</f>
        <v/>
      </c>
      <c r="D62" s="19" t="n">
        <v>542</v>
      </c>
      <c r="E62" s="18" t="n">
        <v>19.90622081</v>
      </c>
      <c r="F62" s="20" t="n">
        <v>1.70503748</v>
      </c>
      <c r="G62" s="18" t="n">
        <v>79.34313759</v>
      </c>
      <c r="H62" s="20" t="n">
        <v>1.7377944</v>
      </c>
      <c r="I62" s="18" t="s">
        <v>349</v>
      </c>
      <c r="J62" s="20" t="s">
        <v>349</v>
      </c>
      <c r="K62" s="18" t="n">
        <v>0.1831539</v>
      </c>
      <c r="L62" s="20" t="n">
        <v>0.18333866</v>
      </c>
      <c r="M62" s="18" t="n">
        <v>0.18510266</v>
      </c>
      <c r="N62" s="20" t="n">
        <v>0.18556618</v>
      </c>
      <c r="O62" s="18" t="n">
        <v>0</v>
      </c>
      <c r="P62" s="20" t="n">
        <v>0</v>
      </c>
      <c r="Q62" s="18" t="n">
        <v>0.38238505</v>
      </c>
      <c r="R62" s="20" t="n">
        <v>0.26984765</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(4988.0/B66*100)</f>
        <v/>
      </c>
      <c r="D66" s="19" t="n">
        <v>677</v>
      </c>
      <c r="E66" s="18" t="n">
        <v>33.07246586</v>
      </c>
      <c r="F66" s="20" t="n">
        <v>1.69739955</v>
      </c>
      <c r="G66" s="18" t="n">
        <v>58.10216447</v>
      </c>
      <c r="H66" s="20" t="n">
        <v>1.69776398</v>
      </c>
      <c r="I66" s="18" t="s">
        <v>349</v>
      </c>
      <c r="J66" s="20" t="s">
        <v>349</v>
      </c>
      <c r="K66" s="18" t="n">
        <v>2.15170528</v>
      </c>
      <c r="L66" s="20" t="n">
        <v>0.56590637</v>
      </c>
      <c r="M66" s="18" t="n">
        <v>0.42069807</v>
      </c>
      <c r="N66" s="20" t="n">
        <v>0.24567797</v>
      </c>
      <c r="O66" s="18" t="n">
        <v>0</v>
      </c>
      <c r="P66" s="20" t="n">
        <v>0</v>
      </c>
      <c r="Q66" s="18" t="n">
        <v>6.25296632</v>
      </c>
      <c r="R66" s="20" t="n">
        <v>0.87089821</v>
      </c>
    </row>
    <row r="67" spans="1:18">
      <c r="A67" s="15" t="s">
        <v>409</v>
      </c>
      <c r="B67" s="17" t="n">
        <v>6971</v>
      </c>
      <c r="C67" s="18">
        <f>(6217.0/B67*100)</f>
        <v/>
      </c>
      <c r="D67" s="19" t="n">
        <v>754</v>
      </c>
      <c r="E67" s="18" t="n">
        <v>56.48115754</v>
      </c>
      <c r="F67" s="20" t="n">
        <v>2.18040263</v>
      </c>
      <c r="G67" s="18" t="n">
        <v>40.52208758</v>
      </c>
      <c r="H67" s="20" t="n">
        <v>2.27630295</v>
      </c>
      <c r="I67" s="18" t="s">
        <v>349</v>
      </c>
      <c r="J67" s="20" t="s">
        <v>349</v>
      </c>
      <c r="K67" s="18" t="n">
        <v>0.23155225</v>
      </c>
      <c r="L67" s="20" t="n">
        <v>0.18520097</v>
      </c>
      <c r="M67" s="18" t="n">
        <v>0.20824604</v>
      </c>
      <c r="N67" s="20" t="n">
        <v>0.14662331</v>
      </c>
      <c r="O67" s="18" t="n">
        <v>0</v>
      </c>
      <c r="P67" s="20" t="n">
        <v>0</v>
      </c>
      <c r="Q67" s="18" t="n">
        <v>2.5569566</v>
      </c>
      <c r="R67" s="20" t="n">
        <v>0.59351375</v>
      </c>
    </row>
    <row r="68" spans="1:18">
      <c r="A68" s="15" t="s">
        <v>410</v>
      </c>
      <c r="B68" s="17" t="n">
        <v>12083</v>
      </c>
      <c r="C68" s="18">
        <f>(10090.0/B68*100)</f>
        <v/>
      </c>
      <c r="D68" s="19" t="n">
        <v>1993</v>
      </c>
      <c r="E68" s="18" t="n">
        <v>46.18594794</v>
      </c>
      <c r="F68" s="20" t="n">
        <v>1.06731615</v>
      </c>
      <c r="G68" s="18" t="n">
        <v>48.47921762</v>
      </c>
      <c r="H68" s="20" t="n">
        <v>1.13528697</v>
      </c>
      <c r="I68" s="18" t="s">
        <v>349</v>
      </c>
      <c r="J68" s="20" t="s">
        <v>349</v>
      </c>
      <c r="K68" s="18" t="n">
        <v>2.84581581</v>
      </c>
      <c r="L68" s="20" t="n">
        <v>0.32776524</v>
      </c>
      <c r="M68" s="18" t="n">
        <v>0.04993228</v>
      </c>
      <c r="N68" s="20" t="n">
        <v>0.04988793</v>
      </c>
      <c r="O68" s="18" t="n">
        <v>0</v>
      </c>
      <c r="P68" s="20" t="n">
        <v>0</v>
      </c>
      <c r="Q68" s="18" t="n">
        <v>2.43908635</v>
      </c>
      <c r="R68" s="20" t="n">
        <v>0.34511237</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(5310.0/B70*100)</f>
        <v/>
      </c>
      <c r="D70" s="19" t="n">
        <v>726</v>
      </c>
      <c r="E70" s="18" t="n">
        <v>29.83633295</v>
      </c>
      <c r="F70" s="20" t="n">
        <v>1.79216177</v>
      </c>
      <c r="G70" s="18" t="n">
        <v>68.01133442</v>
      </c>
      <c r="H70" s="20" t="n">
        <v>1.97143913</v>
      </c>
      <c r="I70" s="18" t="s">
        <v>349</v>
      </c>
      <c r="J70" s="20" t="s">
        <v>349</v>
      </c>
      <c r="K70" s="18" t="n">
        <v>0.10813693</v>
      </c>
      <c r="L70" s="20" t="n">
        <v>0.10764667</v>
      </c>
      <c r="M70" s="18" t="n">
        <v>0.43078208</v>
      </c>
      <c r="N70" s="20" t="n">
        <v>0.22199188</v>
      </c>
      <c r="O70" s="18" t="n">
        <v>0</v>
      </c>
      <c r="P70" s="20" t="n">
        <v>0</v>
      </c>
      <c r="Q70" s="18" t="n">
        <v>1.61341361</v>
      </c>
      <c r="R70" s="20" t="n">
        <v>0.41078422</v>
      </c>
    </row>
    <row r="71" spans="1:18">
      <c r="A71" s="15" t="s">
        <v>413</v>
      </c>
      <c r="B71" s="17" t="n">
        <v>6115</v>
      </c>
      <c r="C71" s="18">
        <f>(5349.0/B71*100)</f>
        <v/>
      </c>
      <c r="D71" s="19" t="n">
        <v>766</v>
      </c>
      <c r="E71" s="18" t="n">
        <v>19.30082466</v>
      </c>
      <c r="F71" s="20" t="n">
        <v>1.583186</v>
      </c>
      <c r="G71" s="18" t="n">
        <v>79.811295</v>
      </c>
      <c r="H71" s="20" t="n">
        <v>1.59064562</v>
      </c>
      <c r="I71" s="18" t="s">
        <v>349</v>
      </c>
      <c r="J71" s="20" t="s">
        <v>349</v>
      </c>
      <c r="K71" s="18" t="n">
        <v>0.22694492</v>
      </c>
      <c r="L71" s="20" t="n">
        <v>0.16743758</v>
      </c>
      <c r="M71" s="18" t="n">
        <v>0</v>
      </c>
      <c r="N71" s="20" t="n">
        <v>0</v>
      </c>
      <c r="O71" s="18" t="n">
        <v>0</v>
      </c>
      <c r="P71" s="20" t="n">
        <v>0</v>
      </c>
      <c r="Q71" s="18" t="n">
        <v>0.66093543</v>
      </c>
      <c r="R71" s="20" t="n">
        <v>0.29865036</v>
      </c>
    </row>
    <row r="72" spans="1:18">
      <c r="A72" s="15" t="s">
        <v>414</v>
      </c>
      <c r="B72" s="17" t="n">
        <v>7708</v>
      </c>
      <c r="C72" s="18">
        <f>(6749.0/B72*100)</f>
        <v/>
      </c>
      <c r="D72" s="19" t="n">
        <v>959</v>
      </c>
      <c r="E72" s="18" t="n">
        <v>23.35288565</v>
      </c>
      <c r="F72" s="20" t="n">
        <v>1.77192872</v>
      </c>
      <c r="G72" s="18" t="n">
        <v>75.33738083</v>
      </c>
      <c r="H72" s="20" t="n">
        <v>1.80901406</v>
      </c>
      <c r="I72" s="18" t="s">
        <v>349</v>
      </c>
      <c r="J72" s="20" t="s">
        <v>349</v>
      </c>
      <c r="K72" s="18" t="n">
        <v>0.30565671</v>
      </c>
      <c r="L72" s="20" t="n">
        <v>0.18820757</v>
      </c>
      <c r="M72" s="18" t="n">
        <v>0</v>
      </c>
      <c r="N72" s="20" t="n">
        <v>0</v>
      </c>
      <c r="O72" s="18" t="n">
        <v>0</v>
      </c>
      <c r="P72" s="20" t="n">
        <v>0</v>
      </c>
      <c r="Q72" s="18" t="n">
        <v>1.00407682</v>
      </c>
      <c r="R72" s="20" t="n">
        <v>0.3572027</v>
      </c>
    </row>
    <row r="73" spans="1:18">
      <c r="A73" s="15" t="s">
        <v>415</v>
      </c>
      <c r="B73" s="17" t="n">
        <v>8249</v>
      </c>
      <c r="C73" s="18">
        <f>(7293.0/B73*100)</f>
        <v/>
      </c>
      <c r="D73" s="19" t="n">
        <v>956</v>
      </c>
      <c r="E73" s="18" t="n">
        <v>48.88472539</v>
      </c>
      <c r="F73" s="20" t="n">
        <v>1.91452621</v>
      </c>
      <c r="G73" s="18" t="n">
        <v>50.29432219</v>
      </c>
      <c r="H73" s="20" t="n">
        <v>1.84518168</v>
      </c>
      <c r="I73" s="18" t="s">
        <v>349</v>
      </c>
      <c r="J73" s="20" t="s">
        <v>349</v>
      </c>
      <c r="K73" s="18" t="n">
        <v>0</v>
      </c>
      <c r="L73" s="20" t="n">
        <v>0</v>
      </c>
      <c r="M73" s="18" t="n">
        <v>0</v>
      </c>
      <c r="N73" s="20" t="n">
        <v>0</v>
      </c>
      <c r="O73" s="18" t="n">
        <v>0</v>
      </c>
      <c r="P73" s="20" t="n">
        <v>0</v>
      </c>
      <c r="Q73" s="18" t="n">
        <v>0.82095241</v>
      </c>
      <c r="R73" s="20" t="n">
        <v>0.40461745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(4775.0/B75*100)</f>
        <v/>
      </c>
      <c r="D75" s="19" t="n">
        <v>600</v>
      </c>
      <c r="E75" s="18" t="n">
        <v>56.6099509</v>
      </c>
      <c r="F75" s="20" t="n">
        <v>1.9883059</v>
      </c>
      <c r="G75" s="18" t="n">
        <v>35.49346655</v>
      </c>
      <c r="H75" s="20" t="n">
        <v>2.07316614</v>
      </c>
      <c r="I75" s="18" t="s">
        <v>349</v>
      </c>
      <c r="J75" s="20" t="s">
        <v>349</v>
      </c>
      <c r="K75" s="18" t="n">
        <v>3.41209657</v>
      </c>
      <c r="L75" s="20" t="n">
        <v>0.84039368</v>
      </c>
      <c r="M75" s="18" t="n">
        <v>0.19693723</v>
      </c>
      <c r="N75" s="20" t="n">
        <v>0.19559765</v>
      </c>
      <c r="O75" s="18" t="n">
        <v>0</v>
      </c>
      <c r="P75" s="20" t="n">
        <v>0</v>
      </c>
      <c r="Q75" s="18" t="n">
        <v>4.28754875</v>
      </c>
      <c r="R75" s="20" t="n">
        <v>0.82621869</v>
      </c>
    </row>
    <row r="76" spans="1:18">
      <c r="A76" s="15" t="s">
        <v>418</v>
      </c>
      <c r="B76" s="17" t="n">
        <v>14167</v>
      </c>
      <c r="C76" s="18">
        <f>(12422.0/B76*100)</f>
        <v/>
      </c>
      <c r="D76" s="19" t="n">
        <v>1745</v>
      </c>
      <c r="E76" s="18" t="n">
        <v>42.60165042</v>
      </c>
      <c r="F76" s="20" t="n">
        <v>1.62278672</v>
      </c>
      <c r="G76" s="18" t="n">
        <v>55.01498606</v>
      </c>
      <c r="H76" s="20" t="n">
        <v>1.60865997</v>
      </c>
      <c r="I76" s="18" t="s">
        <v>349</v>
      </c>
      <c r="J76" s="20" t="s">
        <v>349</v>
      </c>
      <c r="K76" s="18" t="n">
        <v>0.62336295</v>
      </c>
      <c r="L76" s="20" t="n">
        <v>0.23743776</v>
      </c>
      <c r="M76" s="18" t="n">
        <v>0.19407665</v>
      </c>
      <c r="N76" s="20" t="n">
        <v>0.15255958</v>
      </c>
      <c r="O76" s="18" t="n">
        <v>0</v>
      </c>
      <c r="P76" s="20" t="n">
        <v>0</v>
      </c>
      <c r="Q76" s="18" t="n">
        <v>1.56592392</v>
      </c>
      <c r="R76" s="20" t="n">
        <v>0.31077034</v>
      </c>
    </row>
    <row r="77" spans="1:18">
      <c r="A77" s="15" t="s">
        <v>419</v>
      </c>
      <c r="B77" s="17" t="n">
        <v>6062</v>
      </c>
      <c r="C77" s="18">
        <f>(5328.0/B77*100)</f>
        <v/>
      </c>
      <c r="D77" s="19" t="n">
        <v>734</v>
      </c>
      <c r="E77" s="18" t="n">
        <v>47.92787103</v>
      </c>
      <c r="F77" s="20" t="n">
        <v>1.79220389</v>
      </c>
      <c r="G77" s="18" t="n">
        <v>43.59394389</v>
      </c>
      <c r="H77" s="20" t="n">
        <v>1.90642508</v>
      </c>
      <c r="I77" s="18" t="s">
        <v>349</v>
      </c>
      <c r="J77" s="20" t="s">
        <v>349</v>
      </c>
      <c r="K77" s="18" t="n">
        <v>2.20420335</v>
      </c>
      <c r="L77" s="20" t="n">
        <v>0.57291792</v>
      </c>
      <c r="M77" s="18" t="n">
        <v>2.37658827</v>
      </c>
      <c r="N77" s="20" t="n">
        <v>0.59047388</v>
      </c>
      <c r="O77" s="18" t="n">
        <v>0</v>
      </c>
      <c r="P77" s="20" t="n">
        <v>0</v>
      </c>
      <c r="Q77" s="18" t="n">
        <v>3.89739347</v>
      </c>
      <c r="R77" s="20" t="n">
        <v>0.7863308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(7764.0/B81*100)</f>
        <v/>
      </c>
      <c r="D81" s="19" t="n">
        <v>1097</v>
      </c>
      <c r="E81" s="18" t="n">
        <v>49.00907507</v>
      </c>
      <c r="F81" s="20" t="n">
        <v>2.17737808</v>
      </c>
      <c r="G81" s="18" t="n">
        <v>50.55114823</v>
      </c>
      <c r="H81" s="20" t="n">
        <v>2.1721258</v>
      </c>
      <c r="I81" s="18" t="s">
        <v>349</v>
      </c>
      <c r="J81" s="20" t="s">
        <v>349</v>
      </c>
      <c r="K81" s="18" t="n">
        <v>0</v>
      </c>
      <c r="L81" s="20" t="n">
        <v>0</v>
      </c>
      <c r="M81" s="18" t="n">
        <v>0</v>
      </c>
      <c r="N81" s="20" t="n">
        <v>0</v>
      </c>
      <c r="O81" s="18" t="n">
        <v>0</v>
      </c>
      <c r="P81" s="20" t="n">
        <v>0</v>
      </c>
      <c r="Q81" s="18" t="n">
        <v>0.4397767</v>
      </c>
      <c r="R81" s="20" t="n">
        <v>0.22777452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(12721.0/B7*100)</f>
        <v/>
      </c>
      <c r="D7" s="19" t="n">
        <v>1809</v>
      </c>
      <c r="E7" s="18" t="n">
        <v>68.13128595000001</v>
      </c>
      <c r="F7" s="20" t="n">
        <v>1.01268604</v>
      </c>
      <c r="G7" s="18" t="n">
        <v>25.69765337</v>
      </c>
      <c r="H7" s="20" t="n">
        <v>1.06604108</v>
      </c>
      <c r="I7" s="18" t="s">
        <v>349</v>
      </c>
      <c r="J7" s="20" t="s">
        <v>349</v>
      </c>
      <c r="K7" s="18" t="n">
        <v>0.73183472</v>
      </c>
      <c r="L7" s="20" t="n">
        <v>0.23893274</v>
      </c>
      <c r="M7" s="18" t="n">
        <v>0.2099567</v>
      </c>
      <c r="N7" s="20" t="n">
        <v>0.13274216</v>
      </c>
      <c r="O7" s="18" t="n">
        <v>0</v>
      </c>
      <c r="P7" s="20" t="n">
        <v>0</v>
      </c>
      <c r="Q7" s="18" t="n">
        <v>5.22926926</v>
      </c>
      <c r="R7" s="20" t="n">
        <v>0.52543038</v>
      </c>
    </row>
    <row r="8" spans="1:18">
      <c r="A8" s="15" t="s">
        <v>350</v>
      </c>
      <c r="B8" s="17" t="n">
        <v>7007</v>
      </c>
      <c r="C8" s="18">
        <f>(6137.0/B8*100)</f>
        <v/>
      </c>
      <c r="D8" s="19" t="n">
        <v>870</v>
      </c>
      <c r="E8" s="18" t="n">
        <v>60.20425856</v>
      </c>
      <c r="F8" s="20" t="n">
        <v>1.79780225</v>
      </c>
      <c r="G8" s="18" t="n">
        <v>31.30121002</v>
      </c>
      <c r="H8" s="20" t="n">
        <v>1.78289032</v>
      </c>
      <c r="I8" s="18" t="s">
        <v>349</v>
      </c>
      <c r="J8" s="20" t="s">
        <v>349</v>
      </c>
      <c r="K8" s="18" t="n">
        <v>1.03420923</v>
      </c>
      <c r="L8" s="20" t="n">
        <v>0.42722698</v>
      </c>
      <c r="M8" s="18" t="n">
        <v>0</v>
      </c>
      <c r="N8" s="20" t="n">
        <v>0</v>
      </c>
      <c r="O8" s="18" t="n">
        <v>0</v>
      </c>
      <c r="P8" s="20" t="n">
        <v>0</v>
      </c>
      <c r="Q8" s="18" t="n">
        <v>7.46032219</v>
      </c>
      <c r="R8" s="20" t="n">
        <v>1.06409005</v>
      </c>
    </row>
    <row r="9" spans="1:18">
      <c r="A9" s="15" t="s">
        <v>351</v>
      </c>
      <c r="B9" s="17" t="n">
        <v>9651</v>
      </c>
      <c r="C9" s="18">
        <f>(8502.0/B9*100)</f>
        <v/>
      </c>
      <c r="D9" s="19" t="n">
        <v>1149</v>
      </c>
      <c r="E9" s="18" t="n">
        <v>54.40734233</v>
      </c>
      <c r="F9" s="20" t="n">
        <v>1.5116673</v>
      </c>
      <c r="G9" s="18" t="n">
        <v>38.4343841</v>
      </c>
      <c r="H9" s="20" t="n">
        <v>1.53752599</v>
      </c>
      <c r="I9" s="18" t="s">
        <v>349</v>
      </c>
      <c r="J9" s="20" t="s">
        <v>349</v>
      </c>
      <c r="K9" s="18" t="n">
        <v>1.11115041</v>
      </c>
      <c r="L9" s="20" t="n">
        <v>0.41471914</v>
      </c>
      <c r="M9" s="18" t="n">
        <v>0.55463997</v>
      </c>
      <c r="N9" s="20" t="n">
        <v>0.21893942</v>
      </c>
      <c r="O9" s="18" t="n">
        <v>0</v>
      </c>
      <c r="P9" s="20" t="n">
        <v>0</v>
      </c>
      <c r="Q9" s="18" t="n">
        <v>5.4924832</v>
      </c>
      <c r="R9" s="20" t="n">
        <v>0.83823666</v>
      </c>
    </row>
    <row r="10" spans="1:18">
      <c r="A10" s="15" t="s">
        <v>352</v>
      </c>
      <c r="B10" s="17" t="n">
        <v>20058</v>
      </c>
      <c r="C10" s="18">
        <f>(17572.0/B10*100)</f>
        <v/>
      </c>
      <c r="D10" s="19" t="n">
        <v>2486</v>
      </c>
      <c r="E10" s="18" t="n">
        <v>60.82767565</v>
      </c>
      <c r="F10" s="20" t="n">
        <v>1.38609487</v>
      </c>
      <c r="G10" s="18" t="n">
        <v>36.54175228</v>
      </c>
      <c r="H10" s="20" t="n">
        <v>1.41474707</v>
      </c>
      <c r="I10" s="18" t="s">
        <v>349</v>
      </c>
      <c r="J10" s="20" t="s">
        <v>349</v>
      </c>
      <c r="K10" s="18" t="n">
        <v>0.44904317</v>
      </c>
      <c r="L10" s="20" t="n">
        <v>0.15277123</v>
      </c>
      <c r="M10" s="18" t="n">
        <v>0.0943867</v>
      </c>
      <c r="N10" s="20" t="n">
        <v>0.05752657</v>
      </c>
      <c r="O10" s="18" t="n">
        <v>0</v>
      </c>
      <c r="P10" s="20" t="n">
        <v>0</v>
      </c>
      <c r="Q10" s="18" t="n">
        <v>2.0871422</v>
      </c>
      <c r="R10" s="20" t="n">
        <v>0.41806962</v>
      </c>
    </row>
    <row r="11" spans="1:18">
      <c r="A11" s="15" t="s">
        <v>353</v>
      </c>
      <c r="B11" s="17" t="n">
        <v>7053</v>
      </c>
      <c r="C11" s="18">
        <f>(6231.0/B11*100)</f>
        <v/>
      </c>
      <c r="D11" s="19" t="n">
        <v>822</v>
      </c>
      <c r="E11" s="18" t="n">
        <v>71.85546791</v>
      </c>
      <c r="F11" s="20" t="n">
        <v>1.91254758</v>
      </c>
      <c r="G11" s="18" t="n">
        <v>10.95538976</v>
      </c>
      <c r="H11" s="20" t="n">
        <v>1.30404798</v>
      </c>
      <c r="I11" s="18" t="s">
        <v>349</v>
      </c>
      <c r="J11" s="20" t="s">
        <v>349</v>
      </c>
      <c r="K11" s="18" t="n">
        <v>1.87150029</v>
      </c>
      <c r="L11" s="20" t="n">
        <v>0.39671475</v>
      </c>
      <c r="M11" s="18" t="n">
        <v>0</v>
      </c>
      <c r="N11" s="20" t="n">
        <v>0</v>
      </c>
      <c r="O11" s="18" t="n">
        <v>0</v>
      </c>
      <c r="P11" s="20" t="n">
        <v>0</v>
      </c>
      <c r="Q11" s="18" t="n">
        <v>15.31764205</v>
      </c>
      <c r="R11" s="20" t="n">
        <v>1.72472933</v>
      </c>
    </row>
    <row r="12" spans="1:18">
      <c r="A12" s="15" t="s">
        <v>354</v>
      </c>
      <c r="B12" s="17" t="n">
        <v>6894</v>
      </c>
      <c r="C12" s="18">
        <f>(6084.0/B12*100)</f>
        <v/>
      </c>
      <c r="D12" s="19" t="n">
        <v>810</v>
      </c>
      <c r="E12" s="18" t="n">
        <v>62.14907549</v>
      </c>
      <c r="F12" s="20" t="n">
        <v>1.77711492</v>
      </c>
      <c r="G12" s="18" t="n">
        <v>30.78893713</v>
      </c>
      <c r="H12" s="20" t="n">
        <v>1.57533333</v>
      </c>
      <c r="I12" s="18" t="s">
        <v>349</v>
      </c>
      <c r="J12" s="20" t="s">
        <v>349</v>
      </c>
      <c r="K12" s="18" t="n">
        <v>0.35396849</v>
      </c>
      <c r="L12" s="20" t="n">
        <v>0.22627585</v>
      </c>
      <c r="M12" s="18" t="n">
        <v>0.05539466</v>
      </c>
      <c r="N12" s="20" t="n">
        <v>0.05680304</v>
      </c>
      <c r="O12" s="18" t="n">
        <v>0</v>
      </c>
      <c r="P12" s="20" t="n">
        <v>0</v>
      </c>
      <c r="Q12" s="18" t="n">
        <v>6.65262424</v>
      </c>
      <c r="R12" s="20" t="n">
        <v>1.09506103</v>
      </c>
    </row>
    <row r="13" spans="1:18">
      <c r="A13" s="15" t="s">
        <v>355</v>
      </c>
      <c r="B13" s="17" t="n">
        <v>7161</v>
      </c>
      <c r="C13" s="18">
        <f>(6329.0/B13*100)</f>
        <v/>
      </c>
      <c r="D13" s="19" t="n">
        <v>832</v>
      </c>
      <c r="E13" s="18" t="n">
        <v>47.24655528</v>
      </c>
      <c r="F13" s="20" t="n">
        <v>1.86739602</v>
      </c>
      <c r="G13" s="18" t="n">
        <v>47.58790498</v>
      </c>
      <c r="H13" s="20" t="n">
        <v>1.9438268</v>
      </c>
      <c r="I13" s="18" t="s">
        <v>349</v>
      </c>
      <c r="J13" s="20" t="s">
        <v>349</v>
      </c>
      <c r="K13" s="18" t="n">
        <v>0.66064839</v>
      </c>
      <c r="L13" s="20" t="n">
        <v>0.29165688</v>
      </c>
      <c r="M13" s="18" t="n">
        <v>0.11144213</v>
      </c>
      <c r="N13" s="20" t="n">
        <v>0.11234752</v>
      </c>
      <c r="O13" s="18" t="n">
        <v>0</v>
      </c>
      <c r="P13" s="20" t="n">
        <v>0</v>
      </c>
      <c r="Q13" s="18" t="n">
        <v>4.39344922</v>
      </c>
      <c r="R13" s="20" t="n">
        <v>0.75933552</v>
      </c>
    </row>
    <row r="14" spans="1:18">
      <c r="A14" s="15" t="s">
        <v>356</v>
      </c>
      <c r="B14" s="17" t="n">
        <v>5587</v>
      </c>
      <c r="C14" s="18">
        <f>(4909.0/B14*100)</f>
        <v/>
      </c>
      <c r="D14" s="19" t="n">
        <v>678</v>
      </c>
      <c r="E14" s="18" t="n">
        <v>50.27442464</v>
      </c>
      <c r="F14" s="20" t="n">
        <v>2.21412122</v>
      </c>
      <c r="G14" s="18" t="n">
        <v>43.28217215</v>
      </c>
      <c r="H14" s="20" t="n">
        <v>1.94965976</v>
      </c>
      <c r="I14" s="18" t="s">
        <v>349</v>
      </c>
      <c r="J14" s="20" t="s">
        <v>349</v>
      </c>
      <c r="K14" s="18" t="n">
        <v>0.36453988</v>
      </c>
      <c r="L14" s="20" t="n">
        <v>0.27803636</v>
      </c>
      <c r="M14" s="18" t="n">
        <v>0</v>
      </c>
      <c r="N14" s="20" t="n">
        <v>0</v>
      </c>
      <c r="O14" s="18" t="n">
        <v>0</v>
      </c>
      <c r="P14" s="20" t="n">
        <v>0</v>
      </c>
      <c r="Q14" s="18" t="n">
        <v>6.07886333</v>
      </c>
      <c r="R14" s="20" t="n">
        <v>1.11083497</v>
      </c>
    </row>
    <row r="15" spans="1:18">
      <c r="A15" s="15" t="s">
        <v>357</v>
      </c>
      <c r="B15" s="17" t="n">
        <v>5882</v>
      </c>
      <c r="C15" s="18">
        <f>(5168.0/B15*100)</f>
        <v/>
      </c>
      <c r="D15" s="19" t="n">
        <v>714</v>
      </c>
      <c r="E15" s="18" t="n">
        <v>49.97813189</v>
      </c>
      <c r="F15" s="20" t="n">
        <v>1.83512359</v>
      </c>
      <c r="G15" s="18" t="n">
        <v>45.45121192</v>
      </c>
      <c r="H15" s="20" t="n">
        <v>1.85666172</v>
      </c>
      <c r="I15" s="18" t="s">
        <v>349</v>
      </c>
      <c r="J15" s="20" t="s">
        <v>349</v>
      </c>
      <c r="K15" s="18" t="n">
        <v>0.85997834</v>
      </c>
      <c r="L15" s="20" t="n">
        <v>0.35424528</v>
      </c>
      <c r="M15" s="18" t="n">
        <v>0</v>
      </c>
      <c r="N15" s="20" t="n">
        <v>0</v>
      </c>
      <c r="O15" s="18" t="n">
        <v>0</v>
      </c>
      <c r="P15" s="20" t="n">
        <v>0</v>
      </c>
      <c r="Q15" s="18" t="n">
        <v>3.71067786</v>
      </c>
      <c r="R15" s="20" t="n">
        <v>0.68811415</v>
      </c>
    </row>
    <row r="16" spans="1:18">
      <c r="A16" s="15" t="s">
        <v>358</v>
      </c>
      <c r="B16" s="17" t="n">
        <v>6108</v>
      </c>
      <c r="C16" s="18">
        <f>(5385.0/B16*100)</f>
        <v/>
      </c>
      <c r="D16" s="19" t="n">
        <v>723</v>
      </c>
      <c r="E16" s="18" t="n">
        <v>52.72732378</v>
      </c>
      <c r="F16" s="20" t="n">
        <v>1.79751627</v>
      </c>
      <c r="G16" s="18" t="n">
        <v>37.92687115</v>
      </c>
      <c r="H16" s="20" t="n">
        <v>1.87583002</v>
      </c>
      <c r="I16" s="18" t="s">
        <v>349</v>
      </c>
      <c r="J16" s="20" t="s">
        <v>349</v>
      </c>
      <c r="K16" s="18" t="n">
        <v>1.96281081</v>
      </c>
      <c r="L16" s="20" t="n">
        <v>0.57630105</v>
      </c>
      <c r="M16" s="18" t="n">
        <v>0</v>
      </c>
      <c r="N16" s="20" t="n">
        <v>0</v>
      </c>
      <c r="O16" s="18" t="n">
        <v>0</v>
      </c>
      <c r="P16" s="20" t="n">
        <v>0</v>
      </c>
      <c r="Q16" s="18" t="n">
        <v>7.38299426</v>
      </c>
      <c r="R16" s="20" t="n">
        <v>1.09810795</v>
      </c>
    </row>
    <row r="17" spans="1:18">
      <c r="A17" s="15" t="s">
        <v>359</v>
      </c>
      <c r="B17" s="17" t="n">
        <v>6504</v>
      </c>
      <c r="C17" s="18">
        <f>(5746.0/B17*100)</f>
        <v/>
      </c>
      <c r="D17" s="19" t="n">
        <v>758</v>
      </c>
      <c r="E17" s="18" t="n">
        <v>52.57694746</v>
      </c>
      <c r="F17" s="20" t="n">
        <v>2.23653653</v>
      </c>
      <c r="G17" s="18" t="n">
        <v>41.35304649</v>
      </c>
      <c r="H17" s="20" t="n">
        <v>2.20080486</v>
      </c>
      <c r="I17" s="18" t="s">
        <v>349</v>
      </c>
      <c r="J17" s="20" t="s">
        <v>349</v>
      </c>
      <c r="K17" s="18" t="n">
        <v>0.35639107</v>
      </c>
      <c r="L17" s="20" t="n">
        <v>0.23681488</v>
      </c>
      <c r="M17" s="18" t="n">
        <v>0</v>
      </c>
      <c r="N17" s="20" t="n">
        <v>0</v>
      </c>
      <c r="O17" s="18" t="n">
        <v>0</v>
      </c>
      <c r="P17" s="20" t="n">
        <v>0</v>
      </c>
      <c r="Q17" s="18" t="n">
        <v>5.71361497</v>
      </c>
      <c r="R17" s="20" t="n">
        <v>0.78293423</v>
      </c>
    </row>
    <row r="18" spans="1:18">
      <c r="A18" s="15" t="s">
        <v>360</v>
      </c>
      <c r="B18" s="17" t="n">
        <v>5532</v>
      </c>
      <c r="C18" s="18">
        <f>(4864.0/B18*100)</f>
        <v/>
      </c>
      <c r="D18" s="19" t="n">
        <v>668</v>
      </c>
      <c r="E18" s="18" t="n">
        <v>58.05459099</v>
      </c>
      <c r="F18" s="20" t="n">
        <v>2.08168359</v>
      </c>
      <c r="G18" s="18" t="n">
        <v>31.65449797</v>
      </c>
      <c r="H18" s="20" t="n">
        <v>2.33135117</v>
      </c>
      <c r="I18" s="18" t="s">
        <v>349</v>
      </c>
      <c r="J18" s="20" t="s">
        <v>349</v>
      </c>
      <c r="K18" s="18" t="n">
        <v>1.44859304</v>
      </c>
      <c r="L18" s="20" t="n">
        <v>0.52032544</v>
      </c>
      <c r="M18" s="18" t="n">
        <v>0.08956591999999999</v>
      </c>
      <c r="N18" s="20" t="n">
        <v>0.08973884</v>
      </c>
      <c r="O18" s="18" t="n">
        <v>0</v>
      </c>
      <c r="P18" s="20" t="n">
        <v>0</v>
      </c>
      <c r="Q18" s="18" t="n">
        <v>8.75275208</v>
      </c>
      <c r="R18" s="20" t="n">
        <v>1.32209885</v>
      </c>
    </row>
    <row r="19" spans="1:18">
      <c r="A19" s="15" t="s">
        <v>361</v>
      </c>
      <c r="B19" s="17" t="n">
        <v>5658</v>
      </c>
      <c r="C19" s="18">
        <f>(4988.0/B19*100)</f>
        <v/>
      </c>
      <c r="D19" s="19" t="n">
        <v>670</v>
      </c>
      <c r="E19" s="18" t="n">
        <v>52.48117212</v>
      </c>
      <c r="F19" s="20" t="n">
        <v>1.90969465</v>
      </c>
      <c r="G19" s="18" t="n">
        <v>34.29556487</v>
      </c>
      <c r="H19" s="20" t="n">
        <v>1.79493686</v>
      </c>
      <c r="I19" s="18" t="s">
        <v>349</v>
      </c>
      <c r="J19" s="20" t="s">
        <v>349</v>
      </c>
      <c r="K19" s="18" t="n">
        <v>0.69010667</v>
      </c>
      <c r="L19" s="20" t="n">
        <v>0.27488585</v>
      </c>
      <c r="M19" s="18" t="n">
        <v>0</v>
      </c>
      <c r="N19" s="20" t="n">
        <v>0</v>
      </c>
      <c r="O19" s="18" t="n">
        <v>0</v>
      </c>
      <c r="P19" s="20" t="n">
        <v>0</v>
      </c>
      <c r="Q19" s="18" t="n">
        <v>12.53315635</v>
      </c>
      <c r="R19" s="20" t="n">
        <v>1.55757374</v>
      </c>
    </row>
    <row r="20" spans="1:18">
      <c r="A20" s="15" t="s">
        <v>362</v>
      </c>
      <c r="B20" s="17" t="n">
        <v>3371</v>
      </c>
      <c r="C20" s="18">
        <f>(2968.0/B20*100)</f>
        <v/>
      </c>
      <c r="D20" s="19" t="n">
        <v>403</v>
      </c>
      <c r="E20" s="18" t="n">
        <v>57.61621334</v>
      </c>
      <c r="F20" s="20" t="n">
        <v>2.38875716</v>
      </c>
      <c r="G20" s="18" t="n">
        <v>28.08401095</v>
      </c>
      <c r="H20" s="20" t="n">
        <v>2.2546473</v>
      </c>
      <c r="I20" s="18" t="s">
        <v>349</v>
      </c>
      <c r="J20" s="20" t="s">
        <v>349</v>
      </c>
      <c r="K20" s="18" t="n">
        <v>2.11307323</v>
      </c>
      <c r="L20" s="20" t="n">
        <v>0.7427085</v>
      </c>
      <c r="M20" s="18" t="n">
        <v>0</v>
      </c>
      <c r="N20" s="20" t="n">
        <v>0</v>
      </c>
      <c r="O20" s="18" t="n">
        <v>0</v>
      </c>
      <c r="P20" s="20" t="n">
        <v>0</v>
      </c>
      <c r="Q20" s="18" t="n">
        <v>12.18670248</v>
      </c>
      <c r="R20" s="20" t="n">
        <v>1.68943464</v>
      </c>
    </row>
    <row r="21" spans="1:18">
      <c r="A21" s="15" t="s">
        <v>363</v>
      </c>
      <c r="B21" s="17" t="n">
        <v>5741</v>
      </c>
      <c r="C21" s="18">
        <f>(4779.0/B21*100)</f>
        <v/>
      </c>
      <c r="D21" s="19" t="n">
        <v>962</v>
      </c>
      <c r="E21" s="18" t="n">
        <v>71.17774042000001</v>
      </c>
      <c r="F21" s="20" t="n">
        <v>1.59186313</v>
      </c>
      <c r="G21" s="18" t="n">
        <v>27.11992232</v>
      </c>
      <c r="H21" s="20" t="n">
        <v>1.53773994</v>
      </c>
      <c r="I21" s="18" t="s">
        <v>349</v>
      </c>
      <c r="J21" s="20" t="s">
        <v>349</v>
      </c>
      <c r="K21" s="18" t="n">
        <v>0.33575176</v>
      </c>
      <c r="L21" s="20" t="n">
        <v>0.15515816</v>
      </c>
      <c r="M21" s="18" t="n">
        <v>0</v>
      </c>
      <c r="N21" s="20" t="n">
        <v>0</v>
      </c>
      <c r="O21" s="18" t="n">
        <v>0</v>
      </c>
      <c r="P21" s="20" t="n">
        <v>0</v>
      </c>
      <c r="Q21" s="18" t="n">
        <v>1.3665855</v>
      </c>
      <c r="R21" s="20" t="n">
        <v>0.35755665</v>
      </c>
    </row>
    <row r="22" spans="1:18">
      <c r="A22" s="15" t="s">
        <v>364</v>
      </c>
      <c r="B22" s="17" t="n">
        <v>6598</v>
      </c>
      <c r="C22" s="18">
        <f>(5765.0/B22*100)</f>
        <v/>
      </c>
      <c r="D22" s="19" t="n">
        <v>833</v>
      </c>
      <c r="E22" s="18" t="n">
        <v>50.08162807</v>
      </c>
      <c r="F22" s="20" t="n">
        <v>1.97303808</v>
      </c>
      <c r="G22" s="18" t="n">
        <v>31.4320996</v>
      </c>
      <c r="H22" s="20" t="n">
        <v>1.67021914</v>
      </c>
      <c r="I22" s="18" t="s">
        <v>349</v>
      </c>
      <c r="J22" s="20" t="s">
        <v>349</v>
      </c>
      <c r="K22" s="18" t="n">
        <v>2.4113867</v>
      </c>
      <c r="L22" s="20" t="n">
        <v>0.57734022</v>
      </c>
      <c r="M22" s="18" t="n">
        <v>0.185892</v>
      </c>
      <c r="N22" s="20" t="n">
        <v>0.18484934</v>
      </c>
      <c r="O22" s="18" t="n">
        <v>0</v>
      </c>
      <c r="P22" s="20" t="n">
        <v>0</v>
      </c>
      <c r="Q22" s="18" t="n">
        <v>15.88899364</v>
      </c>
      <c r="R22" s="20" t="n">
        <v>1.52008216</v>
      </c>
    </row>
    <row r="23" spans="1:18">
      <c r="A23" s="15" t="s">
        <v>365</v>
      </c>
      <c r="B23" s="17" t="n">
        <v>11583</v>
      </c>
      <c r="C23" s="18">
        <f>(10153.0/B23*100)</f>
        <v/>
      </c>
      <c r="D23" s="19" t="n">
        <v>1430</v>
      </c>
      <c r="E23" s="18" t="n">
        <v>49.7258388</v>
      </c>
      <c r="F23" s="20" t="n">
        <v>1.81214804</v>
      </c>
      <c r="G23" s="18" t="n">
        <v>39.25132443</v>
      </c>
      <c r="H23" s="20" t="n">
        <v>1.70282321</v>
      </c>
      <c r="I23" s="18" t="s">
        <v>349</v>
      </c>
      <c r="J23" s="20" t="s">
        <v>349</v>
      </c>
      <c r="K23" s="18" t="n">
        <v>1.69333925</v>
      </c>
      <c r="L23" s="20" t="n">
        <v>0.651359</v>
      </c>
      <c r="M23" s="18" t="n">
        <v>0.40775998</v>
      </c>
      <c r="N23" s="20" t="n">
        <v>0.10396356</v>
      </c>
      <c r="O23" s="18" t="n">
        <v>0</v>
      </c>
      <c r="P23" s="20" t="n">
        <v>0</v>
      </c>
      <c r="Q23" s="18" t="n">
        <v>8.92173755</v>
      </c>
      <c r="R23" s="20" t="n">
        <v>1.25218198</v>
      </c>
    </row>
    <row r="24" spans="1:18">
      <c r="A24" s="15" t="s">
        <v>366</v>
      </c>
      <c r="B24" s="17" t="n">
        <v>6647</v>
      </c>
      <c r="C24" s="18">
        <f>(5850.0/B24*100)</f>
        <v/>
      </c>
      <c r="D24" s="19" t="n">
        <v>797</v>
      </c>
      <c r="E24" s="18" t="n">
        <v>58.15486507</v>
      </c>
      <c r="F24" s="20" t="n">
        <v>1.75149319</v>
      </c>
      <c r="G24" s="18" t="n">
        <v>36.57244058</v>
      </c>
      <c r="H24" s="20" t="n">
        <v>1.80413189</v>
      </c>
      <c r="I24" s="18" t="s">
        <v>349</v>
      </c>
      <c r="J24" s="20" t="s">
        <v>349</v>
      </c>
      <c r="K24" s="18" t="n">
        <v>0.08946802</v>
      </c>
      <c r="L24" s="20" t="n">
        <v>0.08962617000000001</v>
      </c>
      <c r="M24" s="18" t="n">
        <v>0</v>
      </c>
      <c r="N24" s="20" t="n">
        <v>0</v>
      </c>
      <c r="O24" s="18" t="n">
        <v>0</v>
      </c>
      <c r="P24" s="20" t="n">
        <v>0</v>
      </c>
      <c r="Q24" s="18" t="n">
        <v>5.18322633</v>
      </c>
      <c r="R24" s="20" t="n">
        <v>0.88313989</v>
      </c>
    </row>
    <row r="25" spans="1:18">
      <c r="A25" s="15" t="s">
        <v>367</v>
      </c>
      <c r="B25" s="17" t="n">
        <v>5581</v>
      </c>
      <c r="C25" s="18">
        <f>(4882.0/B25*100)</f>
        <v/>
      </c>
      <c r="D25" s="19" t="n">
        <v>699</v>
      </c>
      <c r="E25" s="18" t="n">
        <v>44.69083375</v>
      </c>
      <c r="F25" s="20" t="n">
        <v>1.94282542</v>
      </c>
      <c r="G25" s="18" t="n">
        <v>46.18401825</v>
      </c>
      <c r="H25" s="20" t="n">
        <v>2.09858863</v>
      </c>
      <c r="I25" s="18" t="s">
        <v>349</v>
      </c>
      <c r="J25" s="20" t="s">
        <v>349</v>
      </c>
      <c r="K25" s="18" t="n">
        <v>1.29976738</v>
      </c>
      <c r="L25" s="20" t="n">
        <v>0.44759233</v>
      </c>
      <c r="M25" s="18" t="n">
        <v>0</v>
      </c>
      <c r="N25" s="20" t="n">
        <v>0</v>
      </c>
      <c r="O25" s="18" t="n">
        <v>0</v>
      </c>
      <c r="P25" s="20" t="n">
        <v>0</v>
      </c>
      <c r="Q25" s="18" t="n">
        <v>7.82538062</v>
      </c>
      <c r="R25" s="20" t="n">
        <v>0.97672342</v>
      </c>
    </row>
    <row r="26" spans="1:18">
      <c r="A26" s="15" t="s">
        <v>368</v>
      </c>
      <c r="B26" s="17" t="n">
        <v>4869</v>
      </c>
      <c r="C26" s="18">
        <f>(4268.0/B26*100)</f>
        <v/>
      </c>
      <c r="D26" s="19" t="n">
        <v>601</v>
      </c>
      <c r="E26" s="18" t="n">
        <v>64.99566611</v>
      </c>
      <c r="F26" s="20" t="n">
        <v>2.22081693</v>
      </c>
      <c r="G26" s="18" t="n">
        <v>29.50395364</v>
      </c>
      <c r="H26" s="20" t="n">
        <v>2.18115878</v>
      </c>
      <c r="I26" s="18" t="s">
        <v>349</v>
      </c>
      <c r="J26" s="20" t="s">
        <v>349</v>
      </c>
      <c r="K26" s="18" t="n">
        <v>0.5270641700000001</v>
      </c>
      <c r="L26" s="20" t="n">
        <v>0.26838781</v>
      </c>
      <c r="M26" s="18" t="n">
        <v>0.12447305</v>
      </c>
      <c r="N26" s="20" t="n">
        <v>0.12511694</v>
      </c>
      <c r="O26" s="18" t="n">
        <v>0</v>
      </c>
      <c r="P26" s="20" t="n">
        <v>0</v>
      </c>
      <c r="Q26" s="18" t="n">
        <v>4.84884302</v>
      </c>
      <c r="R26" s="20" t="n">
        <v>0.9516231000000001</v>
      </c>
    </row>
    <row r="27" spans="1:18">
      <c r="A27" s="15" t="s">
        <v>369</v>
      </c>
      <c r="B27" s="17" t="n">
        <v>5299</v>
      </c>
      <c r="C27" s="18">
        <f>(4662.0/B27*100)</f>
        <v/>
      </c>
      <c r="D27" s="19" t="n">
        <v>637</v>
      </c>
      <c r="E27" s="18" t="n">
        <v>58.45164213</v>
      </c>
      <c r="F27" s="20" t="n">
        <v>1.88478836</v>
      </c>
      <c r="G27" s="18" t="n">
        <v>32.78682081</v>
      </c>
      <c r="H27" s="20" t="n">
        <v>1.75296742</v>
      </c>
      <c r="I27" s="18" t="s">
        <v>349</v>
      </c>
      <c r="J27" s="20" t="s">
        <v>349</v>
      </c>
      <c r="K27" s="18" t="n">
        <v>0.95949665</v>
      </c>
      <c r="L27" s="20" t="n">
        <v>0.32167519</v>
      </c>
      <c r="M27" s="18" t="n">
        <v>0</v>
      </c>
      <c r="N27" s="20" t="n">
        <v>0</v>
      </c>
      <c r="O27" s="18" t="n">
        <v>0</v>
      </c>
      <c r="P27" s="20" t="n">
        <v>0</v>
      </c>
      <c r="Q27" s="18" t="n">
        <v>7.80204041</v>
      </c>
      <c r="R27" s="20" t="n">
        <v>0.94622325</v>
      </c>
    </row>
    <row r="28" spans="1:18">
      <c r="A28" s="15" t="s">
        <v>370</v>
      </c>
      <c r="B28" s="17" t="n">
        <v>7568</v>
      </c>
      <c r="C28" s="18">
        <f>(6689.0/B28*100)</f>
        <v/>
      </c>
      <c r="D28" s="19" t="n">
        <v>879</v>
      </c>
      <c r="E28" s="18" t="n">
        <v>89.78252214</v>
      </c>
      <c r="F28" s="20" t="n">
        <v>1.1537068</v>
      </c>
      <c r="G28" s="18" t="n">
        <v>4.65060856</v>
      </c>
      <c r="H28" s="20" t="n">
        <v>0.72359136</v>
      </c>
      <c r="I28" s="18" t="s">
        <v>349</v>
      </c>
      <c r="J28" s="20" t="s">
        <v>349</v>
      </c>
      <c r="K28" s="18" t="n">
        <v>1.20701755</v>
      </c>
      <c r="L28" s="20" t="n">
        <v>0.47001018</v>
      </c>
      <c r="M28" s="18" t="n">
        <v>0.18102047</v>
      </c>
      <c r="N28" s="20" t="n">
        <v>0.18152134</v>
      </c>
      <c r="O28" s="18" t="n">
        <v>0</v>
      </c>
      <c r="P28" s="20" t="n">
        <v>0</v>
      </c>
      <c r="Q28" s="18" t="n">
        <v>4.17883128</v>
      </c>
      <c r="R28" s="20" t="n">
        <v>0.75129144</v>
      </c>
    </row>
    <row r="29" spans="1:18">
      <c r="A29" s="15" t="s">
        <v>371</v>
      </c>
      <c r="B29" s="17" t="n">
        <v>5385</v>
      </c>
      <c r="C29" s="18">
        <f>(4720.0/B29*100)</f>
        <v/>
      </c>
      <c r="D29" s="19" t="n">
        <v>665</v>
      </c>
      <c r="E29" s="18" t="n">
        <v>55.85638681</v>
      </c>
      <c r="F29" s="20" t="n">
        <v>1.93815824</v>
      </c>
      <c r="G29" s="18" t="n">
        <v>40.09661969</v>
      </c>
      <c r="H29" s="20" t="n">
        <v>1.88706168</v>
      </c>
      <c r="I29" s="18" t="s">
        <v>349</v>
      </c>
      <c r="J29" s="20" t="s">
        <v>349</v>
      </c>
      <c r="K29" s="18" t="n">
        <v>0.50909923</v>
      </c>
      <c r="L29" s="20" t="n">
        <v>0.28286444</v>
      </c>
      <c r="M29" s="18" t="n">
        <v>0</v>
      </c>
      <c r="N29" s="20" t="n">
        <v>0</v>
      </c>
      <c r="O29" s="18" t="n">
        <v>0</v>
      </c>
      <c r="P29" s="20" t="n">
        <v>0</v>
      </c>
      <c r="Q29" s="18" t="n">
        <v>3.53789426</v>
      </c>
      <c r="R29" s="20" t="n">
        <v>0.84027942</v>
      </c>
    </row>
    <row r="30" spans="1:18">
      <c r="A30" s="15" t="s">
        <v>372</v>
      </c>
      <c r="B30" s="17" t="n">
        <v>4520</v>
      </c>
      <c r="C30" s="18">
        <f>(3965.0/B30*100)</f>
        <v/>
      </c>
      <c r="D30" s="19" t="n">
        <v>555</v>
      </c>
      <c r="E30" s="18" t="n">
        <v>61.50480283</v>
      </c>
      <c r="F30" s="20" t="n">
        <v>1.99822277</v>
      </c>
      <c r="G30" s="18" t="n">
        <v>32.98097219</v>
      </c>
      <c r="H30" s="20" t="n">
        <v>1.79283658</v>
      </c>
      <c r="I30" s="18" t="s">
        <v>349</v>
      </c>
      <c r="J30" s="20" t="s">
        <v>349</v>
      </c>
      <c r="K30" s="18" t="n">
        <v>1.05912992</v>
      </c>
      <c r="L30" s="20" t="n">
        <v>0.49084368</v>
      </c>
      <c r="M30" s="18" t="n">
        <v>0.16259727</v>
      </c>
      <c r="N30" s="20" t="n">
        <v>0.16537133</v>
      </c>
      <c r="O30" s="18" t="n">
        <v>0</v>
      </c>
      <c r="P30" s="20" t="n">
        <v>0</v>
      </c>
      <c r="Q30" s="18" t="n">
        <v>4.29249779</v>
      </c>
      <c r="R30" s="20" t="n">
        <v>0.78828413</v>
      </c>
    </row>
    <row r="31" spans="1:18">
      <c r="A31" s="15" t="s">
        <v>373</v>
      </c>
      <c r="B31" s="17" t="n">
        <v>5456</v>
      </c>
      <c r="C31" s="18">
        <f>(4812.0/B31*100)</f>
        <v/>
      </c>
      <c r="D31" s="19" t="n">
        <v>644</v>
      </c>
      <c r="E31" s="18" t="n">
        <v>49.10529465</v>
      </c>
      <c r="F31" s="20" t="n">
        <v>2.10763288</v>
      </c>
      <c r="G31" s="18" t="n">
        <v>41.86878629</v>
      </c>
      <c r="H31" s="20" t="n">
        <v>2.01639793</v>
      </c>
      <c r="I31" s="18" t="s">
        <v>349</v>
      </c>
      <c r="J31" s="20" t="s">
        <v>349</v>
      </c>
      <c r="K31" s="18" t="n">
        <v>1.85051072</v>
      </c>
      <c r="L31" s="20" t="n">
        <v>0.46537273</v>
      </c>
      <c r="M31" s="18" t="n">
        <v>0</v>
      </c>
      <c r="N31" s="20" t="n">
        <v>0</v>
      </c>
      <c r="O31" s="18" t="n">
        <v>0</v>
      </c>
      <c r="P31" s="20" t="n">
        <v>0</v>
      </c>
      <c r="Q31" s="18" t="n">
        <v>7.17540834</v>
      </c>
      <c r="R31" s="20" t="n">
        <v>0.93230209</v>
      </c>
    </row>
    <row r="32" spans="1:18">
      <c r="A32" s="15" t="s">
        <v>374</v>
      </c>
      <c r="B32" s="17" t="n">
        <v>4478</v>
      </c>
      <c r="C32" s="18">
        <f>(3741.0/B32*100)</f>
        <v/>
      </c>
      <c r="D32" s="19" t="n">
        <v>737</v>
      </c>
      <c r="E32" s="18" t="n">
        <v>55.20987622</v>
      </c>
      <c r="F32" s="20" t="n">
        <v>2.21738582</v>
      </c>
      <c r="G32" s="18" t="n">
        <v>38.81061581</v>
      </c>
      <c r="H32" s="20" t="n">
        <v>2.21602113</v>
      </c>
      <c r="I32" s="18" t="s">
        <v>349</v>
      </c>
      <c r="J32" s="20" t="s">
        <v>349</v>
      </c>
      <c r="K32" s="18" t="n">
        <v>0.52333687</v>
      </c>
      <c r="L32" s="20" t="n">
        <v>0.25116048</v>
      </c>
      <c r="M32" s="18" t="n">
        <v>0</v>
      </c>
      <c r="N32" s="20" t="n">
        <v>0</v>
      </c>
      <c r="O32" s="18" t="n">
        <v>0</v>
      </c>
      <c r="P32" s="20" t="n">
        <v>0</v>
      </c>
      <c r="Q32" s="18" t="n">
        <v>5.45617109</v>
      </c>
      <c r="R32" s="20" t="n">
        <v>0.85197053</v>
      </c>
    </row>
    <row r="33" spans="1:18">
      <c r="A33" s="15" t="s">
        <v>375</v>
      </c>
      <c r="B33" s="17" t="n">
        <v>7325</v>
      </c>
      <c r="C33" s="18">
        <f>(6458.0/B33*100)</f>
        <v/>
      </c>
      <c r="D33" s="19" t="n">
        <v>867</v>
      </c>
      <c r="E33" s="18" t="n">
        <v>60.19280325</v>
      </c>
      <c r="F33" s="20" t="n">
        <v>1.7104792</v>
      </c>
      <c r="G33" s="18" t="n">
        <v>29.9765291</v>
      </c>
      <c r="H33" s="20" t="n">
        <v>1.86619069</v>
      </c>
      <c r="I33" s="18" t="s">
        <v>349</v>
      </c>
      <c r="J33" s="20" t="s">
        <v>349</v>
      </c>
      <c r="K33" s="18" t="n">
        <v>0.89417312</v>
      </c>
      <c r="L33" s="20" t="n">
        <v>0.45326623</v>
      </c>
      <c r="M33" s="18" t="n">
        <v>0</v>
      </c>
      <c r="N33" s="20" t="n">
        <v>0</v>
      </c>
      <c r="O33" s="18" t="n">
        <v>0</v>
      </c>
      <c r="P33" s="20" t="n">
        <v>0</v>
      </c>
      <c r="Q33" s="18" t="n">
        <v>8.936494529999999</v>
      </c>
      <c r="R33" s="20" t="n">
        <v>1.14598129</v>
      </c>
    </row>
    <row r="34" spans="1:18">
      <c r="A34" s="15" t="s">
        <v>376</v>
      </c>
      <c r="B34" s="17" t="n">
        <v>6350</v>
      </c>
      <c r="C34" s="18">
        <f>(5593.0/B34*100)</f>
        <v/>
      </c>
      <c r="D34" s="19" t="n">
        <v>757</v>
      </c>
      <c r="E34" s="18" t="n">
        <v>67.42759014000001</v>
      </c>
      <c r="F34" s="20" t="n">
        <v>1.96467579</v>
      </c>
      <c r="G34" s="18" t="n">
        <v>23.71946504</v>
      </c>
      <c r="H34" s="20" t="n">
        <v>1.55695164</v>
      </c>
      <c r="I34" s="18" t="s">
        <v>349</v>
      </c>
      <c r="J34" s="20" t="s">
        <v>349</v>
      </c>
      <c r="K34" s="18" t="n">
        <v>0.95528707</v>
      </c>
      <c r="L34" s="20" t="n">
        <v>0.37550875</v>
      </c>
      <c r="M34" s="18" t="n">
        <v>0.08493742999999999</v>
      </c>
      <c r="N34" s="20" t="n">
        <v>0.08554183</v>
      </c>
      <c r="O34" s="18" t="n">
        <v>0</v>
      </c>
      <c r="P34" s="20" t="n">
        <v>0</v>
      </c>
      <c r="Q34" s="18" t="n">
        <v>7.81272032</v>
      </c>
      <c r="R34" s="20" t="n">
        <v>1.16860348</v>
      </c>
    </row>
    <row r="35" spans="1:18">
      <c r="A35" s="15" t="s">
        <v>377</v>
      </c>
      <c r="B35" s="17" t="n">
        <v>6406</v>
      </c>
      <c r="C35" s="18">
        <f>(5664.0/B35*100)</f>
        <v/>
      </c>
      <c r="D35" s="19" t="n">
        <v>742</v>
      </c>
      <c r="E35" s="18" t="n">
        <v>58.91688715</v>
      </c>
      <c r="F35" s="20" t="n">
        <v>2.27148836</v>
      </c>
      <c r="G35" s="18" t="n">
        <v>35.89063061</v>
      </c>
      <c r="H35" s="20" t="n">
        <v>2.16883246</v>
      </c>
      <c r="I35" s="18" t="s">
        <v>349</v>
      </c>
      <c r="J35" s="20" t="s">
        <v>349</v>
      </c>
      <c r="K35" s="18" t="n">
        <v>0.26565218</v>
      </c>
      <c r="L35" s="20" t="n">
        <v>0.16160415</v>
      </c>
      <c r="M35" s="18" t="n">
        <v>0.60415262</v>
      </c>
      <c r="N35" s="20" t="n">
        <v>0.42242389</v>
      </c>
      <c r="O35" s="18" t="n">
        <v>0</v>
      </c>
      <c r="P35" s="20" t="n">
        <v>0</v>
      </c>
      <c r="Q35" s="18" t="n">
        <v>4.32267744</v>
      </c>
      <c r="R35" s="20" t="n">
        <v>0.90089285</v>
      </c>
    </row>
    <row r="36" spans="1:18">
      <c r="A36" s="15" t="s">
        <v>378</v>
      </c>
      <c r="B36" s="17" t="n">
        <v>6736</v>
      </c>
      <c r="C36" s="18">
        <f>(5910.0/B36*100)</f>
        <v/>
      </c>
      <c r="D36" s="19" t="n">
        <v>826</v>
      </c>
      <c r="E36" s="18" t="n">
        <v>61.75439255</v>
      </c>
      <c r="F36" s="20" t="n">
        <v>1.97231761</v>
      </c>
      <c r="G36" s="18" t="n">
        <v>30.67578802</v>
      </c>
      <c r="H36" s="20" t="n">
        <v>1.70052421</v>
      </c>
      <c r="I36" s="18" t="s">
        <v>349</v>
      </c>
      <c r="J36" s="20" t="s">
        <v>349</v>
      </c>
      <c r="K36" s="18" t="n">
        <v>0.58667018</v>
      </c>
      <c r="L36" s="20" t="n">
        <v>0.27067699</v>
      </c>
      <c r="M36" s="18" t="n">
        <v>0</v>
      </c>
      <c r="N36" s="20" t="n">
        <v>0</v>
      </c>
      <c r="O36" s="18" t="n">
        <v>0</v>
      </c>
      <c r="P36" s="20" t="n">
        <v>0</v>
      </c>
      <c r="Q36" s="18" t="n">
        <v>6.98314925</v>
      </c>
      <c r="R36" s="20" t="n">
        <v>0.88782156</v>
      </c>
    </row>
    <row r="37" spans="1:18">
      <c r="A37" s="15" t="s">
        <v>379</v>
      </c>
      <c r="B37" s="17" t="n">
        <v>5458</v>
      </c>
      <c r="C37" s="18">
        <f>(4804.0/B37*100)</f>
        <v/>
      </c>
      <c r="D37" s="19" t="n">
        <v>654</v>
      </c>
      <c r="E37" s="18" t="n">
        <v>49.96060483</v>
      </c>
      <c r="F37" s="20" t="n">
        <v>1.77682826</v>
      </c>
      <c r="G37" s="18" t="n">
        <v>39.79850416</v>
      </c>
      <c r="H37" s="20" t="n">
        <v>1.85727284</v>
      </c>
      <c r="I37" s="18" t="s">
        <v>349</v>
      </c>
      <c r="J37" s="20" t="s">
        <v>349</v>
      </c>
      <c r="K37" s="18" t="n">
        <v>2.26816326</v>
      </c>
      <c r="L37" s="20" t="n">
        <v>0.66993193</v>
      </c>
      <c r="M37" s="18" t="n">
        <v>0</v>
      </c>
      <c r="N37" s="20" t="n">
        <v>0</v>
      </c>
      <c r="O37" s="18" t="n">
        <v>0</v>
      </c>
      <c r="P37" s="20" t="n">
        <v>0</v>
      </c>
      <c r="Q37" s="18" t="n">
        <v>7.97272775</v>
      </c>
      <c r="R37" s="20" t="n">
        <v>0.89806042</v>
      </c>
    </row>
    <row r="38" spans="1:18">
      <c r="A38" s="15" t="s">
        <v>380</v>
      </c>
      <c r="B38" s="17" t="n">
        <v>5860</v>
      </c>
      <c r="C38" s="18">
        <f>(4884.0/B38*100)</f>
        <v/>
      </c>
      <c r="D38" s="19" t="n">
        <v>976</v>
      </c>
      <c r="E38" s="18" t="n">
        <v>49.95620919</v>
      </c>
      <c r="F38" s="20" t="n">
        <v>1.63657741</v>
      </c>
      <c r="G38" s="18" t="n">
        <v>43.18914743</v>
      </c>
      <c r="H38" s="20" t="n">
        <v>1.76431665</v>
      </c>
      <c r="I38" s="18" t="s">
        <v>349</v>
      </c>
      <c r="J38" s="20" t="s">
        <v>349</v>
      </c>
      <c r="K38" s="18" t="n">
        <v>0.7256018400000001</v>
      </c>
      <c r="L38" s="20" t="n">
        <v>0.24012723</v>
      </c>
      <c r="M38" s="18" t="n">
        <v>0.14228834</v>
      </c>
      <c r="N38" s="20" t="n">
        <v>0.14416813</v>
      </c>
      <c r="O38" s="18" t="n">
        <v>0</v>
      </c>
      <c r="P38" s="20" t="n">
        <v>0</v>
      </c>
      <c r="Q38" s="18" t="n">
        <v>5.9867532</v>
      </c>
      <c r="R38" s="20" t="n">
        <v>1.03187267</v>
      </c>
    </row>
    <row r="39" spans="1:18">
      <c r="A39" s="15" t="s">
        <v>381</v>
      </c>
      <c r="B39" s="17" t="n">
        <v>5895</v>
      </c>
      <c r="C39" s="18">
        <f>(5171.0/B39*100)</f>
        <v/>
      </c>
      <c r="D39" s="19" t="n">
        <v>724</v>
      </c>
      <c r="E39" s="18" t="n">
        <v>53.30834214</v>
      </c>
      <c r="F39" s="20" t="n">
        <v>2.40296529</v>
      </c>
      <c r="G39" s="18" t="n">
        <v>39.46296503</v>
      </c>
      <c r="H39" s="20" t="n">
        <v>2.61905476</v>
      </c>
      <c r="I39" s="18" t="s">
        <v>349</v>
      </c>
      <c r="J39" s="20" t="s">
        <v>349</v>
      </c>
      <c r="K39" s="18" t="n">
        <v>0.61356701</v>
      </c>
      <c r="L39" s="20" t="n">
        <v>0.25286089</v>
      </c>
      <c r="M39" s="18" t="n">
        <v>0</v>
      </c>
      <c r="N39" s="20" t="n">
        <v>0</v>
      </c>
      <c r="O39" s="18" t="n">
        <v>0</v>
      </c>
      <c r="P39" s="20" t="n">
        <v>0</v>
      </c>
      <c r="Q39" s="18" t="n">
        <v>6.61512582</v>
      </c>
      <c r="R39" s="20" t="n">
        <v>1.06214249</v>
      </c>
    </row>
    <row r="40" spans="1:18">
      <c r="A40" s="15" t="s">
        <v>382</v>
      </c>
      <c r="B40" s="17" t="n">
        <v>14157</v>
      </c>
      <c r="C40" s="18">
        <f>(12445.0/B40*100)</f>
        <v/>
      </c>
      <c r="D40" s="19" t="n">
        <v>1712</v>
      </c>
      <c r="E40" s="18" t="n">
        <v>60.98066736</v>
      </c>
      <c r="F40" s="20" t="n">
        <v>2.09602257</v>
      </c>
      <c r="G40" s="18" t="n">
        <v>31.84949546</v>
      </c>
      <c r="H40" s="20" t="n">
        <v>1.8703082</v>
      </c>
      <c r="I40" s="18" t="s">
        <v>349</v>
      </c>
      <c r="J40" s="20" t="s">
        <v>349</v>
      </c>
      <c r="K40" s="18" t="n">
        <v>1.19050291</v>
      </c>
      <c r="L40" s="20" t="n">
        <v>0.37696617</v>
      </c>
      <c r="M40" s="18" t="n">
        <v>0.09331224</v>
      </c>
      <c r="N40" s="20" t="n">
        <v>0.08931905</v>
      </c>
      <c r="O40" s="18" t="n">
        <v>0</v>
      </c>
      <c r="P40" s="20" t="n">
        <v>0</v>
      </c>
      <c r="Q40" s="18" t="n">
        <v>5.88602203</v>
      </c>
      <c r="R40" s="20" t="n">
        <v>1.02245788</v>
      </c>
    </row>
    <row r="41" spans="1:18">
      <c r="A41" s="15" t="s">
        <v>383</v>
      </c>
      <c r="B41" s="17" t="n">
        <v>5712</v>
      </c>
      <c r="C41" s="18">
        <f>(5023.0/B41*100)</f>
        <v/>
      </c>
      <c r="D41" s="19" t="n">
        <v>689</v>
      </c>
      <c r="E41" s="18" t="n">
        <v>76.85536624</v>
      </c>
      <c r="F41" s="20" t="n">
        <v>1.9868766</v>
      </c>
      <c r="G41" s="18" t="n">
        <v>20.74328762</v>
      </c>
      <c r="H41" s="20" t="n">
        <v>1.94817823</v>
      </c>
      <c r="I41" s="18" t="s">
        <v>349</v>
      </c>
      <c r="J41" s="20" t="s">
        <v>349</v>
      </c>
      <c r="K41" s="18" t="n">
        <v>0.30298706</v>
      </c>
      <c r="L41" s="20" t="n">
        <v>0.19846097</v>
      </c>
      <c r="M41" s="18" t="n">
        <v>0</v>
      </c>
      <c r="N41" s="20" t="n">
        <v>0</v>
      </c>
      <c r="O41" s="18" t="n">
        <v>0</v>
      </c>
      <c r="P41" s="20" t="n">
        <v>0</v>
      </c>
      <c r="Q41" s="18" t="n">
        <v>2.09835908</v>
      </c>
      <c r="R41" s="20" t="n">
        <v>0.53793093</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(20760.0/B46*100)</f>
        <v/>
      </c>
      <c r="D46" s="19" t="n">
        <v>2381</v>
      </c>
      <c r="E46" s="18" t="n">
        <v>71.46422576000001</v>
      </c>
      <c r="F46" s="20" t="n">
        <v>1.27790333</v>
      </c>
      <c r="G46" s="18" t="n">
        <v>7.68567755</v>
      </c>
      <c r="H46" s="20" t="n">
        <v>0.85373764</v>
      </c>
      <c r="I46" s="18" t="s">
        <v>349</v>
      </c>
      <c r="J46" s="20" t="s">
        <v>349</v>
      </c>
      <c r="K46" s="18" t="n">
        <v>1.68798121</v>
      </c>
      <c r="L46" s="20" t="n">
        <v>0.30854257</v>
      </c>
      <c r="M46" s="18" t="n">
        <v>0.04444059</v>
      </c>
      <c r="N46" s="20" t="n">
        <v>0.03269702</v>
      </c>
      <c r="O46" s="18" t="n">
        <v>0</v>
      </c>
      <c r="P46" s="20" t="n">
        <v>0</v>
      </c>
      <c r="Q46" s="18" t="n">
        <v>19.1176749</v>
      </c>
      <c r="R46" s="20" t="n">
        <v>1.12204639</v>
      </c>
    </row>
    <row r="47" spans="1:18">
      <c r="A47" s="15" t="s">
        <v>389</v>
      </c>
      <c r="B47" s="17" t="n">
        <v>5928</v>
      </c>
      <c r="C47" s="18">
        <f>(5233.0/B47*100)</f>
        <v/>
      </c>
      <c r="D47" s="19" t="n">
        <v>695</v>
      </c>
      <c r="E47" s="18" t="n">
        <v>51.75843004</v>
      </c>
      <c r="F47" s="20" t="n">
        <v>2.36625931</v>
      </c>
      <c r="G47" s="18" t="n">
        <v>28.93930205</v>
      </c>
      <c r="H47" s="20" t="n">
        <v>2.22809709</v>
      </c>
      <c r="I47" s="18" t="s">
        <v>349</v>
      </c>
      <c r="J47" s="20" t="s">
        <v>349</v>
      </c>
      <c r="K47" s="18" t="n">
        <v>1.71024337</v>
      </c>
      <c r="L47" s="20" t="n">
        <v>0.50486774</v>
      </c>
      <c r="M47" s="18" t="n">
        <v>0</v>
      </c>
      <c r="N47" s="20" t="n">
        <v>0</v>
      </c>
      <c r="O47" s="18" t="n">
        <v>0</v>
      </c>
      <c r="P47" s="20" t="n">
        <v>0</v>
      </c>
      <c r="Q47" s="18" t="n">
        <v>17.59202455</v>
      </c>
      <c r="R47" s="20" t="n">
        <v>1.65500785</v>
      </c>
    </row>
    <row r="48" spans="1:18">
      <c r="A48" s="15" t="s">
        <v>390</v>
      </c>
      <c r="B48" s="17" t="n">
        <v>9841</v>
      </c>
      <c r="C48" s="18">
        <f>(8631.0/B48*100)</f>
        <v/>
      </c>
      <c r="D48" s="19" t="n">
        <v>1210</v>
      </c>
      <c r="E48" s="18" t="n">
        <v>51.44335636</v>
      </c>
      <c r="F48" s="20" t="n">
        <v>2.01423543</v>
      </c>
      <c r="G48" s="18" t="n">
        <v>39.22446437</v>
      </c>
      <c r="H48" s="20" t="n">
        <v>2.04777553</v>
      </c>
      <c r="I48" s="18" t="s">
        <v>349</v>
      </c>
      <c r="J48" s="20" t="s">
        <v>349</v>
      </c>
      <c r="K48" s="18" t="n">
        <v>1.26187385</v>
      </c>
      <c r="L48" s="20" t="n">
        <v>0.52744581</v>
      </c>
      <c r="M48" s="18" t="n">
        <v>0.22474533</v>
      </c>
      <c r="N48" s="20" t="n">
        <v>0.16775141</v>
      </c>
      <c r="O48" s="18" t="n">
        <v>0</v>
      </c>
      <c r="P48" s="20" t="n">
        <v>0</v>
      </c>
      <c r="Q48" s="18" t="n">
        <v>7.84556009</v>
      </c>
      <c r="R48" s="20" t="n">
        <v>1.01163394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(10388.0/B50*100)</f>
        <v/>
      </c>
      <c r="D50" s="19" t="n">
        <v>1407</v>
      </c>
      <c r="E50" s="18" t="n">
        <v>84.52348748</v>
      </c>
      <c r="F50" s="20" t="n">
        <v>1.12435647</v>
      </c>
      <c r="G50" s="18" t="n">
        <v>5.87392925</v>
      </c>
      <c r="H50" s="20" t="n">
        <v>0.86620361</v>
      </c>
      <c r="I50" s="18" t="s">
        <v>349</v>
      </c>
      <c r="J50" s="20" t="s">
        <v>349</v>
      </c>
      <c r="K50" s="18" t="n">
        <v>2.55375044</v>
      </c>
      <c r="L50" s="20" t="n">
        <v>0.61985359</v>
      </c>
      <c r="M50" s="18" t="n">
        <v>0.9002350099999999</v>
      </c>
      <c r="N50" s="20" t="n">
        <v>0.23136858</v>
      </c>
      <c r="O50" s="18" t="n">
        <v>0</v>
      </c>
      <c r="P50" s="20" t="n">
        <v>0</v>
      </c>
      <c r="Q50" s="18" t="n">
        <v>6.14859783</v>
      </c>
      <c r="R50" s="20" t="n">
        <v>0.8130047500000001</v>
      </c>
    </row>
    <row r="51" spans="1:18">
      <c r="A51" s="15" t="s">
        <v>393</v>
      </c>
      <c r="B51" s="17" t="n">
        <v>6866</v>
      </c>
      <c r="C51" s="18">
        <f>(6154.0/B51*100)</f>
        <v/>
      </c>
      <c r="D51" s="19" t="n">
        <v>712</v>
      </c>
      <c r="E51" s="18" t="n">
        <v>81.07337630000001</v>
      </c>
      <c r="F51" s="20" t="n">
        <v>1.72632511</v>
      </c>
      <c r="G51" s="18" t="n">
        <v>10.04300181</v>
      </c>
      <c r="H51" s="20" t="n">
        <v>1.3939881</v>
      </c>
      <c r="I51" s="18" t="s">
        <v>349</v>
      </c>
      <c r="J51" s="20" t="s">
        <v>349</v>
      </c>
      <c r="K51" s="18" t="n">
        <v>1.3007951</v>
      </c>
      <c r="L51" s="20" t="n">
        <v>0.383327</v>
      </c>
      <c r="M51" s="18" t="n">
        <v>0.26444928</v>
      </c>
      <c r="N51" s="20" t="n">
        <v>0.24523235</v>
      </c>
      <c r="O51" s="18" t="n">
        <v>0</v>
      </c>
      <c r="P51" s="20" t="n">
        <v>0</v>
      </c>
      <c r="Q51" s="18" t="n">
        <v>7.31837752</v>
      </c>
      <c r="R51" s="20" t="n">
        <v>1.17985753</v>
      </c>
    </row>
    <row r="52" spans="1:18">
      <c r="A52" s="15" t="s">
        <v>394</v>
      </c>
      <c r="B52" s="17" t="n">
        <v>5809</v>
      </c>
      <c r="C52" s="18">
        <f>(5102.0/B52*100)</f>
        <v/>
      </c>
      <c r="D52" s="19" t="n">
        <v>707</v>
      </c>
      <c r="E52" s="18" t="n">
        <v>59.39330796</v>
      </c>
      <c r="F52" s="20" t="n">
        <v>2.04287874</v>
      </c>
      <c r="G52" s="18" t="n">
        <v>31.4238807</v>
      </c>
      <c r="H52" s="20" t="n">
        <v>2.06289318</v>
      </c>
      <c r="I52" s="18" t="s">
        <v>349</v>
      </c>
      <c r="J52" s="20" t="s">
        <v>349</v>
      </c>
      <c r="K52" s="18" t="n">
        <v>0.8201214100000001</v>
      </c>
      <c r="L52" s="20" t="n">
        <v>0.34223665</v>
      </c>
      <c r="M52" s="18" t="n">
        <v>0</v>
      </c>
      <c r="N52" s="20" t="n">
        <v>0</v>
      </c>
      <c r="O52" s="18" t="n">
        <v>0</v>
      </c>
      <c r="P52" s="20" t="n">
        <v>0</v>
      </c>
      <c r="Q52" s="18" t="n">
        <v>8.36268993</v>
      </c>
      <c r="R52" s="20" t="n">
        <v>1.02599497</v>
      </c>
    </row>
    <row r="53" spans="1:18">
      <c r="A53" s="15" t="s">
        <v>395</v>
      </c>
      <c r="B53" s="17" t="n">
        <v>5571</v>
      </c>
      <c r="C53" s="18">
        <f>(4882.0/B53*100)</f>
        <v/>
      </c>
      <c r="D53" s="19" t="n">
        <v>689</v>
      </c>
      <c r="E53" s="18" t="n">
        <v>67.1045323</v>
      </c>
      <c r="F53" s="20" t="n">
        <v>1.73668203</v>
      </c>
      <c r="G53" s="18" t="n">
        <v>17.90417592</v>
      </c>
      <c r="H53" s="20" t="n">
        <v>1.39202858</v>
      </c>
      <c r="I53" s="18" t="s">
        <v>349</v>
      </c>
      <c r="J53" s="20" t="s">
        <v>349</v>
      </c>
      <c r="K53" s="18" t="n">
        <v>1.10011527</v>
      </c>
      <c r="L53" s="20" t="n">
        <v>0.40981601</v>
      </c>
      <c r="M53" s="18" t="n">
        <v>0</v>
      </c>
      <c r="N53" s="20" t="n">
        <v>0</v>
      </c>
      <c r="O53" s="18" t="n">
        <v>0</v>
      </c>
      <c r="P53" s="20" t="n">
        <v>0</v>
      </c>
      <c r="Q53" s="18" t="n">
        <v>13.89117651</v>
      </c>
      <c r="R53" s="20" t="n">
        <v>1.24674171</v>
      </c>
    </row>
    <row r="54" spans="1:18">
      <c r="A54" s="15" t="s">
        <v>396</v>
      </c>
      <c r="B54" s="17" t="n">
        <v>4740</v>
      </c>
      <c r="C54" s="18">
        <f>(3971.0/B54*100)</f>
        <v/>
      </c>
      <c r="D54" s="19" t="n">
        <v>769</v>
      </c>
      <c r="E54" s="18" t="n">
        <v>66.70240389999999</v>
      </c>
      <c r="F54" s="20" t="n">
        <v>2.23024556</v>
      </c>
      <c r="G54" s="18" t="n">
        <v>2.5324973</v>
      </c>
      <c r="H54" s="20" t="n">
        <v>0.71075104</v>
      </c>
      <c r="I54" s="18" t="s">
        <v>349</v>
      </c>
      <c r="J54" s="20" t="s">
        <v>349</v>
      </c>
      <c r="K54" s="18" t="n">
        <v>10.19321863</v>
      </c>
      <c r="L54" s="20" t="n">
        <v>1.28593132</v>
      </c>
      <c r="M54" s="18" t="n">
        <v>0.9731814</v>
      </c>
      <c r="N54" s="20" t="n">
        <v>0.94184953</v>
      </c>
      <c r="O54" s="18" t="n">
        <v>0</v>
      </c>
      <c r="P54" s="20" t="n">
        <v>0</v>
      </c>
      <c r="Q54" s="18" t="n">
        <v>19.59869876</v>
      </c>
      <c r="R54" s="20" t="n">
        <v>1.72918007</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59.00028572</v>
      </c>
      <c r="F56" s="20" t="n">
        <v>1.92939797</v>
      </c>
      <c r="G56" s="18" t="n">
        <v>36.6115855</v>
      </c>
      <c r="H56" s="20" t="n">
        <v>1.95995006</v>
      </c>
      <c r="I56" s="18" t="s">
        <v>349</v>
      </c>
      <c r="J56" s="20" t="s">
        <v>349</v>
      </c>
      <c r="K56" s="18" t="n">
        <v>0.19232572</v>
      </c>
      <c r="L56" s="20" t="n">
        <v>0.1374307</v>
      </c>
      <c r="M56" s="18" t="n">
        <v>0</v>
      </c>
      <c r="N56" s="20" t="n">
        <v>0</v>
      </c>
      <c r="O56" s="18" t="n">
        <v>0</v>
      </c>
      <c r="P56" s="20" t="n">
        <v>0</v>
      </c>
      <c r="Q56" s="18" t="n">
        <v>4.19580306</v>
      </c>
      <c r="R56" s="20" t="n">
        <v>0.80795207</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(5707.0/B61*100)</f>
        <v/>
      </c>
      <c r="D61" s="19" t="n">
        <v>818</v>
      </c>
      <c r="E61" s="18" t="n">
        <v>58.42182675</v>
      </c>
      <c r="F61" s="20" t="n">
        <v>1.85282142</v>
      </c>
      <c r="G61" s="18" t="n">
        <v>34.91331046</v>
      </c>
      <c r="H61" s="20" t="n">
        <v>1.78732409</v>
      </c>
      <c r="I61" s="18" t="s">
        <v>349</v>
      </c>
      <c r="J61" s="20" t="s">
        <v>349</v>
      </c>
      <c r="K61" s="18" t="n">
        <v>0.47904841</v>
      </c>
      <c r="L61" s="20" t="n">
        <v>0.37242282</v>
      </c>
      <c r="M61" s="18" t="n">
        <v>0</v>
      </c>
      <c r="N61" s="20" t="n">
        <v>0</v>
      </c>
      <c r="O61" s="18" t="n">
        <v>0</v>
      </c>
      <c r="P61" s="20" t="n">
        <v>0</v>
      </c>
      <c r="Q61" s="18" t="n">
        <v>6.18581438</v>
      </c>
      <c r="R61" s="20" t="n">
        <v>0.8691678</v>
      </c>
    </row>
    <row r="62" spans="1:18">
      <c r="A62" s="15" t="s">
        <v>404</v>
      </c>
      <c r="B62" s="17" t="n">
        <v>4476</v>
      </c>
      <c r="C62" s="18">
        <f>(3934.0/B62*100)</f>
        <v/>
      </c>
      <c r="D62" s="19" t="n">
        <v>542</v>
      </c>
      <c r="E62" s="18" t="n">
        <v>61.82302014</v>
      </c>
      <c r="F62" s="20" t="n">
        <v>2.53667935</v>
      </c>
      <c r="G62" s="18" t="n">
        <v>34.43989852</v>
      </c>
      <c r="H62" s="20" t="n">
        <v>2.4059893</v>
      </c>
      <c r="I62" s="18" t="s">
        <v>349</v>
      </c>
      <c r="J62" s="20" t="s">
        <v>349</v>
      </c>
      <c r="K62" s="18" t="n">
        <v>0.1831539</v>
      </c>
      <c r="L62" s="20" t="n">
        <v>0.18333866</v>
      </c>
      <c r="M62" s="18" t="n">
        <v>0.18510266</v>
      </c>
      <c r="N62" s="20" t="n">
        <v>0.18556618</v>
      </c>
      <c r="O62" s="18" t="n">
        <v>0</v>
      </c>
      <c r="P62" s="20" t="n">
        <v>0</v>
      </c>
      <c r="Q62" s="18" t="n">
        <v>3.36882477</v>
      </c>
      <c r="R62" s="20" t="n">
        <v>0.8235057099999999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(4985.0/B66*100)</f>
        <v/>
      </c>
      <c r="D66" s="19" t="n">
        <v>680</v>
      </c>
      <c r="E66" s="18" t="n">
        <v>49.31246252</v>
      </c>
      <c r="F66" s="20" t="n">
        <v>2.11183416</v>
      </c>
      <c r="G66" s="18" t="n">
        <v>26.76010218</v>
      </c>
      <c r="H66" s="20" t="n">
        <v>1.66359153</v>
      </c>
      <c r="I66" s="18" t="s">
        <v>349</v>
      </c>
      <c r="J66" s="20" t="s">
        <v>349</v>
      </c>
      <c r="K66" s="18" t="n">
        <v>2.81957894</v>
      </c>
      <c r="L66" s="20" t="n">
        <v>0.62827818</v>
      </c>
      <c r="M66" s="18" t="n">
        <v>0.41881427</v>
      </c>
      <c r="N66" s="20" t="n">
        <v>0.24461039</v>
      </c>
      <c r="O66" s="18" t="n">
        <v>0</v>
      </c>
      <c r="P66" s="20" t="n">
        <v>0</v>
      </c>
      <c r="Q66" s="18" t="n">
        <v>20.68904209</v>
      </c>
      <c r="R66" s="20" t="n">
        <v>1.62131724</v>
      </c>
    </row>
    <row r="67" spans="1:18">
      <c r="A67" s="15" t="s">
        <v>409</v>
      </c>
      <c r="B67" s="17" t="n">
        <v>6971</v>
      </c>
      <c r="C67" s="18">
        <f>(6217.0/B67*100)</f>
        <v/>
      </c>
      <c r="D67" s="19" t="n">
        <v>754</v>
      </c>
      <c r="E67" s="18" t="n">
        <v>82.49350573</v>
      </c>
      <c r="F67" s="20" t="n">
        <v>1.42790917</v>
      </c>
      <c r="G67" s="18" t="n">
        <v>5.95988301</v>
      </c>
      <c r="H67" s="20" t="n">
        <v>0.8613014</v>
      </c>
      <c r="I67" s="18" t="s">
        <v>349</v>
      </c>
      <c r="J67" s="20" t="s">
        <v>349</v>
      </c>
      <c r="K67" s="18" t="n">
        <v>0.33585058</v>
      </c>
      <c r="L67" s="20" t="n">
        <v>0.21225219</v>
      </c>
      <c r="M67" s="18" t="n">
        <v>0.20824604</v>
      </c>
      <c r="N67" s="20" t="n">
        <v>0.14662331</v>
      </c>
      <c r="O67" s="18" t="n">
        <v>0</v>
      </c>
      <c r="P67" s="20" t="n">
        <v>0</v>
      </c>
      <c r="Q67" s="18" t="n">
        <v>11.00251464</v>
      </c>
      <c r="R67" s="20" t="n">
        <v>1.45018442</v>
      </c>
    </row>
    <row r="68" spans="1:18">
      <c r="A68" s="15" t="s">
        <v>410</v>
      </c>
      <c r="B68" s="17" t="n">
        <v>12083</v>
      </c>
      <c r="C68" s="18">
        <f>(10089.0/B68*100)</f>
        <v/>
      </c>
      <c r="D68" s="19" t="n">
        <v>1994</v>
      </c>
      <c r="E68" s="18" t="n">
        <v>72.19161013999999</v>
      </c>
      <c r="F68" s="20" t="n">
        <v>0.96981985</v>
      </c>
      <c r="G68" s="18" t="n">
        <v>12.17674274</v>
      </c>
      <c r="H68" s="20" t="n">
        <v>0.76175751</v>
      </c>
      <c r="I68" s="18" t="s">
        <v>349</v>
      </c>
      <c r="J68" s="20" t="s">
        <v>349</v>
      </c>
      <c r="K68" s="18" t="n">
        <v>3.90466758</v>
      </c>
      <c r="L68" s="20" t="n">
        <v>0.41111143</v>
      </c>
      <c r="M68" s="18" t="n">
        <v>0.04990846</v>
      </c>
      <c r="N68" s="20" t="n">
        <v>0.04986396</v>
      </c>
      <c r="O68" s="18" t="n">
        <v>0</v>
      </c>
      <c r="P68" s="20" t="n">
        <v>0</v>
      </c>
      <c r="Q68" s="18" t="n">
        <v>11.67707109</v>
      </c>
      <c r="R68" s="20" t="n">
        <v>0.64809882</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(5310.0/B70*100)</f>
        <v/>
      </c>
      <c r="D70" s="19" t="n">
        <v>726</v>
      </c>
      <c r="E70" s="18" t="n">
        <v>61.41723148</v>
      </c>
      <c r="F70" s="20" t="n">
        <v>1.90152245</v>
      </c>
      <c r="G70" s="18" t="n">
        <v>31.86297855</v>
      </c>
      <c r="H70" s="20" t="n">
        <v>1.84234339</v>
      </c>
      <c r="I70" s="18" t="s">
        <v>349</v>
      </c>
      <c r="J70" s="20" t="s">
        <v>349</v>
      </c>
      <c r="K70" s="18" t="n">
        <v>0.24604908</v>
      </c>
      <c r="L70" s="20" t="n">
        <v>0.14268352</v>
      </c>
      <c r="M70" s="18" t="n">
        <v>0.43138884</v>
      </c>
      <c r="N70" s="20" t="n">
        <v>0.2222797</v>
      </c>
      <c r="O70" s="18" t="n">
        <v>0</v>
      </c>
      <c r="P70" s="20" t="n">
        <v>0</v>
      </c>
      <c r="Q70" s="18" t="n">
        <v>6.04235205</v>
      </c>
      <c r="R70" s="20" t="n">
        <v>0.73500429</v>
      </c>
    </row>
    <row r="71" spans="1:18">
      <c r="A71" s="15" t="s">
        <v>413</v>
      </c>
      <c r="B71" s="17" t="n">
        <v>6115</v>
      </c>
      <c r="C71" s="18">
        <f>(5349.0/B71*100)</f>
        <v/>
      </c>
      <c r="D71" s="19" t="n">
        <v>766</v>
      </c>
      <c r="E71" s="18" t="n">
        <v>51.50403361</v>
      </c>
      <c r="F71" s="20" t="n">
        <v>1.90035163</v>
      </c>
      <c r="G71" s="18" t="n">
        <v>46.66572766</v>
      </c>
      <c r="H71" s="20" t="n">
        <v>1.94776253</v>
      </c>
      <c r="I71" s="18" t="s">
        <v>349</v>
      </c>
      <c r="J71" s="20" t="s">
        <v>349</v>
      </c>
      <c r="K71" s="18" t="n">
        <v>0.22694492</v>
      </c>
      <c r="L71" s="20" t="n">
        <v>0.16743758</v>
      </c>
      <c r="M71" s="18" t="n">
        <v>0</v>
      </c>
      <c r="N71" s="20" t="n">
        <v>0</v>
      </c>
      <c r="O71" s="18" t="n">
        <v>0</v>
      </c>
      <c r="P71" s="20" t="n">
        <v>0</v>
      </c>
      <c r="Q71" s="18" t="n">
        <v>1.60329381</v>
      </c>
      <c r="R71" s="20" t="n">
        <v>0.43706383</v>
      </c>
    </row>
    <row r="72" spans="1:18">
      <c r="A72" s="15" t="s">
        <v>414</v>
      </c>
      <c r="B72" s="17" t="n">
        <v>7708</v>
      </c>
      <c r="C72" s="18">
        <f>(6749.0/B72*100)</f>
        <v/>
      </c>
      <c r="D72" s="19" t="n">
        <v>959</v>
      </c>
      <c r="E72" s="18" t="n">
        <v>39.7899566</v>
      </c>
      <c r="F72" s="20" t="n">
        <v>1.67201761</v>
      </c>
      <c r="G72" s="18" t="n">
        <v>53.80894576</v>
      </c>
      <c r="H72" s="20" t="n">
        <v>1.80735559</v>
      </c>
      <c r="I72" s="18" t="s">
        <v>349</v>
      </c>
      <c r="J72" s="20" t="s">
        <v>349</v>
      </c>
      <c r="K72" s="18" t="n">
        <v>0.30565671</v>
      </c>
      <c r="L72" s="20" t="n">
        <v>0.18820757</v>
      </c>
      <c r="M72" s="18" t="n">
        <v>0</v>
      </c>
      <c r="N72" s="20" t="n">
        <v>0</v>
      </c>
      <c r="O72" s="18" t="n">
        <v>0</v>
      </c>
      <c r="P72" s="20" t="n">
        <v>0</v>
      </c>
      <c r="Q72" s="18" t="n">
        <v>6.09544093</v>
      </c>
      <c r="R72" s="20" t="n">
        <v>0.84774317</v>
      </c>
    </row>
    <row r="73" spans="1:18">
      <c r="A73" s="15" t="s">
        <v>415</v>
      </c>
      <c r="B73" s="17" t="n">
        <v>8249</v>
      </c>
      <c r="C73" s="18">
        <f>(7293.0/B73*100)</f>
        <v/>
      </c>
      <c r="D73" s="19" t="n">
        <v>956</v>
      </c>
      <c r="E73" s="18" t="n">
        <v>89.75720717999999</v>
      </c>
      <c r="F73" s="20" t="n">
        <v>1.35696137</v>
      </c>
      <c r="G73" s="18" t="n">
        <v>6.92603799</v>
      </c>
      <c r="H73" s="20" t="n">
        <v>1.13937328</v>
      </c>
      <c r="I73" s="18" t="s">
        <v>349</v>
      </c>
      <c r="J73" s="20" t="s">
        <v>349</v>
      </c>
      <c r="K73" s="18" t="n">
        <v>0</v>
      </c>
      <c r="L73" s="20" t="n">
        <v>0</v>
      </c>
      <c r="M73" s="18" t="n">
        <v>0</v>
      </c>
      <c r="N73" s="20" t="n">
        <v>0</v>
      </c>
      <c r="O73" s="18" t="n">
        <v>0</v>
      </c>
      <c r="P73" s="20" t="n">
        <v>0</v>
      </c>
      <c r="Q73" s="18" t="n">
        <v>3.31675483</v>
      </c>
      <c r="R73" s="20" t="n">
        <v>0.7155963400000001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(4775.0/B75*100)</f>
        <v/>
      </c>
      <c r="D75" s="19" t="n">
        <v>600</v>
      </c>
      <c r="E75" s="18" t="n">
        <v>64.11446097</v>
      </c>
      <c r="F75" s="20" t="n">
        <v>2.24527289</v>
      </c>
      <c r="G75" s="18" t="n">
        <v>14.3421531</v>
      </c>
      <c r="H75" s="20" t="n">
        <v>1.64889122</v>
      </c>
      <c r="I75" s="18" t="s">
        <v>349</v>
      </c>
      <c r="J75" s="20" t="s">
        <v>349</v>
      </c>
      <c r="K75" s="18" t="n">
        <v>4.13488177</v>
      </c>
      <c r="L75" s="20" t="n">
        <v>0.92112662</v>
      </c>
      <c r="M75" s="18" t="n">
        <v>0.19693723</v>
      </c>
      <c r="N75" s="20" t="n">
        <v>0.19559765</v>
      </c>
      <c r="O75" s="18" t="n">
        <v>0</v>
      </c>
      <c r="P75" s="20" t="n">
        <v>0</v>
      </c>
      <c r="Q75" s="18" t="n">
        <v>17.21156692</v>
      </c>
      <c r="R75" s="20" t="n">
        <v>1.70414632</v>
      </c>
    </row>
    <row r="76" spans="1:18">
      <c r="A76" s="15" t="s">
        <v>418</v>
      </c>
      <c r="B76" s="17" t="n">
        <v>14167</v>
      </c>
      <c r="C76" s="18">
        <f>(12422.0/B76*100)</f>
        <v/>
      </c>
      <c r="D76" s="19" t="n">
        <v>1745</v>
      </c>
      <c r="E76" s="18" t="n">
        <v>72.35123762000001</v>
      </c>
      <c r="F76" s="20" t="n">
        <v>1.33953293</v>
      </c>
      <c r="G76" s="18" t="n">
        <v>19.65036681</v>
      </c>
      <c r="H76" s="20" t="n">
        <v>1.32718095</v>
      </c>
      <c r="I76" s="18" t="s">
        <v>349</v>
      </c>
      <c r="J76" s="20" t="s">
        <v>349</v>
      </c>
      <c r="K76" s="18" t="n">
        <v>0.90043358</v>
      </c>
      <c r="L76" s="20" t="n">
        <v>0.3071796</v>
      </c>
      <c r="M76" s="18" t="n">
        <v>0.02897255</v>
      </c>
      <c r="N76" s="20" t="n">
        <v>0.02914196</v>
      </c>
      <c r="O76" s="18" t="n">
        <v>0</v>
      </c>
      <c r="P76" s="20" t="n">
        <v>0</v>
      </c>
      <c r="Q76" s="18" t="n">
        <v>7.06898944</v>
      </c>
      <c r="R76" s="20" t="n">
        <v>0.71576815</v>
      </c>
    </row>
    <row r="77" spans="1:18">
      <c r="A77" s="15" t="s">
        <v>419</v>
      </c>
      <c r="B77" s="17" t="n">
        <v>6062</v>
      </c>
      <c r="C77" s="18">
        <f>(5328.0/B77*100)</f>
        <v/>
      </c>
      <c r="D77" s="19" t="n">
        <v>734</v>
      </c>
      <c r="E77" s="18" t="n">
        <v>64.69552492</v>
      </c>
      <c r="F77" s="20" t="n">
        <v>2.09081872</v>
      </c>
      <c r="G77" s="18" t="n">
        <v>11.4567683</v>
      </c>
      <c r="H77" s="20" t="n">
        <v>1.10643483</v>
      </c>
      <c r="I77" s="18" t="s">
        <v>349</v>
      </c>
      <c r="J77" s="20" t="s">
        <v>349</v>
      </c>
      <c r="K77" s="18" t="n">
        <v>3.66850364</v>
      </c>
      <c r="L77" s="20" t="n">
        <v>0.7941731400000001</v>
      </c>
      <c r="M77" s="18" t="n">
        <v>2.37658827</v>
      </c>
      <c r="N77" s="20" t="n">
        <v>0.59047388</v>
      </c>
      <c r="O77" s="18" t="n">
        <v>0</v>
      </c>
      <c r="P77" s="20" t="n">
        <v>0</v>
      </c>
      <c r="Q77" s="18" t="n">
        <v>17.80261488</v>
      </c>
      <c r="R77" s="20" t="n">
        <v>1.52060125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(7765.0/B81*100)</f>
        <v/>
      </c>
      <c r="D81" s="19" t="n">
        <v>1096</v>
      </c>
      <c r="E81" s="18" t="n">
        <v>89.36521768</v>
      </c>
      <c r="F81" s="20" t="n">
        <v>1.27192862</v>
      </c>
      <c r="G81" s="18" t="n">
        <v>7.1691445</v>
      </c>
      <c r="H81" s="20" t="n">
        <v>1.01279548</v>
      </c>
      <c r="I81" s="18" t="s">
        <v>349</v>
      </c>
      <c r="J81" s="20" t="s">
        <v>349</v>
      </c>
      <c r="K81" s="18" t="n">
        <v>0</v>
      </c>
      <c r="L81" s="20" t="n">
        <v>0</v>
      </c>
      <c r="M81" s="18" t="n">
        <v>0</v>
      </c>
      <c r="N81" s="20" t="n">
        <v>0</v>
      </c>
      <c r="O81" s="18" t="n">
        <v>0</v>
      </c>
      <c r="P81" s="20" t="n">
        <v>0</v>
      </c>
      <c r="Q81" s="18" t="n">
        <v>3.46563782</v>
      </c>
      <c r="R81" s="20" t="n">
        <v>0.79262418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505</v>
      </c>
    </row>
    <row customHeight="1" ht="30" r="4" spans="1:20">
      <c r="A4" s="6" t="n"/>
      <c r="B4" s="7" t="s">
        <v>333</v>
      </c>
      <c r="C4" s="7" t="s">
        <v>334</v>
      </c>
      <c r="D4" s="8" t="s">
        <v>333</v>
      </c>
      <c r="E4" s="9" t="s">
        <v>335</v>
      </c>
      <c r="F4" s="10" t="n"/>
      <c r="G4" s="9" t="s">
        <v>506</v>
      </c>
      <c r="H4" s="10" t="n"/>
      <c r="I4" s="9" t="s">
        <v>336</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(12723.0/B7*100)</f>
        <v/>
      </c>
      <c r="D7" s="19" t="n">
        <v>1807</v>
      </c>
      <c r="E7" s="18" t="n">
        <v>78.97253252</v>
      </c>
      <c r="F7" s="20" t="n">
        <v>1.19686042</v>
      </c>
      <c r="G7" s="18" t="n">
        <v>3.16927159</v>
      </c>
      <c r="H7" s="20" t="n">
        <v>0.50196726</v>
      </c>
      <c r="I7" s="18" t="n">
        <v>8.59571452</v>
      </c>
      <c r="J7" s="20" t="n">
        <v>0.72329012</v>
      </c>
      <c r="K7" s="18" t="s">
        <v>349</v>
      </c>
      <c r="L7" s="20" t="s">
        <v>349</v>
      </c>
      <c r="M7" s="18" t="n">
        <v>0.85230423</v>
      </c>
      <c r="N7" s="20" t="n">
        <v>0.24814007</v>
      </c>
      <c r="O7" s="18" t="n">
        <v>0</v>
      </c>
      <c r="P7" s="20" t="n">
        <v>0</v>
      </c>
      <c r="Q7" s="18" t="n">
        <v>0</v>
      </c>
      <c r="R7" s="20" t="n">
        <v>0</v>
      </c>
      <c r="S7" s="18" t="n">
        <v>8.410177129999999</v>
      </c>
      <c r="T7" s="20" t="n">
        <v>0.79189298</v>
      </c>
    </row>
    <row r="8" spans="1:20">
      <c r="A8" s="15" t="s">
        <v>350</v>
      </c>
      <c r="B8" s="17" t="n">
        <v>7007</v>
      </c>
      <c r="C8" s="18">
        <f>(6137.0/B8*100)</f>
        <v/>
      </c>
      <c r="D8" s="19" t="n">
        <v>870</v>
      </c>
      <c r="E8" s="18" t="n">
        <v>67.29695441</v>
      </c>
      <c r="F8" s="20" t="n">
        <v>1.67406546</v>
      </c>
      <c r="G8" s="18" t="n">
        <v>6.8867629</v>
      </c>
      <c r="H8" s="20" t="n">
        <v>0.78603267</v>
      </c>
      <c r="I8" s="18" t="n">
        <v>9.622615720000001</v>
      </c>
      <c r="J8" s="20" t="n">
        <v>1.04337823</v>
      </c>
      <c r="K8" s="18" t="s">
        <v>349</v>
      </c>
      <c r="L8" s="20" t="s">
        <v>349</v>
      </c>
      <c r="M8" s="18" t="n">
        <v>1.32321809</v>
      </c>
      <c r="N8" s="20" t="n">
        <v>0.46735047</v>
      </c>
      <c r="O8" s="18" t="n">
        <v>0</v>
      </c>
      <c r="P8" s="20" t="n">
        <v>0</v>
      </c>
      <c r="Q8" s="18" t="n">
        <v>0</v>
      </c>
      <c r="R8" s="20" t="n">
        <v>0</v>
      </c>
      <c r="S8" s="18" t="n">
        <v>14.87044888</v>
      </c>
      <c r="T8" s="20" t="n">
        <v>1.46392197</v>
      </c>
    </row>
    <row r="9" spans="1:20">
      <c r="A9" s="15" t="s">
        <v>351</v>
      </c>
      <c r="B9" s="17" t="n">
        <v>9651</v>
      </c>
      <c r="C9" s="18">
        <f>(8502.0/B9*100)</f>
        <v/>
      </c>
      <c r="D9" s="19" t="n">
        <v>1149</v>
      </c>
      <c r="E9" s="18" t="n">
        <v>65.86258986</v>
      </c>
      <c r="F9" s="20" t="n">
        <v>1.54264249</v>
      </c>
      <c r="G9" s="18" t="n">
        <v>9.01562571</v>
      </c>
      <c r="H9" s="20" t="n">
        <v>0.95578238</v>
      </c>
      <c r="I9" s="18" t="n">
        <v>13.44178514</v>
      </c>
      <c r="J9" s="20" t="n">
        <v>1.19540997</v>
      </c>
      <c r="K9" s="18" t="s">
        <v>349</v>
      </c>
      <c r="L9" s="20" t="s">
        <v>349</v>
      </c>
      <c r="M9" s="18" t="n">
        <v>1.29485869</v>
      </c>
      <c r="N9" s="20" t="n">
        <v>0.43520821</v>
      </c>
      <c r="O9" s="18" t="n">
        <v>0</v>
      </c>
      <c r="P9" s="20" t="n">
        <v>0</v>
      </c>
      <c r="Q9" s="18" t="n">
        <v>0</v>
      </c>
      <c r="R9" s="20" t="n">
        <v>0</v>
      </c>
      <c r="S9" s="18" t="n">
        <v>10.3851406</v>
      </c>
      <c r="T9" s="20" t="n">
        <v>0.95697811</v>
      </c>
    </row>
    <row r="10" spans="1:20">
      <c r="A10" s="15" t="s">
        <v>352</v>
      </c>
      <c r="B10" s="17" t="n">
        <v>20058</v>
      </c>
      <c r="C10" s="18">
        <f>(17573.0/B10*100)</f>
        <v/>
      </c>
      <c r="D10" s="19" t="n">
        <v>2485</v>
      </c>
      <c r="E10" s="18" t="n">
        <v>75.27329695</v>
      </c>
      <c r="F10" s="20" t="n">
        <v>1.12871201</v>
      </c>
      <c r="G10" s="18" t="n">
        <v>6.69372956</v>
      </c>
      <c r="H10" s="20" t="n">
        <v>0.60122791</v>
      </c>
      <c r="I10" s="18" t="n">
        <v>12.02731354</v>
      </c>
      <c r="J10" s="20" t="n">
        <v>0.89840818</v>
      </c>
      <c r="K10" s="18" t="s">
        <v>349</v>
      </c>
      <c r="L10" s="20" t="s">
        <v>349</v>
      </c>
      <c r="M10" s="18" t="n">
        <v>0.68386327</v>
      </c>
      <c r="N10" s="20" t="n">
        <v>0.20427678</v>
      </c>
      <c r="O10" s="18" t="n">
        <v>0</v>
      </c>
      <c r="P10" s="20" t="n">
        <v>0</v>
      </c>
      <c r="Q10" s="18" t="n">
        <v>0</v>
      </c>
      <c r="R10" s="20" t="n">
        <v>0</v>
      </c>
      <c r="S10" s="18" t="n">
        <v>5.32179668</v>
      </c>
      <c r="T10" s="20" t="n">
        <v>0.57118009</v>
      </c>
    </row>
    <row r="11" spans="1:20">
      <c r="A11" s="15" t="s">
        <v>353</v>
      </c>
      <c r="B11" s="17" t="n">
        <v>7053</v>
      </c>
      <c r="C11" s="18">
        <f>(6231.0/B11*100)</f>
        <v/>
      </c>
      <c r="D11" s="19" t="n">
        <v>822</v>
      </c>
      <c r="E11" s="18" t="n">
        <v>72.21011429000001</v>
      </c>
      <c r="F11" s="20" t="n">
        <v>1.52646965</v>
      </c>
      <c r="G11" s="18" t="n">
        <v>1.32047411</v>
      </c>
      <c r="H11" s="20" t="n">
        <v>0.33096615</v>
      </c>
      <c r="I11" s="18" t="n">
        <v>2.03296074</v>
      </c>
      <c r="J11" s="20" t="n">
        <v>0.54334701</v>
      </c>
      <c r="K11" s="18" t="s">
        <v>349</v>
      </c>
      <c r="L11" s="20" t="s">
        <v>349</v>
      </c>
      <c r="M11" s="18" t="n">
        <v>2.60803457</v>
      </c>
      <c r="N11" s="20" t="n">
        <v>0.5339627300000001</v>
      </c>
      <c r="O11" s="18" t="n">
        <v>0</v>
      </c>
      <c r="P11" s="20" t="n">
        <v>0</v>
      </c>
      <c r="Q11" s="18" t="n">
        <v>0</v>
      </c>
      <c r="R11" s="20" t="n">
        <v>0</v>
      </c>
      <c r="S11" s="18" t="n">
        <v>21.82841628</v>
      </c>
      <c r="T11" s="20" t="n">
        <v>1.53320662</v>
      </c>
    </row>
    <row r="12" spans="1:20">
      <c r="A12" s="15" t="s">
        <v>354</v>
      </c>
      <c r="B12" s="17" t="n">
        <v>6894</v>
      </c>
      <c r="C12" s="18">
        <f>(6084.0/B12*100)</f>
        <v/>
      </c>
      <c r="D12" s="19" t="n">
        <v>810</v>
      </c>
      <c r="E12" s="18" t="n">
        <v>72.45365563</v>
      </c>
      <c r="F12" s="20" t="n">
        <v>1.87757045</v>
      </c>
      <c r="G12" s="18" t="n">
        <v>3.94035344</v>
      </c>
      <c r="H12" s="20" t="n">
        <v>0.73573957</v>
      </c>
      <c r="I12" s="18" t="n">
        <v>8.642781919999999</v>
      </c>
      <c r="J12" s="20" t="n">
        <v>0.9521142</v>
      </c>
      <c r="K12" s="18" t="s">
        <v>349</v>
      </c>
      <c r="L12" s="20" t="s">
        <v>349</v>
      </c>
      <c r="M12" s="18" t="n">
        <v>0.73975517</v>
      </c>
      <c r="N12" s="20" t="n">
        <v>0.35985377</v>
      </c>
      <c r="O12" s="18" t="n">
        <v>0</v>
      </c>
      <c r="P12" s="20" t="n">
        <v>0</v>
      </c>
      <c r="Q12" s="18" t="n">
        <v>0</v>
      </c>
      <c r="R12" s="20" t="n">
        <v>0</v>
      </c>
      <c r="S12" s="18" t="n">
        <v>14.22345384</v>
      </c>
      <c r="T12" s="20" t="n">
        <v>1.46721719</v>
      </c>
    </row>
    <row r="13" spans="1:20">
      <c r="A13" s="15" t="s">
        <v>355</v>
      </c>
      <c r="B13" s="17" t="n">
        <v>7161</v>
      </c>
      <c r="C13" s="18">
        <f>(6329.0/B13*100)</f>
        <v/>
      </c>
      <c r="D13" s="19" t="n">
        <v>832</v>
      </c>
      <c r="E13" s="18" t="n">
        <v>76.74964002999999</v>
      </c>
      <c r="F13" s="20" t="n">
        <v>1.76927064</v>
      </c>
      <c r="G13" s="18" t="n">
        <v>4.19421924</v>
      </c>
      <c r="H13" s="20" t="n">
        <v>0.7050911600000001</v>
      </c>
      <c r="I13" s="18" t="n">
        <v>10.68726894</v>
      </c>
      <c r="J13" s="20" t="n">
        <v>1.27697856</v>
      </c>
      <c r="K13" s="18" t="s">
        <v>349</v>
      </c>
      <c r="L13" s="20" t="s">
        <v>349</v>
      </c>
      <c r="M13" s="18" t="n">
        <v>0.93126365</v>
      </c>
      <c r="N13" s="20" t="n">
        <v>0.33781613</v>
      </c>
      <c r="O13" s="18" t="n">
        <v>0</v>
      </c>
      <c r="P13" s="20" t="n">
        <v>0</v>
      </c>
      <c r="Q13" s="18" t="n">
        <v>0</v>
      </c>
      <c r="R13" s="20" t="n">
        <v>0</v>
      </c>
      <c r="S13" s="18" t="n">
        <v>7.43760814</v>
      </c>
      <c r="T13" s="20" t="n">
        <v>0.95018695</v>
      </c>
    </row>
    <row r="14" spans="1:20">
      <c r="A14" s="15" t="s">
        <v>356</v>
      </c>
      <c r="B14" s="17" t="n">
        <v>5587</v>
      </c>
      <c r="C14" s="18">
        <f>(4909.0/B14*100)</f>
        <v/>
      </c>
      <c r="D14" s="19" t="n">
        <v>678</v>
      </c>
      <c r="E14" s="18" t="n">
        <v>75.61284698999999</v>
      </c>
      <c r="F14" s="20" t="n">
        <v>1.81938646</v>
      </c>
      <c r="G14" s="18" t="n">
        <v>4.89244503</v>
      </c>
      <c r="H14" s="20" t="n">
        <v>0.83620951</v>
      </c>
      <c r="I14" s="18" t="n">
        <v>10.23628948</v>
      </c>
      <c r="J14" s="20" t="n">
        <v>1.28279179</v>
      </c>
      <c r="K14" s="18" t="s">
        <v>349</v>
      </c>
      <c r="L14" s="20" t="s">
        <v>349</v>
      </c>
      <c r="M14" s="18" t="n">
        <v>0.49030811</v>
      </c>
      <c r="N14" s="20" t="n">
        <v>0.30418696</v>
      </c>
      <c r="O14" s="18" t="n">
        <v>0</v>
      </c>
      <c r="P14" s="20" t="n">
        <v>0</v>
      </c>
      <c r="Q14" s="18" t="n">
        <v>0</v>
      </c>
      <c r="R14" s="20" t="n">
        <v>0</v>
      </c>
      <c r="S14" s="18" t="n">
        <v>8.76811039</v>
      </c>
      <c r="T14" s="20" t="n">
        <v>1.15001948</v>
      </c>
    </row>
    <row r="15" spans="1:20">
      <c r="A15" s="15" t="s">
        <v>357</v>
      </c>
      <c r="B15" s="17" t="n">
        <v>5882</v>
      </c>
      <c r="C15" s="18">
        <f>(5168.0/B15*100)</f>
        <v/>
      </c>
      <c r="D15" s="19" t="n">
        <v>714</v>
      </c>
      <c r="E15" s="18" t="n">
        <v>72.17571825</v>
      </c>
      <c r="F15" s="20" t="n">
        <v>1.86331236</v>
      </c>
      <c r="G15" s="18" t="n">
        <v>1.83595031</v>
      </c>
      <c r="H15" s="20" t="n">
        <v>0.55842904</v>
      </c>
      <c r="I15" s="18" t="n">
        <v>11.30900727</v>
      </c>
      <c r="J15" s="20" t="n">
        <v>1.17130741</v>
      </c>
      <c r="K15" s="18" t="s">
        <v>349</v>
      </c>
      <c r="L15" s="20" t="s">
        <v>349</v>
      </c>
      <c r="M15" s="18" t="n">
        <v>1.26413523</v>
      </c>
      <c r="N15" s="20" t="n">
        <v>0.4307652</v>
      </c>
      <c r="O15" s="18" t="n">
        <v>0</v>
      </c>
      <c r="P15" s="20" t="n">
        <v>0</v>
      </c>
      <c r="Q15" s="18" t="n">
        <v>0</v>
      </c>
      <c r="R15" s="20" t="n">
        <v>0</v>
      </c>
      <c r="S15" s="18" t="n">
        <v>13.41518894</v>
      </c>
      <c r="T15" s="20" t="n">
        <v>1.28979716</v>
      </c>
    </row>
    <row r="16" spans="1:20">
      <c r="A16" s="15" t="s">
        <v>358</v>
      </c>
      <c r="B16" s="17" t="n">
        <v>6108</v>
      </c>
      <c r="C16" s="18">
        <f>(5385.0/B16*100)</f>
        <v/>
      </c>
      <c r="D16" s="19" t="n">
        <v>723</v>
      </c>
      <c r="E16" s="18" t="n">
        <v>62.9906405</v>
      </c>
      <c r="F16" s="20" t="n">
        <v>1.79950462</v>
      </c>
      <c r="G16" s="18" t="n">
        <v>6.54095372</v>
      </c>
      <c r="H16" s="20" t="n">
        <v>0.98429986</v>
      </c>
      <c r="I16" s="18" t="n">
        <v>7.89363159</v>
      </c>
      <c r="J16" s="20" t="n">
        <v>1.03482711</v>
      </c>
      <c r="K16" s="18" t="s">
        <v>349</v>
      </c>
      <c r="L16" s="20" t="s">
        <v>349</v>
      </c>
      <c r="M16" s="18" t="n">
        <v>2.94065632</v>
      </c>
      <c r="N16" s="20" t="n">
        <v>0.65817235</v>
      </c>
      <c r="O16" s="18" t="n">
        <v>0</v>
      </c>
      <c r="P16" s="20" t="n">
        <v>0</v>
      </c>
      <c r="Q16" s="18" t="n">
        <v>0</v>
      </c>
      <c r="R16" s="20" t="n">
        <v>0</v>
      </c>
      <c r="S16" s="18" t="n">
        <v>19.63411787</v>
      </c>
      <c r="T16" s="20" t="n">
        <v>1.48674561</v>
      </c>
    </row>
    <row r="17" spans="1:20">
      <c r="A17" s="15" t="s">
        <v>359</v>
      </c>
      <c r="B17" s="17" t="n">
        <v>6504</v>
      </c>
      <c r="C17" s="18">
        <f>(5746.0/B17*100)</f>
        <v/>
      </c>
      <c r="D17" s="19" t="n">
        <v>758</v>
      </c>
      <c r="E17" s="18" t="n">
        <v>72.16013078</v>
      </c>
      <c r="F17" s="20" t="n">
        <v>1.84307206</v>
      </c>
      <c r="G17" s="18" t="n">
        <v>6.6936099</v>
      </c>
      <c r="H17" s="20" t="n">
        <v>0.96826586</v>
      </c>
      <c r="I17" s="18" t="n">
        <v>8.276161569999999</v>
      </c>
      <c r="J17" s="20" t="n">
        <v>1.09255189</v>
      </c>
      <c r="K17" s="18" t="s">
        <v>349</v>
      </c>
      <c r="L17" s="20" t="s">
        <v>349</v>
      </c>
      <c r="M17" s="18" t="n">
        <v>0.4702369</v>
      </c>
      <c r="N17" s="20" t="n">
        <v>0.3246954</v>
      </c>
      <c r="O17" s="18" t="n">
        <v>0</v>
      </c>
      <c r="P17" s="20" t="n">
        <v>0</v>
      </c>
      <c r="Q17" s="18" t="n">
        <v>0</v>
      </c>
      <c r="R17" s="20" t="n">
        <v>0</v>
      </c>
      <c r="S17" s="18" t="n">
        <v>12.39986085</v>
      </c>
      <c r="T17" s="20" t="n">
        <v>1.25594138</v>
      </c>
    </row>
    <row r="18" spans="1:20">
      <c r="A18" s="15" t="s">
        <v>360</v>
      </c>
      <c r="B18" s="17" t="n">
        <v>5532</v>
      </c>
      <c r="C18" s="18">
        <f>(4864.0/B18*100)</f>
        <v/>
      </c>
      <c r="D18" s="19" t="n">
        <v>668</v>
      </c>
      <c r="E18" s="18" t="n">
        <v>79.04679222999999</v>
      </c>
      <c r="F18" s="20" t="n">
        <v>1.89918522</v>
      </c>
      <c r="G18" s="18" t="n">
        <v>4.88760116</v>
      </c>
      <c r="H18" s="20" t="n">
        <v>0.923972</v>
      </c>
      <c r="I18" s="18" t="n">
        <v>2.91972302</v>
      </c>
      <c r="J18" s="20" t="n">
        <v>0.67989361</v>
      </c>
      <c r="K18" s="18" t="s">
        <v>349</v>
      </c>
      <c r="L18" s="20" t="s">
        <v>349</v>
      </c>
      <c r="M18" s="18" t="n">
        <v>2.15465171</v>
      </c>
      <c r="N18" s="20" t="n">
        <v>0.68731868</v>
      </c>
      <c r="O18" s="18" t="n">
        <v>0</v>
      </c>
      <c r="P18" s="20" t="n">
        <v>0</v>
      </c>
      <c r="Q18" s="18" t="n">
        <v>0</v>
      </c>
      <c r="R18" s="20" t="n">
        <v>0</v>
      </c>
      <c r="S18" s="18" t="n">
        <v>10.99123187</v>
      </c>
      <c r="T18" s="20" t="n">
        <v>1.41267577</v>
      </c>
    </row>
    <row r="19" spans="1:20">
      <c r="A19" s="15" t="s">
        <v>361</v>
      </c>
      <c r="B19" s="17" t="n">
        <v>5658</v>
      </c>
      <c r="C19" s="18">
        <f>(4988.0/B19*100)</f>
        <v/>
      </c>
      <c r="D19" s="19" t="n">
        <v>670</v>
      </c>
      <c r="E19" s="18" t="n">
        <v>74.97782694999999</v>
      </c>
      <c r="F19" s="20" t="n">
        <v>1.6085723</v>
      </c>
      <c r="G19" s="18" t="n">
        <v>4.29556309</v>
      </c>
      <c r="H19" s="20" t="n">
        <v>0.78804421</v>
      </c>
      <c r="I19" s="18" t="n">
        <v>5.14773562</v>
      </c>
      <c r="J19" s="20" t="n">
        <v>0.80484187</v>
      </c>
      <c r="K19" s="18" t="s">
        <v>349</v>
      </c>
      <c r="L19" s="20" t="s">
        <v>349</v>
      </c>
      <c r="M19" s="18" t="n">
        <v>0.8205148799999999</v>
      </c>
      <c r="N19" s="20" t="n">
        <v>0.30486643</v>
      </c>
      <c r="O19" s="18" t="n">
        <v>0</v>
      </c>
      <c r="P19" s="20" t="n">
        <v>0</v>
      </c>
      <c r="Q19" s="18" t="n">
        <v>0</v>
      </c>
      <c r="R19" s="20" t="n">
        <v>0</v>
      </c>
      <c r="S19" s="18" t="n">
        <v>14.75835946</v>
      </c>
      <c r="T19" s="20" t="n">
        <v>1.3500833</v>
      </c>
    </row>
    <row r="20" spans="1:20">
      <c r="A20" s="15" t="s">
        <v>362</v>
      </c>
      <c r="B20" s="17" t="n">
        <v>3371</v>
      </c>
      <c r="C20" s="18">
        <f>(2968.0/B20*100)</f>
        <v/>
      </c>
      <c r="D20" s="19" t="n">
        <v>403</v>
      </c>
      <c r="E20" s="18" t="n">
        <v>71.61344592</v>
      </c>
      <c r="F20" s="20" t="n">
        <v>2.24921223</v>
      </c>
      <c r="G20" s="18" t="n">
        <v>3.82949322</v>
      </c>
      <c r="H20" s="20" t="n">
        <v>1.06310629</v>
      </c>
      <c r="I20" s="18" t="n">
        <v>7.93216916</v>
      </c>
      <c r="J20" s="20" t="n">
        <v>1.3510211</v>
      </c>
      <c r="K20" s="18" t="s">
        <v>349</v>
      </c>
      <c r="L20" s="20" t="s">
        <v>349</v>
      </c>
      <c r="M20" s="18" t="n">
        <v>2.11307323</v>
      </c>
      <c r="N20" s="20" t="n">
        <v>0.7427085</v>
      </c>
      <c r="O20" s="18" t="n">
        <v>0</v>
      </c>
      <c r="P20" s="20" t="n">
        <v>0</v>
      </c>
      <c r="Q20" s="18" t="n">
        <v>0</v>
      </c>
      <c r="R20" s="20" t="n">
        <v>0</v>
      </c>
      <c r="S20" s="18" t="n">
        <v>14.51181847</v>
      </c>
      <c r="T20" s="20" t="n">
        <v>1.89031106</v>
      </c>
    </row>
    <row r="21" spans="1:20">
      <c r="A21" s="15" t="s">
        <v>363</v>
      </c>
      <c r="B21" s="17" t="n">
        <v>5741</v>
      </c>
      <c r="C21" s="18">
        <f>(4779.0/B21*100)</f>
        <v/>
      </c>
      <c r="D21" s="19" t="n">
        <v>962</v>
      </c>
      <c r="E21" s="18" t="n">
        <v>80.52343573</v>
      </c>
      <c r="F21" s="20" t="n">
        <v>1.3516515</v>
      </c>
      <c r="G21" s="18" t="n">
        <v>5.96823811</v>
      </c>
      <c r="H21" s="20" t="n">
        <v>0.9087271</v>
      </c>
      <c r="I21" s="18" t="n">
        <v>8.05532103</v>
      </c>
      <c r="J21" s="20" t="n">
        <v>0.80276191</v>
      </c>
      <c r="K21" s="18" t="s">
        <v>349</v>
      </c>
      <c r="L21" s="20" t="s">
        <v>349</v>
      </c>
      <c r="M21" s="18" t="n">
        <v>0.51070341</v>
      </c>
      <c r="N21" s="20" t="n">
        <v>0.22974741</v>
      </c>
      <c r="O21" s="18" t="n">
        <v>0</v>
      </c>
      <c r="P21" s="20" t="n">
        <v>0</v>
      </c>
      <c r="Q21" s="18" t="n">
        <v>0</v>
      </c>
      <c r="R21" s="20" t="n">
        <v>0</v>
      </c>
      <c r="S21" s="18" t="n">
        <v>4.94230172</v>
      </c>
      <c r="T21" s="20" t="n">
        <v>0.84722405</v>
      </c>
    </row>
    <row r="22" spans="1:20">
      <c r="A22" s="15" t="s">
        <v>364</v>
      </c>
      <c r="B22" s="17" t="n">
        <v>6598</v>
      </c>
      <c r="C22" s="18">
        <f>(5765.0/B22*100)</f>
        <v/>
      </c>
      <c r="D22" s="19" t="n">
        <v>833</v>
      </c>
      <c r="E22" s="18" t="n">
        <v>71.17380376</v>
      </c>
      <c r="F22" s="20" t="n">
        <v>1.72336298</v>
      </c>
      <c r="G22" s="18" t="n">
        <v>4.62925697</v>
      </c>
      <c r="H22" s="20" t="n">
        <v>0.76073136</v>
      </c>
      <c r="I22" s="18" t="n">
        <v>4.72983029</v>
      </c>
      <c r="J22" s="20" t="n">
        <v>0.81298485</v>
      </c>
      <c r="K22" s="18" t="s">
        <v>349</v>
      </c>
      <c r="L22" s="20" t="s">
        <v>349</v>
      </c>
      <c r="M22" s="18" t="n">
        <v>2.75803053</v>
      </c>
      <c r="N22" s="20" t="n">
        <v>0.5831911400000001</v>
      </c>
      <c r="O22" s="18" t="n">
        <v>0</v>
      </c>
      <c r="P22" s="20" t="n">
        <v>0</v>
      </c>
      <c r="Q22" s="18" t="n">
        <v>0</v>
      </c>
      <c r="R22" s="20" t="n">
        <v>0</v>
      </c>
      <c r="S22" s="18" t="n">
        <v>16.70907847</v>
      </c>
      <c r="T22" s="20" t="n">
        <v>1.56873034</v>
      </c>
    </row>
    <row r="23" spans="1:20">
      <c r="A23" s="15" t="s">
        <v>365</v>
      </c>
      <c r="B23" s="17" t="n">
        <v>11583</v>
      </c>
      <c r="C23" s="18">
        <f>(10153.0/B23*100)</f>
        <v/>
      </c>
      <c r="D23" s="19" t="n">
        <v>1430</v>
      </c>
      <c r="E23" s="18" t="n">
        <v>67.83424757</v>
      </c>
      <c r="F23" s="20" t="n">
        <v>1.55672206</v>
      </c>
      <c r="G23" s="18" t="n">
        <v>6.4285692</v>
      </c>
      <c r="H23" s="20" t="n">
        <v>0.91201447</v>
      </c>
      <c r="I23" s="18" t="n">
        <v>5.20539344</v>
      </c>
      <c r="J23" s="20" t="n">
        <v>0.78351853</v>
      </c>
      <c r="K23" s="18" t="s">
        <v>349</v>
      </c>
      <c r="L23" s="20" t="s">
        <v>349</v>
      </c>
      <c r="M23" s="18" t="n">
        <v>2.33594186</v>
      </c>
      <c r="N23" s="20" t="n">
        <v>0.81816617</v>
      </c>
      <c r="O23" s="18" t="n">
        <v>0</v>
      </c>
      <c r="P23" s="20" t="n">
        <v>0</v>
      </c>
      <c r="Q23" s="18" t="n">
        <v>0</v>
      </c>
      <c r="R23" s="20" t="n">
        <v>0</v>
      </c>
      <c r="S23" s="18" t="n">
        <v>18.19584793</v>
      </c>
      <c r="T23" s="20" t="n">
        <v>1.43855823</v>
      </c>
    </row>
    <row r="24" spans="1:20">
      <c r="A24" s="15" t="s">
        <v>366</v>
      </c>
      <c r="B24" s="17" t="n">
        <v>6647</v>
      </c>
      <c r="C24" s="18">
        <f>(5850.0/B24*100)</f>
        <v/>
      </c>
      <c r="D24" s="19" t="n">
        <v>797</v>
      </c>
      <c r="E24" s="18" t="n">
        <v>68.41841982</v>
      </c>
      <c r="F24" s="20" t="n">
        <v>1.83914298</v>
      </c>
      <c r="G24" s="18" t="n">
        <v>4.67053966</v>
      </c>
      <c r="H24" s="20" t="n">
        <v>0.78637728</v>
      </c>
      <c r="I24" s="18" t="n">
        <v>13.90119091</v>
      </c>
      <c r="J24" s="20" t="n">
        <v>1.42003126</v>
      </c>
      <c r="K24" s="18" t="s">
        <v>349</v>
      </c>
      <c r="L24" s="20" t="s">
        <v>349</v>
      </c>
      <c r="M24" s="18" t="n">
        <v>0.20970971</v>
      </c>
      <c r="N24" s="20" t="n">
        <v>0.1500695</v>
      </c>
      <c r="O24" s="18" t="n">
        <v>0</v>
      </c>
      <c r="P24" s="20" t="n">
        <v>0</v>
      </c>
      <c r="Q24" s="18" t="n">
        <v>0</v>
      </c>
      <c r="R24" s="20" t="n">
        <v>0</v>
      </c>
      <c r="S24" s="18" t="n">
        <v>12.8001399</v>
      </c>
      <c r="T24" s="20" t="n">
        <v>1.3731103</v>
      </c>
    </row>
    <row r="25" spans="1:20">
      <c r="A25" s="15" t="s">
        <v>367</v>
      </c>
      <c r="B25" s="17" t="n">
        <v>5581</v>
      </c>
      <c r="C25" s="18">
        <f>(4882.0/B25*100)</f>
        <v/>
      </c>
      <c r="D25" s="19" t="n">
        <v>699</v>
      </c>
      <c r="E25" s="18" t="n">
        <v>71.20939887999999</v>
      </c>
      <c r="F25" s="20" t="n">
        <v>1.7954776</v>
      </c>
      <c r="G25" s="18" t="n">
        <v>3.15313875</v>
      </c>
      <c r="H25" s="20" t="n">
        <v>0.58822439</v>
      </c>
      <c r="I25" s="18" t="n">
        <v>15.07475353</v>
      </c>
      <c r="J25" s="20" t="n">
        <v>1.59586021</v>
      </c>
      <c r="K25" s="18" t="s">
        <v>349</v>
      </c>
      <c r="L25" s="20" t="s">
        <v>349</v>
      </c>
      <c r="M25" s="18" t="n">
        <v>1.29976738</v>
      </c>
      <c r="N25" s="20" t="n">
        <v>0.44759233</v>
      </c>
      <c r="O25" s="18" t="n">
        <v>0</v>
      </c>
      <c r="P25" s="20" t="n">
        <v>0</v>
      </c>
      <c r="Q25" s="18" t="n">
        <v>0</v>
      </c>
      <c r="R25" s="20" t="n">
        <v>0</v>
      </c>
      <c r="S25" s="18" t="n">
        <v>9.26294145</v>
      </c>
      <c r="T25" s="20" t="n">
        <v>1.15055951</v>
      </c>
    </row>
    <row r="26" spans="1:20">
      <c r="A26" s="15" t="s">
        <v>368</v>
      </c>
      <c r="B26" s="17" t="n">
        <v>4869</v>
      </c>
      <c r="C26" s="18">
        <f>(4268.0/B26*100)</f>
        <v/>
      </c>
      <c r="D26" s="19" t="n">
        <v>601</v>
      </c>
      <c r="E26" s="18" t="n">
        <v>78.13877918999999</v>
      </c>
      <c r="F26" s="20" t="n">
        <v>1.73378746</v>
      </c>
      <c r="G26" s="18" t="n">
        <v>5.94583872</v>
      </c>
      <c r="H26" s="20" t="n">
        <v>1.14481219</v>
      </c>
      <c r="I26" s="18" t="n">
        <v>4.41796446</v>
      </c>
      <c r="J26" s="20" t="n">
        <v>0.89413575</v>
      </c>
      <c r="K26" s="18" t="s">
        <v>349</v>
      </c>
      <c r="L26" s="20" t="s">
        <v>349</v>
      </c>
      <c r="M26" s="18" t="n">
        <v>1.13967646</v>
      </c>
      <c r="N26" s="20" t="n">
        <v>0.49299853</v>
      </c>
      <c r="O26" s="18" t="n">
        <v>0</v>
      </c>
      <c r="P26" s="20" t="n">
        <v>0</v>
      </c>
      <c r="Q26" s="18" t="n">
        <v>0</v>
      </c>
      <c r="R26" s="20" t="n">
        <v>0</v>
      </c>
      <c r="S26" s="18" t="n">
        <v>10.35774117</v>
      </c>
      <c r="T26" s="20" t="n">
        <v>1.04582569</v>
      </c>
    </row>
    <row r="27" spans="1:20">
      <c r="A27" s="15" t="s">
        <v>369</v>
      </c>
      <c r="B27" s="17" t="n">
        <v>5299</v>
      </c>
      <c r="C27" s="18">
        <f>(4662.0/B27*100)</f>
        <v/>
      </c>
      <c r="D27" s="19" t="n">
        <v>637</v>
      </c>
      <c r="E27" s="18" t="n">
        <v>74.65614152000001</v>
      </c>
      <c r="F27" s="20" t="n">
        <v>1.86882095</v>
      </c>
      <c r="G27" s="18" t="n">
        <v>5.94892333</v>
      </c>
      <c r="H27" s="20" t="n">
        <v>0.8720599</v>
      </c>
      <c r="I27" s="18" t="n">
        <v>7.06301662</v>
      </c>
      <c r="J27" s="20" t="n">
        <v>0.93444619</v>
      </c>
      <c r="K27" s="18" t="s">
        <v>349</v>
      </c>
      <c r="L27" s="20" t="s">
        <v>349</v>
      </c>
      <c r="M27" s="18" t="n">
        <v>1.27543019</v>
      </c>
      <c r="N27" s="20" t="n">
        <v>0.39363129</v>
      </c>
      <c r="O27" s="18" t="n">
        <v>0</v>
      </c>
      <c r="P27" s="20" t="n">
        <v>0</v>
      </c>
      <c r="Q27" s="18" t="n">
        <v>0</v>
      </c>
      <c r="R27" s="20" t="n">
        <v>0</v>
      </c>
      <c r="S27" s="18" t="n">
        <v>11.05648834</v>
      </c>
      <c r="T27" s="20" t="n">
        <v>1.3715771</v>
      </c>
    </row>
    <row r="28" spans="1:20">
      <c r="A28" s="15" t="s">
        <v>370</v>
      </c>
      <c r="B28" s="17" t="n">
        <v>7568</v>
      </c>
      <c r="C28" s="18">
        <f>(6689.0/B28*100)</f>
        <v/>
      </c>
      <c r="D28" s="19" t="n">
        <v>879</v>
      </c>
      <c r="E28" s="18" t="n">
        <v>87.62026478</v>
      </c>
      <c r="F28" s="20" t="n">
        <v>1.23482569</v>
      </c>
      <c r="G28" s="18" t="n">
        <v>2.89533208</v>
      </c>
      <c r="H28" s="20" t="n">
        <v>0.6476493</v>
      </c>
      <c r="I28" s="18" t="n">
        <v>0.16916829</v>
      </c>
      <c r="J28" s="20" t="n">
        <v>0.12488418</v>
      </c>
      <c r="K28" s="18" t="s">
        <v>349</v>
      </c>
      <c r="L28" s="20" t="s">
        <v>349</v>
      </c>
      <c r="M28" s="18" t="n">
        <v>1.31971946</v>
      </c>
      <c r="N28" s="20" t="n">
        <v>0.48122938</v>
      </c>
      <c r="O28" s="18" t="n">
        <v>0</v>
      </c>
      <c r="P28" s="20" t="n">
        <v>0</v>
      </c>
      <c r="Q28" s="18" t="n">
        <v>0</v>
      </c>
      <c r="R28" s="20" t="n">
        <v>0</v>
      </c>
      <c r="S28" s="18" t="n">
        <v>7.99551539</v>
      </c>
      <c r="T28" s="20" t="n">
        <v>1.03792731</v>
      </c>
    </row>
    <row r="29" spans="1:20">
      <c r="A29" s="15" t="s">
        <v>371</v>
      </c>
      <c r="B29" s="17" t="n">
        <v>5385</v>
      </c>
      <c r="C29" s="18">
        <f>(4720.0/B29*100)</f>
        <v/>
      </c>
      <c r="D29" s="19" t="n">
        <v>665</v>
      </c>
      <c r="E29" s="18" t="n">
        <v>71.08067557</v>
      </c>
      <c r="F29" s="20" t="n">
        <v>2.00338029</v>
      </c>
      <c r="G29" s="18" t="n">
        <v>9.713135060000001</v>
      </c>
      <c r="H29" s="20" t="n">
        <v>1.23367213</v>
      </c>
      <c r="I29" s="18" t="n">
        <v>13.71903776</v>
      </c>
      <c r="J29" s="20" t="n">
        <v>1.55543521</v>
      </c>
      <c r="K29" s="18" t="s">
        <v>349</v>
      </c>
      <c r="L29" s="20" t="s">
        <v>349</v>
      </c>
      <c r="M29" s="18" t="n">
        <v>0.50909923</v>
      </c>
      <c r="N29" s="20" t="n">
        <v>0.28286444</v>
      </c>
      <c r="O29" s="18" t="n">
        <v>0</v>
      </c>
      <c r="P29" s="20" t="n">
        <v>0</v>
      </c>
      <c r="Q29" s="18" t="n">
        <v>0</v>
      </c>
      <c r="R29" s="20" t="n">
        <v>0</v>
      </c>
      <c r="S29" s="18" t="n">
        <v>4.97805237</v>
      </c>
      <c r="T29" s="20" t="n">
        <v>0.87742975</v>
      </c>
    </row>
    <row r="30" spans="1:20">
      <c r="A30" s="15" t="s">
        <v>372</v>
      </c>
      <c r="B30" s="17" t="n">
        <v>4520</v>
      </c>
      <c r="C30" s="18">
        <f>(3964.0/B30*100)</f>
        <v/>
      </c>
      <c r="D30" s="19" t="n">
        <v>556</v>
      </c>
      <c r="E30" s="18" t="n">
        <v>78.10445323</v>
      </c>
      <c r="F30" s="20" t="n">
        <v>2.07870722</v>
      </c>
      <c r="G30" s="18" t="n">
        <v>1.59037438</v>
      </c>
      <c r="H30" s="20" t="n">
        <v>0.52574783</v>
      </c>
      <c r="I30" s="18" t="n">
        <v>9.734548240000001</v>
      </c>
      <c r="J30" s="20" t="n">
        <v>1.38747346</v>
      </c>
      <c r="K30" s="18" t="s">
        <v>349</v>
      </c>
      <c r="L30" s="20" t="s">
        <v>349</v>
      </c>
      <c r="M30" s="18" t="n">
        <v>1.0571577</v>
      </c>
      <c r="N30" s="20" t="n">
        <v>0.48996942</v>
      </c>
      <c r="O30" s="18" t="n">
        <v>0</v>
      </c>
      <c r="P30" s="20" t="n">
        <v>0</v>
      </c>
      <c r="Q30" s="18" t="n">
        <v>0</v>
      </c>
      <c r="R30" s="20" t="n">
        <v>0</v>
      </c>
      <c r="S30" s="18" t="n">
        <v>9.51346646</v>
      </c>
      <c r="T30" s="20" t="n">
        <v>1.21180095</v>
      </c>
    </row>
    <row r="31" spans="1:20">
      <c r="A31" s="15" t="s">
        <v>373</v>
      </c>
      <c r="B31" s="17" t="n">
        <v>5456</v>
      </c>
      <c r="C31" s="18">
        <f>(4813.0/B31*100)</f>
        <v/>
      </c>
      <c r="D31" s="19" t="n">
        <v>643</v>
      </c>
      <c r="E31" s="18" t="n">
        <v>69.79953249</v>
      </c>
      <c r="F31" s="20" t="n">
        <v>1.91890302</v>
      </c>
      <c r="G31" s="18" t="n">
        <v>3.05024204</v>
      </c>
      <c r="H31" s="20" t="n">
        <v>0.74765522</v>
      </c>
      <c r="I31" s="18" t="n">
        <v>6.30849375</v>
      </c>
      <c r="J31" s="20" t="n">
        <v>1.06115867</v>
      </c>
      <c r="K31" s="18" t="s">
        <v>349</v>
      </c>
      <c r="L31" s="20" t="s">
        <v>349</v>
      </c>
      <c r="M31" s="18" t="n">
        <v>2.32560129</v>
      </c>
      <c r="N31" s="20" t="n">
        <v>0.5815863999999999</v>
      </c>
      <c r="O31" s="18" t="n">
        <v>0</v>
      </c>
      <c r="P31" s="20" t="n">
        <v>0</v>
      </c>
      <c r="Q31" s="18" t="n">
        <v>0</v>
      </c>
      <c r="R31" s="20" t="n">
        <v>0</v>
      </c>
      <c r="S31" s="18" t="n">
        <v>18.51613044</v>
      </c>
      <c r="T31" s="20" t="n">
        <v>1.74888135</v>
      </c>
    </row>
    <row r="32" spans="1:20">
      <c r="A32" s="15" t="s">
        <v>374</v>
      </c>
      <c r="B32" s="17" t="n">
        <v>4478</v>
      </c>
      <c r="C32" s="18">
        <f>(3741.0/B32*100)</f>
        <v/>
      </c>
      <c r="D32" s="19" t="n">
        <v>737</v>
      </c>
      <c r="E32" s="18" t="n">
        <v>73.72642037</v>
      </c>
      <c r="F32" s="20" t="n">
        <v>1.59927712</v>
      </c>
      <c r="G32" s="18" t="n">
        <v>3.92054142</v>
      </c>
      <c r="H32" s="20" t="n">
        <v>0.69554375</v>
      </c>
      <c r="I32" s="18" t="n">
        <v>8.0636983</v>
      </c>
      <c r="J32" s="20" t="n">
        <v>1.25306768</v>
      </c>
      <c r="K32" s="18" t="s">
        <v>349</v>
      </c>
      <c r="L32" s="20" t="s">
        <v>349</v>
      </c>
      <c r="M32" s="18" t="n">
        <v>0.67358046</v>
      </c>
      <c r="N32" s="20" t="n">
        <v>0.34189698</v>
      </c>
      <c r="O32" s="18" t="n">
        <v>0</v>
      </c>
      <c r="P32" s="20" t="n">
        <v>0</v>
      </c>
      <c r="Q32" s="18" t="n">
        <v>0</v>
      </c>
      <c r="R32" s="20" t="n">
        <v>0</v>
      </c>
      <c r="S32" s="18" t="n">
        <v>13.61575945</v>
      </c>
      <c r="T32" s="20" t="n">
        <v>1.35430894</v>
      </c>
    </row>
    <row r="33" spans="1:20">
      <c r="A33" s="15" t="s">
        <v>375</v>
      </c>
      <c r="B33" s="17" t="n">
        <v>7325</v>
      </c>
      <c r="C33" s="18">
        <f>(6458.0/B33*100)</f>
        <v/>
      </c>
      <c r="D33" s="19" t="n">
        <v>867</v>
      </c>
      <c r="E33" s="18" t="n">
        <v>73.54647257000001</v>
      </c>
      <c r="F33" s="20" t="n">
        <v>1.79490066</v>
      </c>
      <c r="G33" s="18" t="n">
        <v>7.80373003</v>
      </c>
      <c r="H33" s="20" t="n">
        <v>0.97020431</v>
      </c>
      <c r="I33" s="18" t="n">
        <v>4.02798835</v>
      </c>
      <c r="J33" s="20" t="n">
        <v>1.06898172</v>
      </c>
      <c r="K33" s="18" t="s">
        <v>349</v>
      </c>
      <c r="L33" s="20" t="s">
        <v>349</v>
      </c>
      <c r="M33" s="18" t="n">
        <v>0.92619453</v>
      </c>
      <c r="N33" s="20" t="n">
        <v>0.45406106</v>
      </c>
      <c r="O33" s="18" t="n">
        <v>0</v>
      </c>
      <c r="P33" s="20" t="n">
        <v>0</v>
      </c>
      <c r="Q33" s="18" t="n">
        <v>0</v>
      </c>
      <c r="R33" s="20" t="n">
        <v>0</v>
      </c>
      <c r="S33" s="18" t="n">
        <v>13.69561453</v>
      </c>
      <c r="T33" s="20" t="n">
        <v>1.35594977</v>
      </c>
    </row>
    <row r="34" spans="1:20">
      <c r="A34" s="15" t="s">
        <v>376</v>
      </c>
      <c r="B34" s="17" t="n">
        <v>6350</v>
      </c>
      <c r="C34" s="18">
        <f>(5593.0/B34*100)</f>
        <v/>
      </c>
      <c r="D34" s="19" t="n">
        <v>757</v>
      </c>
      <c r="E34" s="18" t="n">
        <v>77.11138242</v>
      </c>
      <c r="F34" s="20" t="n">
        <v>1.78720386</v>
      </c>
      <c r="G34" s="18" t="n">
        <v>3.03068586</v>
      </c>
      <c r="H34" s="20" t="n">
        <v>0.62570709</v>
      </c>
      <c r="I34" s="18" t="n">
        <v>6.15237565</v>
      </c>
      <c r="J34" s="20" t="n">
        <v>0.96053026</v>
      </c>
      <c r="K34" s="18" t="s">
        <v>349</v>
      </c>
      <c r="L34" s="20" t="s">
        <v>349</v>
      </c>
      <c r="M34" s="18" t="n">
        <v>1.09037226</v>
      </c>
      <c r="N34" s="20" t="n">
        <v>0.38880775</v>
      </c>
      <c r="O34" s="18" t="n">
        <v>0</v>
      </c>
      <c r="P34" s="20" t="n">
        <v>0</v>
      </c>
      <c r="Q34" s="18" t="n">
        <v>0</v>
      </c>
      <c r="R34" s="20" t="n">
        <v>0</v>
      </c>
      <c r="S34" s="18" t="n">
        <v>12.6151838</v>
      </c>
      <c r="T34" s="20" t="n">
        <v>1.3524923</v>
      </c>
    </row>
    <row r="35" spans="1:20">
      <c r="A35" s="15" t="s">
        <v>377</v>
      </c>
      <c r="B35" s="17" t="n">
        <v>6406</v>
      </c>
      <c r="C35" s="18">
        <f>(5664.0/B35*100)</f>
        <v/>
      </c>
      <c r="D35" s="19" t="n">
        <v>742</v>
      </c>
      <c r="E35" s="18" t="n">
        <v>77.51871997000001</v>
      </c>
      <c r="F35" s="20" t="n">
        <v>1.77478846</v>
      </c>
      <c r="G35" s="18" t="n">
        <v>7.08209189</v>
      </c>
      <c r="H35" s="20" t="n">
        <v>1.23869836</v>
      </c>
      <c r="I35" s="18" t="n">
        <v>5.85178362</v>
      </c>
      <c r="J35" s="20" t="n">
        <v>1.22151684</v>
      </c>
      <c r="K35" s="18" t="s">
        <v>349</v>
      </c>
      <c r="L35" s="20" t="s">
        <v>349</v>
      </c>
      <c r="M35" s="18" t="n">
        <v>0.43988494</v>
      </c>
      <c r="N35" s="20" t="n">
        <v>0.21149332</v>
      </c>
      <c r="O35" s="18" t="n">
        <v>0</v>
      </c>
      <c r="P35" s="20" t="n">
        <v>0</v>
      </c>
      <c r="Q35" s="18" t="n">
        <v>0</v>
      </c>
      <c r="R35" s="20" t="n">
        <v>0</v>
      </c>
      <c r="S35" s="18" t="n">
        <v>9.10751958</v>
      </c>
      <c r="T35" s="20" t="n">
        <v>1.1572142</v>
      </c>
    </row>
    <row r="36" spans="1:20">
      <c r="A36" s="15" t="s">
        <v>378</v>
      </c>
      <c r="B36" s="17" t="n">
        <v>6736</v>
      </c>
      <c r="C36" s="18">
        <f>(5909.0/B36*100)</f>
        <v/>
      </c>
      <c r="D36" s="19" t="n">
        <v>827</v>
      </c>
      <c r="E36" s="18" t="n">
        <v>78.31122153</v>
      </c>
      <c r="F36" s="20" t="n">
        <v>1.32097157</v>
      </c>
      <c r="G36" s="18" t="n">
        <v>7.83497299</v>
      </c>
      <c r="H36" s="20" t="n">
        <v>1.01863849</v>
      </c>
      <c r="I36" s="18" t="n">
        <v>4.74058462</v>
      </c>
      <c r="J36" s="20" t="n">
        <v>0.72496984</v>
      </c>
      <c r="K36" s="18" t="s">
        <v>349</v>
      </c>
      <c r="L36" s="20" t="s">
        <v>349</v>
      </c>
      <c r="M36" s="18" t="n">
        <v>0.5860114400000001</v>
      </c>
      <c r="N36" s="20" t="n">
        <v>0.27032714</v>
      </c>
      <c r="O36" s="18" t="n">
        <v>0</v>
      </c>
      <c r="P36" s="20" t="n">
        <v>0</v>
      </c>
      <c r="Q36" s="18" t="n">
        <v>0</v>
      </c>
      <c r="R36" s="20" t="n">
        <v>0</v>
      </c>
      <c r="S36" s="18" t="n">
        <v>8.52720942</v>
      </c>
      <c r="T36" s="20" t="n">
        <v>0.9927345</v>
      </c>
    </row>
    <row r="37" spans="1:20">
      <c r="A37" s="15" t="s">
        <v>379</v>
      </c>
      <c r="B37" s="17" t="n">
        <v>5458</v>
      </c>
      <c r="C37" s="18">
        <f>(4804.0/B37*100)</f>
        <v/>
      </c>
      <c r="D37" s="19" t="n">
        <v>654</v>
      </c>
      <c r="E37" s="18" t="n">
        <v>65.45993446999999</v>
      </c>
      <c r="F37" s="20" t="n">
        <v>1.73015069</v>
      </c>
      <c r="G37" s="18" t="n">
        <v>3.28044173</v>
      </c>
      <c r="H37" s="20" t="n">
        <v>0.78977873</v>
      </c>
      <c r="I37" s="18" t="n">
        <v>9.65108794</v>
      </c>
      <c r="J37" s="20" t="n">
        <v>1.18515048</v>
      </c>
      <c r="K37" s="18" t="s">
        <v>349</v>
      </c>
      <c r="L37" s="20" t="s">
        <v>349</v>
      </c>
      <c r="M37" s="18" t="n">
        <v>3.06536695</v>
      </c>
      <c r="N37" s="20" t="n">
        <v>0.72617666</v>
      </c>
      <c r="O37" s="18" t="n">
        <v>0</v>
      </c>
      <c r="P37" s="20" t="n">
        <v>0</v>
      </c>
      <c r="Q37" s="18" t="n">
        <v>0</v>
      </c>
      <c r="R37" s="20" t="n">
        <v>0</v>
      </c>
      <c r="S37" s="18" t="n">
        <v>18.5431689</v>
      </c>
      <c r="T37" s="20" t="n">
        <v>1.46561638</v>
      </c>
    </row>
    <row r="38" spans="1:20">
      <c r="A38" s="15" t="s">
        <v>380</v>
      </c>
      <c r="B38" s="17" t="n">
        <v>5860</v>
      </c>
      <c r="C38" s="18">
        <f>(4884.0/B38*100)</f>
        <v/>
      </c>
      <c r="D38" s="19" t="n">
        <v>976</v>
      </c>
      <c r="E38" s="18" t="n">
        <v>66.82909149</v>
      </c>
      <c r="F38" s="20" t="n">
        <v>1.84855282</v>
      </c>
      <c r="G38" s="18" t="n">
        <v>6.88735824</v>
      </c>
      <c r="H38" s="20" t="n">
        <v>0.87725835</v>
      </c>
      <c r="I38" s="18" t="n">
        <v>13.95153448</v>
      </c>
      <c r="J38" s="20" t="n">
        <v>1.17692876</v>
      </c>
      <c r="K38" s="18" t="s">
        <v>349</v>
      </c>
      <c r="L38" s="20" t="s">
        <v>349</v>
      </c>
      <c r="M38" s="18" t="n">
        <v>1.62286692</v>
      </c>
      <c r="N38" s="20" t="n">
        <v>0.38362995</v>
      </c>
      <c r="O38" s="18" t="n">
        <v>0</v>
      </c>
      <c r="P38" s="20" t="n">
        <v>0</v>
      </c>
      <c r="Q38" s="18" t="n">
        <v>0</v>
      </c>
      <c r="R38" s="20" t="n">
        <v>0</v>
      </c>
      <c r="S38" s="18" t="n">
        <v>10.70914887</v>
      </c>
      <c r="T38" s="20" t="n">
        <v>1.24194503</v>
      </c>
    </row>
    <row r="39" spans="1:20">
      <c r="A39" s="15" t="s">
        <v>381</v>
      </c>
      <c r="B39" s="17" t="n">
        <v>5895</v>
      </c>
      <c r="C39" s="18">
        <f>(5171.0/B39*100)</f>
        <v/>
      </c>
      <c r="D39" s="19" t="n">
        <v>724</v>
      </c>
      <c r="E39" s="18" t="n">
        <v>85.88810825</v>
      </c>
      <c r="F39" s="20" t="n">
        <v>1.22144907</v>
      </c>
      <c r="G39" s="18" t="n">
        <v>2.17879059</v>
      </c>
      <c r="H39" s="20" t="n">
        <v>0.59544383</v>
      </c>
      <c r="I39" s="18" t="n">
        <v>0.76498762</v>
      </c>
      <c r="J39" s="20" t="n">
        <v>0.2239555</v>
      </c>
      <c r="K39" s="18" t="s">
        <v>349</v>
      </c>
      <c r="L39" s="20" t="s">
        <v>349</v>
      </c>
      <c r="M39" s="18" t="n">
        <v>0.61356701</v>
      </c>
      <c r="N39" s="20" t="n">
        <v>0.25286089</v>
      </c>
      <c r="O39" s="18" t="n">
        <v>0</v>
      </c>
      <c r="P39" s="20" t="n">
        <v>0</v>
      </c>
      <c r="Q39" s="18" t="n">
        <v>0</v>
      </c>
      <c r="R39" s="20" t="n">
        <v>0</v>
      </c>
      <c r="S39" s="18" t="n">
        <v>10.55454654</v>
      </c>
      <c r="T39" s="20" t="n">
        <v>1.09139269</v>
      </c>
    </row>
    <row r="40" spans="1:20">
      <c r="A40" s="15" t="s">
        <v>382</v>
      </c>
      <c r="B40" s="17" t="n">
        <v>14157</v>
      </c>
      <c r="C40" s="18">
        <f>(12446.0/B40*100)</f>
        <v/>
      </c>
      <c r="D40" s="19" t="n">
        <v>1711</v>
      </c>
      <c r="E40" s="18" t="n">
        <v>77.19608621</v>
      </c>
      <c r="F40" s="20" t="n">
        <v>1.53338803</v>
      </c>
      <c r="G40" s="18" t="n">
        <v>2.24111459</v>
      </c>
      <c r="H40" s="20" t="n">
        <v>0.561101</v>
      </c>
      <c r="I40" s="18" t="n">
        <v>7.96750912</v>
      </c>
      <c r="J40" s="20" t="n">
        <v>0.97580541</v>
      </c>
      <c r="K40" s="18" t="s">
        <v>349</v>
      </c>
      <c r="L40" s="20" t="s">
        <v>349</v>
      </c>
      <c r="M40" s="18" t="n">
        <v>1.38677403</v>
      </c>
      <c r="N40" s="20" t="n">
        <v>0.40858802</v>
      </c>
      <c r="O40" s="18" t="n">
        <v>0</v>
      </c>
      <c r="P40" s="20" t="n">
        <v>0</v>
      </c>
      <c r="Q40" s="18" t="n">
        <v>0</v>
      </c>
      <c r="R40" s="20" t="n">
        <v>0</v>
      </c>
      <c r="S40" s="18" t="n">
        <v>11.20851605</v>
      </c>
      <c r="T40" s="20" t="n">
        <v>1.21624022</v>
      </c>
    </row>
    <row r="41" spans="1:20">
      <c r="A41" s="15" t="s">
        <v>383</v>
      </c>
      <c r="B41" s="17" t="n">
        <v>5712</v>
      </c>
      <c r="C41" s="18">
        <f>(5024.0/B41*100)</f>
        <v/>
      </c>
      <c r="D41" s="19" t="n">
        <v>688</v>
      </c>
      <c r="E41" s="18" t="n">
        <v>89.93133181</v>
      </c>
      <c r="F41" s="20" t="n">
        <v>1.26810248</v>
      </c>
      <c r="G41" s="18" t="n">
        <v>2.25574077</v>
      </c>
      <c r="H41" s="20" t="n">
        <v>0.56251829</v>
      </c>
      <c r="I41" s="18" t="n">
        <v>4.40516022</v>
      </c>
      <c r="J41" s="20" t="n">
        <v>0.96673476</v>
      </c>
      <c r="K41" s="18" t="s">
        <v>349</v>
      </c>
      <c r="L41" s="20" t="s">
        <v>349</v>
      </c>
      <c r="M41" s="18" t="n">
        <v>0.30341421</v>
      </c>
      <c r="N41" s="20" t="n">
        <v>0.19874405</v>
      </c>
      <c r="O41" s="18" t="n">
        <v>0</v>
      </c>
      <c r="P41" s="20" t="n">
        <v>0</v>
      </c>
      <c r="Q41" s="18" t="n">
        <v>0</v>
      </c>
      <c r="R41" s="20" t="n">
        <v>0</v>
      </c>
      <c r="S41" s="18" t="n">
        <v>3.104353</v>
      </c>
      <c r="T41" s="20" t="n">
        <v>0.68123347</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23141</v>
      </c>
      <c r="C46" s="18">
        <f>(20758.0/B46*100)</f>
        <v/>
      </c>
      <c r="D46" s="19" t="n">
        <v>2383</v>
      </c>
      <c r="E46" s="18" t="n">
        <v>81.36167516</v>
      </c>
      <c r="F46" s="20" t="n">
        <v>0.94360745</v>
      </c>
      <c r="G46" s="18" t="n">
        <v>0.81687924</v>
      </c>
      <c r="H46" s="20" t="n">
        <v>0.22147648</v>
      </c>
      <c r="I46" s="18" t="n">
        <v>0.26955947</v>
      </c>
      <c r="J46" s="20" t="n">
        <v>0.1254332</v>
      </c>
      <c r="K46" s="18" t="s">
        <v>349</v>
      </c>
      <c r="L46" s="20" t="s">
        <v>349</v>
      </c>
      <c r="M46" s="18" t="n">
        <v>2.13767524</v>
      </c>
      <c r="N46" s="20" t="n">
        <v>0.37931274</v>
      </c>
      <c r="O46" s="18" t="n">
        <v>0</v>
      </c>
      <c r="P46" s="20" t="n">
        <v>0</v>
      </c>
      <c r="Q46" s="18" t="n">
        <v>0</v>
      </c>
      <c r="R46" s="20" t="n">
        <v>0</v>
      </c>
      <c r="S46" s="18" t="n">
        <v>15.4142109</v>
      </c>
      <c r="T46" s="20" t="n">
        <v>0.8775440799999999</v>
      </c>
    </row>
    <row r="47" spans="1:20">
      <c r="A47" s="15" t="s">
        <v>389</v>
      </c>
      <c r="B47" s="17" t="n">
        <v>5928</v>
      </c>
      <c r="C47" s="18">
        <f>(5233.0/B47*100)</f>
        <v/>
      </c>
      <c r="D47" s="19" t="n">
        <v>695</v>
      </c>
      <c r="E47" s="18" t="n">
        <v>75.82811114</v>
      </c>
      <c r="F47" s="20" t="n">
        <v>1.98994115</v>
      </c>
      <c r="G47" s="18" t="n">
        <v>3.08962417</v>
      </c>
      <c r="H47" s="20" t="n">
        <v>0.55518239</v>
      </c>
      <c r="I47" s="18" t="n">
        <v>1.9780748</v>
      </c>
      <c r="J47" s="20" t="n">
        <v>0.4939159</v>
      </c>
      <c r="K47" s="18" t="s">
        <v>349</v>
      </c>
      <c r="L47" s="20" t="s">
        <v>349</v>
      </c>
      <c r="M47" s="18" t="n">
        <v>1.99259266</v>
      </c>
      <c r="N47" s="20" t="n">
        <v>0.54150289</v>
      </c>
      <c r="O47" s="18" t="n">
        <v>0</v>
      </c>
      <c r="P47" s="20" t="n">
        <v>0</v>
      </c>
      <c r="Q47" s="18" t="n">
        <v>0</v>
      </c>
      <c r="R47" s="20" t="n">
        <v>0</v>
      </c>
      <c r="S47" s="18" t="n">
        <v>17.11159723</v>
      </c>
      <c r="T47" s="20" t="n">
        <v>1.79676632</v>
      </c>
    </row>
    <row r="48" spans="1:20">
      <c r="A48" s="15" t="s">
        <v>390</v>
      </c>
      <c r="B48" s="17" t="n">
        <v>9841</v>
      </c>
      <c r="C48" s="18">
        <f>(8630.0/B48*100)</f>
        <v/>
      </c>
      <c r="D48" s="19" t="n">
        <v>1211</v>
      </c>
      <c r="E48" s="18" t="n">
        <v>76.17724655000001</v>
      </c>
      <c r="F48" s="20" t="n">
        <v>1.92229039</v>
      </c>
      <c r="G48" s="18" t="n">
        <v>5.39373447</v>
      </c>
      <c r="H48" s="20" t="n">
        <v>0.80716619</v>
      </c>
      <c r="I48" s="18" t="n">
        <v>13.67819743</v>
      </c>
      <c r="J48" s="20" t="n">
        <v>1.93665542</v>
      </c>
      <c r="K48" s="18" t="s">
        <v>349</v>
      </c>
      <c r="L48" s="20" t="s">
        <v>349</v>
      </c>
      <c r="M48" s="18" t="n">
        <v>1.26167247</v>
      </c>
      <c r="N48" s="20" t="n">
        <v>0.52736089</v>
      </c>
      <c r="O48" s="18" t="n">
        <v>0</v>
      </c>
      <c r="P48" s="20" t="n">
        <v>0</v>
      </c>
      <c r="Q48" s="18" t="n">
        <v>0</v>
      </c>
      <c r="R48" s="20" t="n">
        <v>0</v>
      </c>
      <c r="S48" s="18" t="n">
        <v>3.48914908</v>
      </c>
      <c r="T48" s="20" t="n">
        <v>0.69287042</v>
      </c>
    </row>
    <row r="49" spans="1:20">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11795</v>
      </c>
      <c r="C50" s="18">
        <f>(10388.0/B50*100)</f>
        <v/>
      </c>
      <c r="D50" s="19" t="n">
        <v>1407</v>
      </c>
      <c r="E50" s="18" t="n">
        <v>85.82776077</v>
      </c>
      <c r="F50" s="20" t="n">
        <v>1.31910375</v>
      </c>
      <c r="G50" s="18" t="n">
        <v>1.15456755</v>
      </c>
      <c r="H50" s="20" t="n">
        <v>0.34004394</v>
      </c>
      <c r="I50" s="18" t="n">
        <v>0.26339744</v>
      </c>
      <c r="J50" s="20" t="n">
        <v>0.14001046</v>
      </c>
      <c r="K50" s="18" t="s">
        <v>349</v>
      </c>
      <c r="L50" s="20" t="s">
        <v>349</v>
      </c>
      <c r="M50" s="18" t="n">
        <v>2.84018472</v>
      </c>
      <c r="N50" s="20" t="n">
        <v>0.65820346</v>
      </c>
      <c r="O50" s="18" t="n">
        <v>0</v>
      </c>
      <c r="P50" s="20" t="n">
        <v>0</v>
      </c>
      <c r="Q50" s="18" t="n">
        <v>0</v>
      </c>
      <c r="R50" s="20" t="n">
        <v>0</v>
      </c>
      <c r="S50" s="18" t="n">
        <v>9.91408953</v>
      </c>
      <c r="T50" s="20" t="n">
        <v>1.14924978</v>
      </c>
    </row>
    <row r="51" spans="1:20">
      <c r="A51" s="15" t="s">
        <v>393</v>
      </c>
      <c r="B51" s="17" t="n">
        <v>6866</v>
      </c>
      <c r="C51" s="18">
        <f>(6154.0/B51*100)</f>
        <v/>
      </c>
      <c r="D51" s="19" t="n">
        <v>712</v>
      </c>
      <c r="E51" s="18" t="n">
        <v>85.7547687</v>
      </c>
      <c r="F51" s="20" t="n">
        <v>1.38521224</v>
      </c>
      <c r="G51" s="18" t="n">
        <v>1.42007426</v>
      </c>
      <c r="H51" s="20" t="n">
        <v>0.51057541</v>
      </c>
      <c r="I51" s="18" t="n">
        <v>0.30977725</v>
      </c>
      <c r="J51" s="20" t="n">
        <v>0.20701683</v>
      </c>
      <c r="K51" s="18" t="s">
        <v>349</v>
      </c>
      <c r="L51" s="20" t="s">
        <v>349</v>
      </c>
      <c r="M51" s="18" t="n">
        <v>1.425683</v>
      </c>
      <c r="N51" s="20" t="n">
        <v>0.4095004</v>
      </c>
      <c r="O51" s="18" t="n">
        <v>0</v>
      </c>
      <c r="P51" s="20" t="n">
        <v>0</v>
      </c>
      <c r="Q51" s="18" t="n">
        <v>0</v>
      </c>
      <c r="R51" s="20" t="n">
        <v>0</v>
      </c>
      <c r="S51" s="18" t="n">
        <v>11.0896968</v>
      </c>
      <c r="T51" s="20" t="n">
        <v>1.37494024</v>
      </c>
    </row>
    <row r="52" spans="1:20">
      <c r="A52" s="15" t="s">
        <v>394</v>
      </c>
      <c r="B52" s="17" t="n">
        <v>5809</v>
      </c>
      <c r="C52" s="18">
        <f>(5102.0/B52*100)</f>
        <v/>
      </c>
      <c r="D52" s="19" t="n">
        <v>707</v>
      </c>
      <c r="E52" s="18" t="n">
        <v>76.50477969000001</v>
      </c>
      <c r="F52" s="20" t="n">
        <v>1.45713108</v>
      </c>
      <c r="G52" s="18" t="n">
        <v>4.50391847</v>
      </c>
      <c r="H52" s="20" t="n">
        <v>0.82649467</v>
      </c>
      <c r="I52" s="18" t="n">
        <v>2.17570448</v>
      </c>
      <c r="J52" s="20" t="n">
        <v>0.52059959</v>
      </c>
      <c r="K52" s="18" t="s">
        <v>349</v>
      </c>
      <c r="L52" s="20" t="s">
        <v>349</v>
      </c>
      <c r="M52" s="18" t="n">
        <v>0.96137382</v>
      </c>
      <c r="N52" s="20" t="n">
        <v>0.36738942</v>
      </c>
      <c r="O52" s="18" t="n">
        <v>0</v>
      </c>
      <c r="P52" s="20" t="n">
        <v>0</v>
      </c>
      <c r="Q52" s="18" t="n">
        <v>0</v>
      </c>
      <c r="R52" s="20" t="n">
        <v>0</v>
      </c>
      <c r="S52" s="18" t="n">
        <v>15.85422353</v>
      </c>
      <c r="T52" s="20" t="n">
        <v>1.04513993</v>
      </c>
    </row>
    <row r="53" spans="1:20">
      <c r="A53" s="15" t="s">
        <v>395</v>
      </c>
      <c r="B53" s="17" t="n">
        <v>5571</v>
      </c>
      <c r="C53" s="18">
        <f>(4882.0/B53*100)</f>
        <v/>
      </c>
      <c r="D53" s="19" t="n">
        <v>689</v>
      </c>
      <c r="E53" s="18" t="n">
        <v>78.81924046</v>
      </c>
      <c r="F53" s="20" t="n">
        <v>1.56224987</v>
      </c>
      <c r="G53" s="18" t="n">
        <v>2.30310382</v>
      </c>
      <c r="H53" s="20" t="n">
        <v>0.65330322</v>
      </c>
      <c r="I53" s="18" t="n">
        <v>3.68333315</v>
      </c>
      <c r="J53" s="20" t="n">
        <v>0.73291428</v>
      </c>
      <c r="K53" s="18" t="s">
        <v>349</v>
      </c>
      <c r="L53" s="20" t="s">
        <v>349</v>
      </c>
      <c r="M53" s="18" t="n">
        <v>1.52057085</v>
      </c>
      <c r="N53" s="20" t="n">
        <v>0.47583457</v>
      </c>
      <c r="O53" s="18" t="n">
        <v>0</v>
      </c>
      <c r="P53" s="20" t="n">
        <v>0</v>
      </c>
      <c r="Q53" s="18" t="n">
        <v>0</v>
      </c>
      <c r="R53" s="20" t="n">
        <v>0</v>
      </c>
      <c r="S53" s="18" t="n">
        <v>13.67375173</v>
      </c>
      <c r="T53" s="20" t="n">
        <v>1.46791399</v>
      </c>
    </row>
    <row r="54" spans="1:20">
      <c r="A54" s="15" t="s">
        <v>396</v>
      </c>
      <c r="B54" s="17" t="n">
        <v>4740</v>
      </c>
      <c r="C54" s="18">
        <f>(3971.0/B54*100)</f>
        <v/>
      </c>
      <c r="D54" s="19" t="n">
        <v>769</v>
      </c>
      <c r="E54" s="18" t="n">
        <v>73.52447033999999</v>
      </c>
      <c r="F54" s="20" t="n">
        <v>1.68251209</v>
      </c>
      <c r="G54" s="18" t="n">
        <v>0.60017667</v>
      </c>
      <c r="H54" s="20" t="n">
        <v>0.26037234</v>
      </c>
      <c r="I54" s="18" t="n">
        <v>0</v>
      </c>
      <c r="J54" s="20" t="n">
        <v>0</v>
      </c>
      <c r="K54" s="18" t="s">
        <v>349</v>
      </c>
      <c r="L54" s="20" t="s">
        <v>349</v>
      </c>
      <c r="M54" s="18" t="n">
        <v>11.70456091</v>
      </c>
      <c r="N54" s="20" t="n">
        <v>1.31337057</v>
      </c>
      <c r="O54" s="18" t="n">
        <v>0</v>
      </c>
      <c r="P54" s="20" t="n">
        <v>0</v>
      </c>
      <c r="Q54" s="18" t="n">
        <v>0</v>
      </c>
      <c r="R54" s="20" t="n">
        <v>0</v>
      </c>
      <c r="S54" s="18" t="n">
        <v>14.17079208</v>
      </c>
      <c r="T54" s="20" t="n">
        <v>1.39536982</v>
      </c>
    </row>
    <row r="55" spans="1:20">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5359</v>
      </c>
      <c r="C56" s="18">
        <f>(4689.0/B56*100)</f>
        <v/>
      </c>
      <c r="D56" s="19" t="n">
        <v>670</v>
      </c>
      <c r="E56" s="18" t="n">
        <v>67.01663606</v>
      </c>
      <c r="F56" s="20" t="n">
        <v>1.94536069</v>
      </c>
      <c r="G56" s="18" t="n">
        <v>3.00802634</v>
      </c>
      <c r="H56" s="20" t="n">
        <v>0.70601599</v>
      </c>
      <c r="I56" s="18" t="n">
        <v>27.69250232</v>
      </c>
      <c r="J56" s="20" t="n">
        <v>1.91398391</v>
      </c>
      <c r="K56" s="18" t="s">
        <v>349</v>
      </c>
      <c r="L56" s="20" t="s">
        <v>349</v>
      </c>
      <c r="M56" s="18" t="n">
        <v>0.19232572</v>
      </c>
      <c r="N56" s="20" t="n">
        <v>0.1374307</v>
      </c>
      <c r="O56" s="18" t="n">
        <v>0</v>
      </c>
      <c r="P56" s="20" t="n">
        <v>0</v>
      </c>
      <c r="Q56" s="18" t="n">
        <v>0</v>
      </c>
      <c r="R56" s="20" t="n">
        <v>0</v>
      </c>
      <c r="S56" s="18" t="n">
        <v>2.09050957</v>
      </c>
      <c r="T56" s="20" t="n">
        <v>0.47875785</v>
      </c>
    </row>
    <row r="57" spans="1:20">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6525</v>
      </c>
      <c r="C61" s="18">
        <f>(5707.0/B61*100)</f>
        <v/>
      </c>
      <c r="D61" s="19" t="n">
        <v>818</v>
      </c>
      <c r="E61" s="18" t="n">
        <v>81.34794252</v>
      </c>
      <c r="F61" s="20" t="n">
        <v>1.24088817</v>
      </c>
      <c r="G61" s="18" t="n">
        <v>1.08890786</v>
      </c>
      <c r="H61" s="20" t="n">
        <v>0.36582386</v>
      </c>
      <c r="I61" s="18" t="n">
        <v>3.39777305</v>
      </c>
      <c r="J61" s="20" t="n">
        <v>0.68173282</v>
      </c>
      <c r="K61" s="18" t="s">
        <v>349</v>
      </c>
      <c r="L61" s="20" t="s">
        <v>349</v>
      </c>
      <c r="M61" s="18" t="n">
        <v>0.63143883</v>
      </c>
      <c r="N61" s="20" t="n">
        <v>0.40685382</v>
      </c>
      <c r="O61" s="18" t="n">
        <v>0</v>
      </c>
      <c r="P61" s="20" t="n">
        <v>0</v>
      </c>
      <c r="Q61" s="18" t="n">
        <v>0</v>
      </c>
      <c r="R61" s="20" t="n">
        <v>0</v>
      </c>
      <c r="S61" s="18" t="n">
        <v>13.53393774</v>
      </c>
      <c r="T61" s="20" t="n">
        <v>1.23539009</v>
      </c>
    </row>
    <row r="62" spans="1:20">
      <c r="A62" s="15" t="s">
        <v>404</v>
      </c>
      <c r="B62" s="17" t="n">
        <v>4476</v>
      </c>
      <c r="C62" s="18">
        <f>(3933.0/B62*100)</f>
        <v/>
      </c>
      <c r="D62" s="19" t="n">
        <v>543</v>
      </c>
      <c r="E62" s="18" t="n">
        <v>78.83027319999999</v>
      </c>
      <c r="F62" s="20" t="n">
        <v>1.72753389</v>
      </c>
      <c r="G62" s="18" t="n">
        <v>5.68700916</v>
      </c>
      <c r="H62" s="20" t="n">
        <v>0.92740326</v>
      </c>
      <c r="I62" s="18" t="n">
        <v>12.52282953</v>
      </c>
      <c r="J62" s="20" t="n">
        <v>1.46272346</v>
      </c>
      <c r="K62" s="18" t="s">
        <v>349</v>
      </c>
      <c r="L62" s="20" t="s">
        <v>349</v>
      </c>
      <c r="M62" s="18" t="n">
        <v>0.18281906</v>
      </c>
      <c r="N62" s="20" t="n">
        <v>0.18300474</v>
      </c>
      <c r="O62" s="18" t="n">
        <v>0</v>
      </c>
      <c r="P62" s="20" t="n">
        <v>0</v>
      </c>
      <c r="Q62" s="18" t="n">
        <v>0</v>
      </c>
      <c r="R62" s="20" t="n">
        <v>0</v>
      </c>
      <c r="S62" s="18" t="n">
        <v>2.77706905</v>
      </c>
      <c r="T62" s="20" t="n">
        <v>0.73760335</v>
      </c>
    </row>
    <row r="63" spans="1:20">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5665</v>
      </c>
      <c r="C66" s="18">
        <f>(4985.0/B66*100)</f>
        <v/>
      </c>
      <c r="D66" s="19" t="n">
        <v>680</v>
      </c>
      <c r="E66" s="18" t="n">
        <v>58.55198364</v>
      </c>
      <c r="F66" s="20" t="n">
        <v>1.66231612</v>
      </c>
      <c r="G66" s="18" t="n">
        <v>2.67565357</v>
      </c>
      <c r="H66" s="20" t="n">
        <v>0.61284761</v>
      </c>
      <c r="I66" s="18" t="n">
        <v>0.94532996</v>
      </c>
      <c r="J66" s="20" t="n">
        <v>0.32421849</v>
      </c>
      <c r="K66" s="18" t="s">
        <v>349</v>
      </c>
      <c r="L66" s="20" t="s">
        <v>349</v>
      </c>
      <c r="M66" s="18" t="n">
        <v>3.22943797</v>
      </c>
      <c r="N66" s="20" t="n">
        <v>0.64734805</v>
      </c>
      <c r="O66" s="18" t="n">
        <v>0</v>
      </c>
      <c r="P66" s="20" t="n">
        <v>0</v>
      </c>
      <c r="Q66" s="18" t="n">
        <v>0</v>
      </c>
      <c r="R66" s="20" t="n">
        <v>0</v>
      </c>
      <c r="S66" s="18" t="n">
        <v>34.59759487</v>
      </c>
      <c r="T66" s="20" t="n">
        <v>1.54462271</v>
      </c>
    </row>
    <row r="67" spans="1:20">
      <c r="A67" s="15" t="s">
        <v>409</v>
      </c>
      <c r="B67" s="17" t="n">
        <v>6971</v>
      </c>
      <c r="C67" s="18">
        <f>(6215.0/B67*100)</f>
        <v/>
      </c>
      <c r="D67" s="19" t="n">
        <v>756</v>
      </c>
      <c r="E67" s="18" t="n">
        <v>78.37093659</v>
      </c>
      <c r="F67" s="20" t="n">
        <v>1.64988236</v>
      </c>
      <c r="G67" s="18" t="n">
        <v>0.82751707</v>
      </c>
      <c r="H67" s="20" t="n">
        <v>0.31065493</v>
      </c>
      <c r="I67" s="18" t="n">
        <v>0.59090612</v>
      </c>
      <c r="J67" s="20" t="n">
        <v>0.31275867</v>
      </c>
      <c r="K67" s="18" t="s">
        <v>349</v>
      </c>
      <c r="L67" s="20" t="s">
        <v>349</v>
      </c>
      <c r="M67" s="18" t="n">
        <v>0.47294665</v>
      </c>
      <c r="N67" s="20" t="n">
        <v>0.25281425</v>
      </c>
      <c r="O67" s="18" t="n">
        <v>0</v>
      </c>
      <c r="P67" s="20" t="n">
        <v>0</v>
      </c>
      <c r="Q67" s="18" t="n">
        <v>0</v>
      </c>
      <c r="R67" s="20" t="n">
        <v>0</v>
      </c>
      <c r="S67" s="18" t="n">
        <v>19.73769358</v>
      </c>
      <c r="T67" s="20" t="n">
        <v>1.56050122</v>
      </c>
    </row>
    <row r="68" spans="1:20">
      <c r="A68" s="15" t="s">
        <v>410</v>
      </c>
      <c r="B68" s="17" t="n">
        <v>12083</v>
      </c>
      <c r="C68" s="18">
        <f>(10091.0/B68*100)</f>
        <v/>
      </c>
      <c r="D68" s="19" t="n">
        <v>1992</v>
      </c>
      <c r="E68" s="18" t="n">
        <v>80.23106892</v>
      </c>
      <c r="F68" s="20" t="n">
        <v>0.9975016</v>
      </c>
      <c r="G68" s="18" t="n">
        <v>1.72052081</v>
      </c>
      <c r="H68" s="20" t="n">
        <v>0.34258726</v>
      </c>
      <c r="I68" s="18" t="n">
        <v>2.46114918</v>
      </c>
      <c r="J68" s="20" t="n">
        <v>0.33672194</v>
      </c>
      <c r="K68" s="18" t="s">
        <v>349</v>
      </c>
      <c r="L68" s="20" t="s">
        <v>349</v>
      </c>
      <c r="M68" s="18" t="n">
        <v>4.27892569</v>
      </c>
      <c r="N68" s="20" t="n">
        <v>0.40489728</v>
      </c>
      <c r="O68" s="18" t="n">
        <v>0</v>
      </c>
      <c r="P68" s="20" t="n">
        <v>0</v>
      </c>
      <c r="Q68" s="18" t="n">
        <v>0</v>
      </c>
      <c r="R68" s="20" t="n">
        <v>0</v>
      </c>
      <c r="S68" s="18" t="n">
        <v>11.3083354</v>
      </c>
      <c r="T68" s="20" t="n">
        <v>0.75004225</v>
      </c>
    </row>
    <row r="69" spans="1:20">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6036</v>
      </c>
      <c r="C70" s="18">
        <f>(5309.0/B70*100)</f>
        <v/>
      </c>
      <c r="D70" s="19" t="n">
        <v>727</v>
      </c>
      <c r="E70" s="18" t="n">
        <v>81.75849046</v>
      </c>
      <c r="F70" s="20" t="n">
        <v>1.47841397</v>
      </c>
      <c r="G70" s="18" t="n">
        <v>4.55120753</v>
      </c>
      <c r="H70" s="20" t="n">
        <v>0.92144614</v>
      </c>
      <c r="I70" s="18" t="n">
        <v>4.45296389</v>
      </c>
      <c r="J70" s="20" t="n">
        <v>0.93629429</v>
      </c>
      <c r="K70" s="18" t="s">
        <v>349</v>
      </c>
      <c r="L70" s="20" t="s">
        <v>349</v>
      </c>
      <c r="M70" s="18" t="n">
        <v>0.34909958</v>
      </c>
      <c r="N70" s="20" t="n">
        <v>0.19680651</v>
      </c>
      <c r="O70" s="18" t="n">
        <v>0</v>
      </c>
      <c r="P70" s="20" t="n">
        <v>0</v>
      </c>
      <c r="Q70" s="18" t="n">
        <v>0</v>
      </c>
      <c r="R70" s="20" t="n">
        <v>0</v>
      </c>
      <c r="S70" s="18" t="n">
        <v>8.888238530000001</v>
      </c>
      <c r="T70" s="20" t="n">
        <v>1.42564422</v>
      </c>
    </row>
    <row r="71" spans="1:20">
      <c r="A71" s="15" t="s">
        <v>413</v>
      </c>
      <c r="B71" s="17" t="n">
        <v>6115</v>
      </c>
      <c r="C71" s="18">
        <f>(5350.0/B71*100)</f>
        <v/>
      </c>
      <c r="D71" s="19" t="n">
        <v>765</v>
      </c>
      <c r="E71" s="18" t="n">
        <v>63.8893964</v>
      </c>
      <c r="F71" s="20" t="n">
        <v>1.88501561</v>
      </c>
      <c r="G71" s="18" t="n">
        <v>4.09543018</v>
      </c>
      <c r="H71" s="20" t="n">
        <v>0.87277682</v>
      </c>
      <c r="I71" s="18" t="n">
        <v>29.08519702</v>
      </c>
      <c r="J71" s="20" t="n">
        <v>1.7875422</v>
      </c>
      <c r="K71" s="18" t="s">
        <v>349</v>
      </c>
      <c r="L71" s="20" t="s">
        <v>349</v>
      </c>
      <c r="M71" s="18" t="n">
        <v>0.22742071</v>
      </c>
      <c r="N71" s="20" t="n">
        <v>0.1677852</v>
      </c>
      <c r="O71" s="18" t="n">
        <v>0</v>
      </c>
      <c r="P71" s="20" t="n">
        <v>0</v>
      </c>
      <c r="Q71" s="18" t="n">
        <v>0</v>
      </c>
      <c r="R71" s="20" t="n">
        <v>0</v>
      </c>
      <c r="S71" s="18" t="n">
        <v>2.70255569</v>
      </c>
      <c r="T71" s="20" t="n">
        <v>0.55350731</v>
      </c>
    </row>
    <row r="72" spans="1:20">
      <c r="A72" s="15" t="s">
        <v>414</v>
      </c>
      <c r="B72" s="17" t="n">
        <v>7708</v>
      </c>
      <c r="C72" s="18">
        <f>(6750.0/B72*100)</f>
        <v/>
      </c>
      <c r="D72" s="19" t="n">
        <v>958</v>
      </c>
      <c r="E72" s="18" t="n">
        <v>68.75227631</v>
      </c>
      <c r="F72" s="20" t="n">
        <v>1.51853128</v>
      </c>
      <c r="G72" s="18" t="n">
        <v>7.70238475</v>
      </c>
      <c r="H72" s="20" t="n">
        <v>0.87142187</v>
      </c>
      <c r="I72" s="18" t="n">
        <v>16.7443906</v>
      </c>
      <c r="J72" s="20" t="n">
        <v>1.23133349</v>
      </c>
      <c r="K72" s="18" t="s">
        <v>349</v>
      </c>
      <c r="L72" s="20" t="s">
        <v>349</v>
      </c>
      <c r="M72" s="18" t="n">
        <v>0.30617862</v>
      </c>
      <c r="N72" s="20" t="n">
        <v>0.18852294</v>
      </c>
      <c r="O72" s="18" t="n">
        <v>0</v>
      </c>
      <c r="P72" s="20" t="n">
        <v>0</v>
      </c>
      <c r="Q72" s="18" t="n">
        <v>0</v>
      </c>
      <c r="R72" s="20" t="n">
        <v>0</v>
      </c>
      <c r="S72" s="18" t="n">
        <v>6.49476973</v>
      </c>
      <c r="T72" s="20" t="n">
        <v>0.91189912</v>
      </c>
    </row>
    <row r="73" spans="1:20">
      <c r="A73" s="15" t="s">
        <v>415</v>
      </c>
      <c r="B73" s="17" t="n">
        <v>8249</v>
      </c>
      <c r="C73" s="18">
        <f>(7293.0/B73*100)</f>
        <v/>
      </c>
      <c r="D73" s="19" t="n">
        <v>956</v>
      </c>
      <c r="E73" s="18" t="n">
        <v>92.49646571</v>
      </c>
      <c r="F73" s="20" t="n">
        <v>0.90320703</v>
      </c>
      <c r="G73" s="18" t="n">
        <v>1.97239734</v>
      </c>
      <c r="H73" s="20" t="n">
        <v>0.45496461</v>
      </c>
      <c r="I73" s="18" t="n">
        <v>2.78261795</v>
      </c>
      <c r="J73" s="20" t="n">
        <v>0.56324816</v>
      </c>
      <c r="K73" s="18" t="s">
        <v>349</v>
      </c>
      <c r="L73" s="20" t="s">
        <v>349</v>
      </c>
      <c r="M73" s="18" t="n">
        <v>0</v>
      </c>
      <c r="N73" s="20" t="n">
        <v>0</v>
      </c>
      <c r="O73" s="18" t="n">
        <v>0</v>
      </c>
      <c r="P73" s="20" t="n">
        <v>0</v>
      </c>
      <c r="Q73" s="18" t="n">
        <v>0</v>
      </c>
      <c r="R73" s="20" t="n">
        <v>0</v>
      </c>
      <c r="S73" s="18" t="n">
        <v>2.748519</v>
      </c>
      <c r="T73" s="20" t="n">
        <v>0.53971435</v>
      </c>
    </row>
    <row r="74" spans="1:20">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5375</v>
      </c>
      <c r="C75" s="18">
        <f>(4775.0/B75*100)</f>
        <v/>
      </c>
      <c r="D75" s="19" t="n">
        <v>600</v>
      </c>
      <c r="E75" s="18" t="n">
        <v>74.93156996</v>
      </c>
      <c r="F75" s="20" t="n">
        <v>1.7196804</v>
      </c>
      <c r="G75" s="18" t="n">
        <v>2.19460899</v>
      </c>
      <c r="H75" s="20" t="n">
        <v>0.74040347</v>
      </c>
      <c r="I75" s="18" t="n">
        <v>0.2231601</v>
      </c>
      <c r="J75" s="20" t="n">
        <v>0.17633662</v>
      </c>
      <c r="K75" s="18" t="s">
        <v>349</v>
      </c>
      <c r="L75" s="20" t="s">
        <v>349</v>
      </c>
      <c r="M75" s="18" t="n">
        <v>5.71937</v>
      </c>
      <c r="N75" s="20" t="n">
        <v>1.00512783</v>
      </c>
      <c r="O75" s="18" t="n">
        <v>0</v>
      </c>
      <c r="P75" s="20" t="n">
        <v>0</v>
      </c>
      <c r="Q75" s="18" t="n">
        <v>0</v>
      </c>
      <c r="R75" s="20" t="n">
        <v>0</v>
      </c>
      <c r="S75" s="18" t="n">
        <v>16.93129094</v>
      </c>
      <c r="T75" s="20" t="n">
        <v>1.52894467</v>
      </c>
    </row>
    <row r="76" spans="1:20">
      <c r="A76" s="15" t="s">
        <v>418</v>
      </c>
      <c r="B76" s="17" t="n">
        <v>14167</v>
      </c>
      <c r="C76" s="18">
        <f>(12425.0/B76*100)</f>
        <v/>
      </c>
      <c r="D76" s="19" t="n">
        <v>1742</v>
      </c>
      <c r="E76" s="18" t="n">
        <v>85.92696465</v>
      </c>
      <c r="F76" s="20" t="n">
        <v>0.82747241</v>
      </c>
      <c r="G76" s="18" t="n">
        <v>2.4664096</v>
      </c>
      <c r="H76" s="20" t="n">
        <v>0.44847408</v>
      </c>
      <c r="I76" s="18" t="n">
        <v>4.02229675</v>
      </c>
      <c r="J76" s="20" t="n">
        <v>0.44467354</v>
      </c>
      <c r="K76" s="18" t="s">
        <v>349</v>
      </c>
      <c r="L76" s="20" t="s">
        <v>349</v>
      </c>
      <c r="M76" s="18" t="n">
        <v>1.29508364</v>
      </c>
      <c r="N76" s="20" t="n">
        <v>0.371186</v>
      </c>
      <c r="O76" s="18" t="n">
        <v>0</v>
      </c>
      <c r="P76" s="20" t="n">
        <v>0</v>
      </c>
      <c r="Q76" s="18" t="n">
        <v>0</v>
      </c>
      <c r="R76" s="20" t="n">
        <v>0</v>
      </c>
      <c r="S76" s="18" t="n">
        <v>6.28924536</v>
      </c>
      <c r="T76" s="20" t="n">
        <v>0.69591953</v>
      </c>
    </row>
    <row r="77" spans="1:20">
      <c r="A77" s="15" t="s">
        <v>419</v>
      </c>
      <c r="B77" s="17" t="n">
        <v>6062</v>
      </c>
      <c r="C77" s="18">
        <f>(5328.0/B77*100)</f>
        <v/>
      </c>
      <c r="D77" s="19" t="n">
        <v>734</v>
      </c>
      <c r="E77" s="18" t="n">
        <v>70.89859516999999</v>
      </c>
      <c r="F77" s="20" t="n">
        <v>1.72232499</v>
      </c>
      <c r="G77" s="18" t="n">
        <v>5.46871396</v>
      </c>
      <c r="H77" s="20" t="n">
        <v>0.89479081</v>
      </c>
      <c r="I77" s="18" t="n">
        <v>0.10563883</v>
      </c>
      <c r="J77" s="20" t="n">
        <v>0.10638849</v>
      </c>
      <c r="K77" s="18" t="s">
        <v>349</v>
      </c>
      <c r="L77" s="20" t="s">
        <v>349</v>
      </c>
      <c r="M77" s="18" t="n">
        <v>3.92935355</v>
      </c>
      <c r="N77" s="20" t="n">
        <v>0.81567578</v>
      </c>
      <c r="O77" s="18" t="n">
        <v>0</v>
      </c>
      <c r="P77" s="20" t="n">
        <v>0</v>
      </c>
      <c r="Q77" s="18" t="n">
        <v>0</v>
      </c>
      <c r="R77" s="20" t="n">
        <v>0</v>
      </c>
      <c r="S77" s="18" t="n">
        <v>19.59769849</v>
      </c>
      <c r="T77" s="20" t="n">
        <v>1.39367052</v>
      </c>
    </row>
    <row r="78" spans="1:20">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(7764.0/B81*100)</f>
        <v/>
      </c>
      <c r="D81" s="19" t="n">
        <v>1097</v>
      </c>
      <c r="E81" s="18" t="n">
        <v>90.55702114</v>
      </c>
      <c r="F81" s="20" t="n">
        <v>1.03737379</v>
      </c>
      <c r="G81" s="18" t="n">
        <v>2.13783966</v>
      </c>
      <c r="H81" s="20" t="n">
        <v>0.49277583</v>
      </c>
      <c r="I81" s="18" t="n">
        <v>4.1921876</v>
      </c>
      <c r="J81" s="20" t="n">
        <v>0.64924264</v>
      </c>
      <c r="K81" s="18" t="s">
        <v>349</v>
      </c>
      <c r="L81" s="20" t="s">
        <v>349</v>
      </c>
      <c r="M81" s="18" t="n">
        <v>0.12383073</v>
      </c>
      <c r="N81" s="20" t="n">
        <v>0.11923371</v>
      </c>
      <c r="O81" s="18" t="n">
        <v>0</v>
      </c>
      <c r="P81" s="20" t="n">
        <v>0</v>
      </c>
      <c r="Q81" s="18" t="n">
        <v>0</v>
      </c>
      <c r="R81" s="20" t="n">
        <v>0</v>
      </c>
      <c r="S81" s="18" t="n">
        <v>2.98912086</v>
      </c>
      <c r="T81" s="20" t="n">
        <v>0.67868018</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(12731.0/B7*100)</f>
        <v/>
      </c>
      <c r="D7" s="19" t="n">
        <v>1799</v>
      </c>
      <c r="E7" s="18" t="n">
        <v>21.51455348</v>
      </c>
      <c r="F7" s="20" t="n">
        <v>1.12596396</v>
      </c>
      <c r="G7" s="18" t="n">
        <v>76.0584528</v>
      </c>
      <c r="H7" s="20" t="n">
        <v>1.17571868</v>
      </c>
      <c r="I7" s="18" t="s">
        <v>349</v>
      </c>
      <c r="J7" s="20" t="s">
        <v>349</v>
      </c>
      <c r="K7" s="18" t="n">
        <v>1.10113694</v>
      </c>
      <c r="L7" s="20" t="n">
        <v>0.28077431</v>
      </c>
      <c r="M7" s="18" t="n">
        <v>0.21825253</v>
      </c>
      <c r="N7" s="20" t="n">
        <v>0.13343025</v>
      </c>
      <c r="O7" s="18" t="n">
        <v>0</v>
      </c>
      <c r="P7" s="20" t="n">
        <v>0</v>
      </c>
      <c r="Q7" s="18" t="n">
        <v>1.10760425</v>
      </c>
      <c r="R7" s="20" t="n">
        <v>0.24342557</v>
      </c>
    </row>
    <row r="8" spans="1:18">
      <c r="A8" s="15" t="s">
        <v>350</v>
      </c>
      <c r="B8" s="17" t="n">
        <v>7007</v>
      </c>
      <c r="C8" s="18">
        <f>(6143.0/B8*100)</f>
        <v/>
      </c>
      <c r="D8" s="19" t="n">
        <v>864</v>
      </c>
      <c r="E8" s="18" t="n">
        <v>25.13103733</v>
      </c>
      <c r="F8" s="20" t="n">
        <v>1.73075416</v>
      </c>
      <c r="G8" s="18" t="n">
        <v>70.11424116000001</v>
      </c>
      <c r="H8" s="20" t="n">
        <v>1.84611961</v>
      </c>
      <c r="I8" s="18" t="s">
        <v>349</v>
      </c>
      <c r="J8" s="20" t="s">
        <v>349</v>
      </c>
      <c r="K8" s="18" t="n">
        <v>1.94818995</v>
      </c>
      <c r="L8" s="20" t="n">
        <v>0.62481442</v>
      </c>
      <c r="M8" s="18" t="n">
        <v>0</v>
      </c>
      <c r="N8" s="20" t="n">
        <v>0</v>
      </c>
      <c r="O8" s="18" t="n">
        <v>0</v>
      </c>
      <c r="P8" s="20" t="n">
        <v>0</v>
      </c>
      <c r="Q8" s="18" t="n">
        <v>2.80653156</v>
      </c>
      <c r="R8" s="20" t="n">
        <v>0.6345419</v>
      </c>
    </row>
    <row r="9" spans="1:18">
      <c r="A9" s="15" t="s">
        <v>351</v>
      </c>
      <c r="B9" s="17" t="n">
        <v>9651</v>
      </c>
      <c r="C9" s="18">
        <f>(8522.0/B9*100)</f>
        <v/>
      </c>
      <c r="D9" s="19" t="n">
        <v>1129</v>
      </c>
      <c r="E9" s="18" t="n">
        <v>18.21388462</v>
      </c>
      <c r="F9" s="20" t="n">
        <v>1.221281</v>
      </c>
      <c r="G9" s="18" t="n">
        <v>78.70216257</v>
      </c>
      <c r="H9" s="20" t="n">
        <v>1.22789689</v>
      </c>
      <c r="I9" s="18" t="s">
        <v>349</v>
      </c>
      <c r="J9" s="20" t="s">
        <v>349</v>
      </c>
      <c r="K9" s="18" t="n">
        <v>1.77474868</v>
      </c>
      <c r="L9" s="20" t="n">
        <v>0.55010424</v>
      </c>
      <c r="M9" s="18" t="n">
        <v>0.42380633</v>
      </c>
      <c r="N9" s="20" t="n">
        <v>0.16990978</v>
      </c>
      <c r="O9" s="18" t="n">
        <v>0</v>
      </c>
      <c r="P9" s="20" t="n">
        <v>0</v>
      </c>
      <c r="Q9" s="18" t="n">
        <v>0.88539779</v>
      </c>
      <c r="R9" s="20" t="n">
        <v>0.2805856</v>
      </c>
    </row>
    <row r="10" spans="1:18">
      <c r="A10" s="15" t="s">
        <v>352</v>
      </c>
      <c r="B10" s="17" t="n">
        <v>20058</v>
      </c>
      <c r="C10" s="18">
        <f>(17582.0/B10*100)</f>
        <v/>
      </c>
      <c r="D10" s="19" t="n">
        <v>2476</v>
      </c>
      <c r="E10" s="18" t="n">
        <v>14.08158429</v>
      </c>
      <c r="F10" s="20" t="n">
        <v>0.9328476</v>
      </c>
      <c r="G10" s="18" t="n">
        <v>84.32619606999999</v>
      </c>
      <c r="H10" s="20" t="n">
        <v>0.93935801</v>
      </c>
      <c r="I10" s="18" t="s">
        <v>349</v>
      </c>
      <c r="J10" s="20" t="s">
        <v>349</v>
      </c>
      <c r="K10" s="18" t="n">
        <v>0.84207047</v>
      </c>
      <c r="L10" s="20" t="n">
        <v>0.28275846</v>
      </c>
      <c r="M10" s="18" t="n">
        <v>0.08743612000000001</v>
      </c>
      <c r="N10" s="20" t="n">
        <v>0.05741469</v>
      </c>
      <c r="O10" s="18" t="n">
        <v>0</v>
      </c>
      <c r="P10" s="20" t="n">
        <v>0</v>
      </c>
      <c r="Q10" s="18" t="n">
        <v>0.66271305</v>
      </c>
      <c r="R10" s="20" t="n">
        <v>0.19655466</v>
      </c>
    </row>
    <row r="11" spans="1:18">
      <c r="A11" s="15" t="s">
        <v>353</v>
      </c>
      <c r="B11" s="17" t="n">
        <v>7053</v>
      </c>
      <c r="C11" s="18">
        <f>(6238.0/B11*100)</f>
        <v/>
      </c>
      <c r="D11" s="19" t="n">
        <v>815</v>
      </c>
      <c r="E11" s="18" t="n">
        <v>38.18506943</v>
      </c>
      <c r="F11" s="20" t="n">
        <v>1.90436767</v>
      </c>
      <c r="G11" s="18" t="n">
        <v>55.1353493</v>
      </c>
      <c r="H11" s="20" t="n">
        <v>1.79652711</v>
      </c>
      <c r="I11" s="18" t="s">
        <v>349</v>
      </c>
      <c r="J11" s="20" t="s">
        <v>349</v>
      </c>
      <c r="K11" s="18" t="n">
        <v>2.93285693</v>
      </c>
      <c r="L11" s="20" t="n">
        <v>0.57211866</v>
      </c>
      <c r="M11" s="18" t="n">
        <v>0</v>
      </c>
      <c r="N11" s="20" t="n">
        <v>0</v>
      </c>
      <c r="O11" s="18" t="n">
        <v>0</v>
      </c>
      <c r="P11" s="20" t="n">
        <v>0</v>
      </c>
      <c r="Q11" s="18" t="n">
        <v>3.74672434</v>
      </c>
      <c r="R11" s="20" t="n">
        <v>0.7878787</v>
      </c>
    </row>
    <row r="12" spans="1:18">
      <c r="A12" s="15" t="s">
        <v>354</v>
      </c>
      <c r="B12" s="17" t="n">
        <v>6894</v>
      </c>
      <c r="C12" s="18">
        <f>(6093.0/B12*100)</f>
        <v/>
      </c>
      <c r="D12" s="19" t="n">
        <v>801</v>
      </c>
      <c r="E12" s="18" t="n">
        <v>30.07881876</v>
      </c>
      <c r="F12" s="20" t="n">
        <v>1.88652842</v>
      </c>
      <c r="G12" s="18" t="n">
        <v>66.00629764999999</v>
      </c>
      <c r="H12" s="20" t="n">
        <v>2.07580527</v>
      </c>
      <c r="I12" s="18" t="s">
        <v>349</v>
      </c>
      <c r="J12" s="20" t="s">
        <v>349</v>
      </c>
      <c r="K12" s="18" t="n">
        <v>1.03229775</v>
      </c>
      <c r="L12" s="20" t="n">
        <v>0.39389254</v>
      </c>
      <c r="M12" s="18" t="n">
        <v>0.05622325</v>
      </c>
      <c r="N12" s="20" t="n">
        <v>0.05759068</v>
      </c>
      <c r="O12" s="18" t="n">
        <v>0</v>
      </c>
      <c r="P12" s="20" t="n">
        <v>0</v>
      </c>
      <c r="Q12" s="18" t="n">
        <v>2.82636259</v>
      </c>
      <c r="R12" s="20" t="n">
        <v>0.70834914</v>
      </c>
    </row>
    <row r="13" spans="1:18">
      <c r="A13" s="15" t="s">
        <v>355</v>
      </c>
      <c r="B13" s="17" t="n">
        <v>7161</v>
      </c>
      <c r="C13" s="18">
        <f>(6332.0/B13*100)</f>
        <v/>
      </c>
      <c r="D13" s="19" t="n">
        <v>829</v>
      </c>
      <c r="E13" s="18" t="n">
        <v>17.3336228</v>
      </c>
      <c r="F13" s="20" t="n">
        <v>1.37166203</v>
      </c>
      <c r="G13" s="18" t="n">
        <v>81.10836344000001</v>
      </c>
      <c r="H13" s="20" t="n">
        <v>1.41259985</v>
      </c>
      <c r="I13" s="18" t="s">
        <v>349</v>
      </c>
      <c r="J13" s="20" t="s">
        <v>349</v>
      </c>
      <c r="K13" s="18" t="n">
        <v>0.93410351</v>
      </c>
      <c r="L13" s="20" t="n">
        <v>0.33881703</v>
      </c>
      <c r="M13" s="18" t="n">
        <v>0.13346965</v>
      </c>
      <c r="N13" s="20" t="n">
        <v>0.11456588</v>
      </c>
      <c r="O13" s="18" t="n">
        <v>0</v>
      </c>
      <c r="P13" s="20" t="n">
        <v>0</v>
      </c>
      <c r="Q13" s="18" t="n">
        <v>0.49044059</v>
      </c>
      <c r="R13" s="20" t="n">
        <v>0.19938056</v>
      </c>
    </row>
    <row r="14" spans="1:18">
      <c r="A14" s="15" t="s">
        <v>356</v>
      </c>
      <c r="B14" s="17" t="n">
        <v>5587</v>
      </c>
      <c r="C14" s="18">
        <f>(4916.0/B14*100)</f>
        <v/>
      </c>
      <c r="D14" s="19" t="n">
        <v>671</v>
      </c>
      <c r="E14" s="18" t="n">
        <v>26.63351176</v>
      </c>
      <c r="F14" s="20" t="n">
        <v>1.84246398</v>
      </c>
      <c r="G14" s="18" t="n">
        <v>72.2117868</v>
      </c>
      <c r="H14" s="20" t="n">
        <v>1.883479</v>
      </c>
      <c r="I14" s="18" t="s">
        <v>349</v>
      </c>
      <c r="J14" s="20" t="s">
        <v>349</v>
      </c>
      <c r="K14" s="18" t="n">
        <v>0.49563981</v>
      </c>
      <c r="L14" s="20" t="n">
        <v>0.307509</v>
      </c>
      <c r="M14" s="18" t="n">
        <v>0</v>
      </c>
      <c r="N14" s="20" t="n">
        <v>0</v>
      </c>
      <c r="O14" s="18" t="n">
        <v>0</v>
      </c>
      <c r="P14" s="20" t="n">
        <v>0</v>
      </c>
      <c r="Q14" s="18" t="n">
        <v>0.65906163</v>
      </c>
      <c r="R14" s="20" t="n">
        <v>0.2955436</v>
      </c>
    </row>
    <row r="15" spans="1:18">
      <c r="A15" s="15" t="s">
        <v>357</v>
      </c>
      <c r="B15" s="17" t="n">
        <v>5882</v>
      </c>
      <c r="C15" s="18">
        <f>(5173.0/B15*100)</f>
        <v/>
      </c>
      <c r="D15" s="19" t="n">
        <v>709</v>
      </c>
      <c r="E15" s="18" t="n">
        <v>23.9875743</v>
      </c>
      <c r="F15" s="20" t="n">
        <v>1.66774698</v>
      </c>
      <c r="G15" s="18" t="n">
        <v>71.7204033</v>
      </c>
      <c r="H15" s="20" t="n">
        <v>1.73004906</v>
      </c>
      <c r="I15" s="18" t="s">
        <v>349</v>
      </c>
      <c r="J15" s="20" t="s">
        <v>349</v>
      </c>
      <c r="K15" s="18" t="n">
        <v>2.13631711</v>
      </c>
      <c r="L15" s="20" t="n">
        <v>0.72761396</v>
      </c>
      <c r="M15" s="18" t="n">
        <v>0</v>
      </c>
      <c r="N15" s="20" t="n">
        <v>0</v>
      </c>
      <c r="O15" s="18" t="n">
        <v>0</v>
      </c>
      <c r="P15" s="20" t="n">
        <v>0</v>
      </c>
      <c r="Q15" s="18" t="n">
        <v>2.1557053</v>
      </c>
      <c r="R15" s="20" t="n">
        <v>0.53329665</v>
      </c>
    </row>
    <row r="16" spans="1:18">
      <c r="A16" s="15" t="s">
        <v>358</v>
      </c>
      <c r="B16" s="17" t="n">
        <v>6108</v>
      </c>
      <c r="C16" s="18">
        <f>(5392.0/B16*100)</f>
        <v/>
      </c>
      <c r="D16" s="19" t="n">
        <v>716</v>
      </c>
      <c r="E16" s="18" t="n">
        <v>18.53369755</v>
      </c>
      <c r="F16" s="20" t="n">
        <v>1.43027845</v>
      </c>
      <c r="G16" s="18" t="n">
        <v>74.36326837999999</v>
      </c>
      <c r="H16" s="20" t="n">
        <v>1.59283668</v>
      </c>
      <c r="I16" s="18" t="s">
        <v>349</v>
      </c>
      <c r="J16" s="20" t="s">
        <v>349</v>
      </c>
      <c r="K16" s="18" t="n">
        <v>3.6751835</v>
      </c>
      <c r="L16" s="20" t="n">
        <v>0.73025503</v>
      </c>
      <c r="M16" s="18" t="n">
        <v>0</v>
      </c>
      <c r="N16" s="20" t="n">
        <v>0</v>
      </c>
      <c r="O16" s="18" t="n">
        <v>0</v>
      </c>
      <c r="P16" s="20" t="n">
        <v>0</v>
      </c>
      <c r="Q16" s="18" t="n">
        <v>3.42785057</v>
      </c>
      <c r="R16" s="20" t="n">
        <v>0.64710324</v>
      </c>
    </row>
    <row r="17" spans="1:18">
      <c r="A17" s="15" t="s">
        <v>359</v>
      </c>
      <c r="B17" s="17" t="n">
        <v>6504</v>
      </c>
      <c r="C17" s="18">
        <f>(5750.0/B17*100)</f>
        <v/>
      </c>
      <c r="D17" s="19" t="n">
        <v>754</v>
      </c>
      <c r="E17" s="18" t="n">
        <v>21.19199629</v>
      </c>
      <c r="F17" s="20" t="n">
        <v>1.89776729</v>
      </c>
      <c r="G17" s="18" t="n">
        <v>75.8904282</v>
      </c>
      <c r="H17" s="20" t="n">
        <v>1.94252533</v>
      </c>
      <c r="I17" s="18" t="s">
        <v>349</v>
      </c>
      <c r="J17" s="20" t="s">
        <v>349</v>
      </c>
      <c r="K17" s="18" t="n">
        <v>0.95048017</v>
      </c>
      <c r="L17" s="20" t="n">
        <v>0.43220083</v>
      </c>
      <c r="M17" s="18" t="n">
        <v>0</v>
      </c>
      <c r="N17" s="20" t="n">
        <v>0</v>
      </c>
      <c r="O17" s="18" t="n">
        <v>0</v>
      </c>
      <c r="P17" s="20" t="n">
        <v>0</v>
      </c>
      <c r="Q17" s="18" t="n">
        <v>1.96709534</v>
      </c>
      <c r="R17" s="20" t="n">
        <v>0.51519538</v>
      </c>
    </row>
    <row r="18" spans="1:18">
      <c r="A18" s="15" t="s">
        <v>360</v>
      </c>
      <c r="B18" s="17" t="n">
        <v>5532</v>
      </c>
      <c r="C18" s="18">
        <f>(4865.0/B18*100)</f>
        <v/>
      </c>
      <c r="D18" s="19" t="n">
        <v>667</v>
      </c>
      <c r="E18" s="18" t="n">
        <v>41.0360976</v>
      </c>
      <c r="F18" s="20" t="n">
        <v>2.39689389</v>
      </c>
      <c r="G18" s="18" t="n">
        <v>52.19382264</v>
      </c>
      <c r="H18" s="20" t="n">
        <v>2.56631723</v>
      </c>
      <c r="I18" s="18" t="s">
        <v>349</v>
      </c>
      <c r="J18" s="20" t="s">
        <v>349</v>
      </c>
      <c r="K18" s="18" t="n">
        <v>2.15797354</v>
      </c>
      <c r="L18" s="20" t="n">
        <v>0.68834628</v>
      </c>
      <c r="M18" s="18" t="n">
        <v>0.08970400000000001</v>
      </c>
      <c r="N18" s="20" t="n">
        <v>0.08987278</v>
      </c>
      <c r="O18" s="18" t="n">
        <v>0</v>
      </c>
      <c r="P18" s="20" t="n">
        <v>0</v>
      </c>
      <c r="Q18" s="18" t="n">
        <v>4.52240221</v>
      </c>
      <c r="R18" s="20" t="n">
        <v>1.13106842</v>
      </c>
    </row>
    <row r="19" spans="1:18">
      <c r="A19" s="15" t="s">
        <v>361</v>
      </c>
      <c r="B19" s="17" t="n">
        <v>5658</v>
      </c>
      <c r="C19" s="18">
        <f>(4995.0/B19*100)</f>
        <v/>
      </c>
      <c r="D19" s="19" t="n">
        <v>663</v>
      </c>
      <c r="E19" s="18" t="n">
        <v>30.0126973</v>
      </c>
      <c r="F19" s="20" t="n">
        <v>1.8509631</v>
      </c>
      <c r="G19" s="18" t="n">
        <v>65.96059735999999</v>
      </c>
      <c r="H19" s="20" t="n">
        <v>1.87149829</v>
      </c>
      <c r="I19" s="18" t="s">
        <v>349</v>
      </c>
      <c r="J19" s="20" t="s">
        <v>349</v>
      </c>
      <c r="K19" s="18" t="n">
        <v>0.94915116</v>
      </c>
      <c r="L19" s="20" t="n">
        <v>0.33208043</v>
      </c>
      <c r="M19" s="18" t="n">
        <v>0</v>
      </c>
      <c r="N19" s="20" t="n">
        <v>0</v>
      </c>
      <c r="O19" s="18" t="n">
        <v>0</v>
      </c>
      <c r="P19" s="20" t="n">
        <v>0</v>
      </c>
      <c r="Q19" s="18" t="n">
        <v>3.07755418</v>
      </c>
      <c r="R19" s="20" t="n">
        <v>0.66895676</v>
      </c>
    </row>
    <row r="20" spans="1:18">
      <c r="A20" s="15" t="s">
        <v>362</v>
      </c>
      <c r="B20" s="17" t="n">
        <v>3371</v>
      </c>
      <c r="C20" s="18">
        <f>(2970.0/B20*100)</f>
        <v/>
      </c>
      <c r="D20" s="19" t="n">
        <v>401</v>
      </c>
      <c r="E20" s="18" t="n">
        <v>36.62428511</v>
      </c>
      <c r="F20" s="20" t="n">
        <v>2.55157738</v>
      </c>
      <c r="G20" s="18" t="n">
        <v>58.54331085</v>
      </c>
      <c r="H20" s="20" t="n">
        <v>2.51023925</v>
      </c>
      <c r="I20" s="18" t="s">
        <v>349</v>
      </c>
      <c r="J20" s="20" t="s">
        <v>349</v>
      </c>
      <c r="K20" s="18" t="n">
        <v>2.81939404</v>
      </c>
      <c r="L20" s="20" t="n">
        <v>0.8594653799999999</v>
      </c>
      <c r="M20" s="18" t="n">
        <v>0</v>
      </c>
      <c r="N20" s="20" t="n">
        <v>0</v>
      </c>
      <c r="O20" s="18" t="n">
        <v>0</v>
      </c>
      <c r="P20" s="20" t="n">
        <v>0</v>
      </c>
      <c r="Q20" s="18" t="n">
        <v>2.01300999</v>
      </c>
      <c r="R20" s="20" t="n">
        <v>0.71121307</v>
      </c>
    </row>
    <row r="21" spans="1:18">
      <c r="A21" s="15" t="s">
        <v>363</v>
      </c>
      <c r="B21" s="17" t="n">
        <v>5741</v>
      </c>
      <c r="C21" s="18">
        <f>(4782.0/B21*100)</f>
        <v/>
      </c>
      <c r="D21" s="19" t="n">
        <v>959</v>
      </c>
      <c r="E21" s="18" t="n">
        <v>20.69884832</v>
      </c>
      <c r="F21" s="20" t="n">
        <v>1.25446258</v>
      </c>
      <c r="G21" s="18" t="n">
        <v>77.78969847</v>
      </c>
      <c r="H21" s="20" t="n">
        <v>1.31953611</v>
      </c>
      <c r="I21" s="18" t="s">
        <v>349</v>
      </c>
      <c r="J21" s="20" t="s">
        <v>349</v>
      </c>
      <c r="K21" s="18" t="n">
        <v>0.62466224</v>
      </c>
      <c r="L21" s="20" t="n">
        <v>0.26305793</v>
      </c>
      <c r="M21" s="18" t="n">
        <v>0</v>
      </c>
      <c r="N21" s="20" t="n">
        <v>0</v>
      </c>
      <c r="O21" s="18" t="n">
        <v>0</v>
      </c>
      <c r="P21" s="20" t="n">
        <v>0</v>
      </c>
      <c r="Q21" s="18" t="n">
        <v>0.88679096</v>
      </c>
      <c r="R21" s="20" t="n">
        <v>0.2754929</v>
      </c>
    </row>
    <row r="22" spans="1:18">
      <c r="A22" s="15" t="s">
        <v>364</v>
      </c>
      <c r="B22" s="17" t="n">
        <v>6598</v>
      </c>
      <c r="C22" s="18">
        <f>(5778.0/B22*100)</f>
        <v/>
      </c>
      <c r="D22" s="19" t="n">
        <v>820</v>
      </c>
      <c r="E22" s="18" t="n">
        <v>28.45941072</v>
      </c>
      <c r="F22" s="20" t="n">
        <v>1.91396462</v>
      </c>
      <c r="G22" s="18" t="n">
        <v>64.67290466999999</v>
      </c>
      <c r="H22" s="20" t="n">
        <v>1.93277384</v>
      </c>
      <c r="I22" s="18" t="s">
        <v>349</v>
      </c>
      <c r="J22" s="20" t="s">
        <v>349</v>
      </c>
      <c r="K22" s="18" t="n">
        <v>3.23215145</v>
      </c>
      <c r="L22" s="20" t="n">
        <v>0.63970385</v>
      </c>
      <c r="M22" s="18" t="n">
        <v>0.18869996</v>
      </c>
      <c r="N22" s="20" t="n">
        <v>0.18761785</v>
      </c>
      <c r="O22" s="18" t="n">
        <v>0</v>
      </c>
      <c r="P22" s="20" t="n">
        <v>0</v>
      </c>
      <c r="Q22" s="18" t="n">
        <v>3.44683319</v>
      </c>
      <c r="R22" s="20" t="n">
        <v>0.68085242</v>
      </c>
    </row>
    <row r="23" spans="1:18">
      <c r="A23" s="15" t="s">
        <v>365</v>
      </c>
      <c r="B23" s="17" t="n">
        <v>11583</v>
      </c>
      <c r="C23" s="18">
        <f>(10162.0/B23*100)</f>
        <v/>
      </c>
      <c r="D23" s="19" t="n">
        <v>1421</v>
      </c>
      <c r="E23" s="18" t="n">
        <v>28.28533571</v>
      </c>
      <c r="F23" s="20" t="n">
        <v>1.87382533</v>
      </c>
      <c r="G23" s="18" t="n">
        <v>63.46832334</v>
      </c>
      <c r="H23" s="20" t="n">
        <v>1.80779145</v>
      </c>
      <c r="I23" s="18" t="s">
        <v>349</v>
      </c>
      <c r="J23" s="20" t="s">
        <v>349</v>
      </c>
      <c r="K23" s="18" t="n">
        <v>3.28031112</v>
      </c>
      <c r="L23" s="20" t="n">
        <v>0.92948199</v>
      </c>
      <c r="M23" s="18" t="n">
        <v>0.08215869000000001</v>
      </c>
      <c r="N23" s="20" t="n">
        <v>0.08809765</v>
      </c>
      <c r="O23" s="18" t="n">
        <v>0</v>
      </c>
      <c r="P23" s="20" t="n">
        <v>0</v>
      </c>
      <c r="Q23" s="18" t="n">
        <v>4.88387114</v>
      </c>
      <c r="R23" s="20" t="n">
        <v>0.93577619</v>
      </c>
    </row>
    <row r="24" spans="1:18">
      <c r="A24" s="15" t="s">
        <v>366</v>
      </c>
      <c r="B24" s="17" t="n">
        <v>6647</v>
      </c>
      <c r="C24" s="18">
        <f>(5857.0/B24*100)</f>
        <v/>
      </c>
      <c r="D24" s="19" t="n">
        <v>790</v>
      </c>
      <c r="E24" s="18" t="n">
        <v>15.66744165</v>
      </c>
      <c r="F24" s="20" t="n">
        <v>1.22087873</v>
      </c>
      <c r="G24" s="18" t="n">
        <v>82.70020787999999</v>
      </c>
      <c r="H24" s="20" t="n">
        <v>1.33683902</v>
      </c>
      <c r="I24" s="18" t="s">
        <v>349</v>
      </c>
      <c r="J24" s="20" t="s">
        <v>349</v>
      </c>
      <c r="K24" s="18" t="n">
        <v>0.33439598</v>
      </c>
      <c r="L24" s="20" t="n">
        <v>0.19467767</v>
      </c>
      <c r="M24" s="18" t="n">
        <v>0</v>
      </c>
      <c r="N24" s="20" t="n">
        <v>0</v>
      </c>
      <c r="O24" s="18" t="n">
        <v>0</v>
      </c>
      <c r="P24" s="20" t="n">
        <v>0</v>
      </c>
      <c r="Q24" s="18" t="n">
        <v>1.29795449</v>
      </c>
      <c r="R24" s="20" t="n">
        <v>0.4016036</v>
      </c>
    </row>
    <row r="25" spans="1:18">
      <c r="A25" s="15" t="s">
        <v>367</v>
      </c>
      <c r="B25" s="17" t="n">
        <v>5581</v>
      </c>
      <c r="C25" s="18">
        <f>(4882.0/B25*100)</f>
        <v/>
      </c>
      <c r="D25" s="19" t="n">
        <v>699</v>
      </c>
      <c r="E25" s="18" t="n">
        <v>25.3447445</v>
      </c>
      <c r="F25" s="20" t="n">
        <v>1.56846736</v>
      </c>
      <c r="G25" s="18" t="n">
        <v>70.94725372000001</v>
      </c>
      <c r="H25" s="20" t="n">
        <v>1.67053035</v>
      </c>
      <c r="I25" s="18" t="s">
        <v>349</v>
      </c>
      <c r="J25" s="20" t="s">
        <v>349</v>
      </c>
      <c r="K25" s="18" t="n">
        <v>1.536968</v>
      </c>
      <c r="L25" s="20" t="n">
        <v>0.48327035</v>
      </c>
      <c r="M25" s="18" t="n">
        <v>0</v>
      </c>
      <c r="N25" s="20" t="n">
        <v>0</v>
      </c>
      <c r="O25" s="18" t="n">
        <v>0</v>
      </c>
      <c r="P25" s="20" t="n">
        <v>0</v>
      </c>
      <c r="Q25" s="18" t="n">
        <v>2.17103379</v>
      </c>
      <c r="R25" s="20" t="n">
        <v>0.6182665899999999</v>
      </c>
    </row>
    <row r="26" spans="1:18">
      <c r="A26" s="15" t="s">
        <v>368</v>
      </c>
      <c r="B26" s="17" t="n">
        <v>4869</v>
      </c>
      <c r="C26" s="18">
        <f>(4270.0/B26*100)</f>
        <v/>
      </c>
      <c r="D26" s="19" t="n">
        <v>599</v>
      </c>
      <c r="E26" s="18" t="n">
        <v>29.45811115</v>
      </c>
      <c r="F26" s="20" t="n">
        <v>1.99626301</v>
      </c>
      <c r="G26" s="18" t="n">
        <v>67.88760599</v>
      </c>
      <c r="H26" s="20" t="n">
        <v>2.04689285</v>
      </c>
      <c r="I26" s="18" t="s">
        <v>349</v>
      </c>
      <c r="J26" s="20" t="s">
        <v>349</v>
      </c>
      <c r="K26" s="18" t="n">
        <v>1.4160285</v>
      </c>
      <c r="L26" s="20" t="n">
        <v>0.55795951</v>
      </c>
      <c r="M26" s="18" t="n">
        <v>0</v>
      </c>
      <c r="N26" s="20" t="n">
        <v>0</v>
      </c>
      <c r="O26" s="18" t="n">
        <v>0</v>
      </c>
      <c r="P26" s="20" t="n">
        <v>0</v>
      </c>
      <c r="Q26" s="18" t="n">
        <v>1.23825436</v>
      </c>
      <c r="R26" s="20" t="n">
        <v>0.4042483</v>
      </c>
    </row>
    <row r="27" spans="1:18">
      <c r="A27" s="15" t="s">
        <v>369</v>
      </c>
      <c r="B27" s="17" t="n">
        <v>5299</v>
      </c>
      <c r="C27" s="18">
        <f>(4671.0/B27*100)</f>
        <v/>
      </c>
      <c r="D27" s="19" t="n">
        <v>628</v>
      </c>
      <c r="E27" s="18" t="n">
        <v>30.68799641</v>
      </c>
      <c r="F27" s="20" t="n">
        <v>2.05453951</v>
      </c>
      <c r="G27" s="18" t="n">
        <v>64.359121</v>
      </c>
      <c r="H27" s="20" t="n">
        <v>2.19555704</v>
      </c>
      <c r="I27" s="18" t="s">
        <v>349</v>
      </c>
      <c r="J27" s="20" t="s">
        <v>349</v>
      </c>
      <c r="K27" s="18" t="n">
        <v>1.61202314</v>
      </c>
      <c r="L27" s="20" t="n">
        <v>0.46381388</v>
      </c>
      <c r="M27" s="18" t="n">
        <v>0</v>
      </c>
      <c r="N27" s="20" t="n">
        <v>0</v>
      </c>
      <c r="O27" s="18" t="n">
        <v>0</v>
      </c>
      <c r="P27" s="20" t="n">
        <v>0</v>
      </c>
      <c r="Q27" s="18" t="n">
        <v>3.34085945</v>
      </c>
      <c r="R27" s="20" t="n">
        <v>0.6747112</v>
      </c>
    </row>
    <row r="28" spans="1:18">
      <c r="A28" s="15" t="s">
        <v>370</v>
      </c>
      <c r="B28" s="17" t="n">
        <v>7568</v>
      </c>
      <c r="C28" s="18">
        <f>(6718.0/B28*100)</f>
        <v/>
      </c>
      <c r="D28" s="19" t="n">
        <v>850</v>
      </c>
      <c r="E28" s="18" t="n">
        <v>46.60003787</v>
      </c>
      <c r="F28" s="20" t="n">
        <v>1.93801441</v>
      </c>
      <c r="G28" s="18" t="n">
        <v>50.61374981</v>
      </c>
      <c r="H28" s="20" t="n">
        <v>1.94689584</v>
      </c>
      <c r="I28" s="18" t="s">
        <v>349</v>
      </c>
      <c r="J28" s="20" t="s">
        <v>349</v>
      </c>
      <c r="K28" s="18" t="n">
        <v>1.89554896</v>
      </c>
      <c r="L28" s="20" t="n">
        <v>0.68923754</v>
      </c>
      <c r="M28" s="18" t="n">
        <v>0.18876057</v>
      </c>
      <c r="N28" s="20" t="n">
        <v>0.18927892</v>
      </c>
      <c r="O28" s="18" t="n">
        <v>0</v>
      </c>
      <c r="P28" s="20" t="n">
        <v>0</v>
      </c>
      <c r="Q28" s="18" t="n">
        <v>0.70190279</v>
      </c>
      <c r="R28" s="20" t="n">
        <v>0.4047812</v>
      </c>
    </row>
    <row r="29" spans="1:18">
      <c r="A29" s="15" t="s">
        <v>371</v>
      </c>
      <c r="B29" s="17" t="n">
        <v>5385</v>
      </c>
      <c r="C29" s="18">
        <f>(4720.0/B29*100)</f>
        <v/>
      </c>
      <c r="D29" s="19" t="n">
        <v>665</v>
      </c>
      <c r="E29" s="18" t="n">
        <v>14.29465932</v>
      </c>
      <c r="F29" s="20" t="n">
        <v>1.2637182</v>
      </c>
      <c r="G29" s="18" t="n">
        <v>84.95977913</v>
      </c>
      <c r="H29" s="20" t="n">
        <v>1.32801371</v>
      </c>
      <c r="I29" s="18" t="s">
        <v>349</v>
      </c>
      <c r="J29" s="20" t="s">
        <v>349</v>
      </c>
      <c r="K29" s="18" t="n">
        <v>0.6372341500000001</v>
      </c>
      <c r="L29" s="20" t="n">
        <v>0.31017609</v>
      </c>
      <c r="M29" s="18" t="n">
        <v>0</v>
      </c>
      <c r="N29" s="20" t="n">
        <v>0</v>
      </c>
      <c r="O29" s="18" t="n">
        <v>0</v>
      </c>
      <c r="P29" s="20" t="n">
        <v>0</v>
      </c>
      <c r="Q29" s="18" t="n">
        <v>0.1083274</v>
      </c>
      <c r="R29" s="20" t="n">
        <v>0.12646105</v>
      </c>
    </row>
    <row r="30" spans="1:18">
      <c r="A30" s="15" t="s">
        <v>372</v>
      </c>
      <c r="B30" s="17" t="n">
        <v>4520</v>
      </c>
      <c r="C30" s="18">
        <f>(3972.0/B30*100)</f>
        <v/>
      </c>
      <c r="D30" s="19" t="n">
        <v>548</v>
      </c>
      <c r="E30" s="18" t="n">
        <v>14.70928164</v>
      </c>
      <c r="F30" s="20" t="n">
        <v>1.41406118</v>
      </c>
      <c r="G30" s="18" t="n">
        <v>82.16654681999999</v>
      </c>
      <c r="H30" s="20" t="n">
        <v>1.57013118</v>
      </c>
      <c r="I30" s="18" t="s">
        <v>349</v>
      </c>
      <c r="J30" s="20" t="s">
        <v>349</v>
      </c>
      <c r="K30" s="18" t="n">
        <v>1.44346681</v>
      </c>
      <c r="L30" s="20" t="n">
        <v>0.59995368</v>
      </c>
      <c r="M30" s="18" t="n">
        <v>0</v>
      </c>
      <c r="N30" s="20" t="n">
        <v>0</v>
      </c>
      <c r="O30" s="18" t="n">
        <v>0</v>
      </c>
      <c r="P30" s="20" t="n">
        <v>0</v>
      </c>
      <c r="Q30" s="18" t="n">
        <v>1.68070473</v>
      </c>
      <c r="R30" s="20" t="n">
        <v>0.52812203</v>
      </c>
    </row>
    <row r="31" spans="1:18">
      <c r="A31" s="15" t="s">
        <v>373</v>
      </c>
      <c r="B31" s="17" t="n">
        <v>5456</v>
      </c>
      <c r="C31" s="18">
        <f>(4815.0/B31*100)</f>
        <v/>
      </c>
      <c r="D31" s="19" t="n">
        <v>641</v>
      </c>
      <c r="E31" s="18" t="n">
        <v>24.90197395</v>
      </c>
      <c r="F31" s="20" t="n">
        <v>1.64195021</v>
      </c>
      <c r="G31" s="18" t="n">
        <v>69.55620202999999</v>
      </c>
      <c r="H31" s="20" t="n">
        <v>1.81616997</v>
      </c>
      <c r="I31" s="18" t="s">
        <v>349</v>
      </c>
      <c r="J31" s="20" t="s">
        <v>349</v>
      </c>
      <c r="K31" s="18" t="n">
        <v>2.75819018</v>
      </c>
      <c r="L31" s="20" t="n">
        <v>0.64212461</v>
      </c>
      <c r="M31" s="18" t="n">
        <v>0</v>
      </c>
      <c r="N31" s="20" t="n">
        <v>0</v>
      </c>
      <c r="O31" s="18" t="n">
        <v>0</v>
      </c>
      <c r="P31" s="20" t="n">
        <v>0</v>
      </c>
      <c r="Q31" s="18" t="n">
        <v>2.78363384</v>
      </c>
      <c r="R31" s="20" t="n">
        <v>0.55701698</v>
      </c>
    </row>
    <row r="32" spans="1:18">
      <c r="A32" s="15" t="s">
        <v>374</v>
      </c>
      <c r="B32" s="17" t="n">
        <v>4478</v>
      </c>
      <c r="C32" s="18">
        <f>(3746.0/B32*100)</f>
        <v/>
      </c>
      <c r="D32" s="19" t="n">
        <v>732</v>
      </c>
      <c r="E32" s="18" t="n">
        <v>24.35226376</v>
      </c>
      <c r="F32" s="20" t="n">
        <v>1.37569158</v>
      </c>
      <c r="G32" s="18" t="n">
        <v>74.47185429</v>
      </c>
      <c r="H32" s="20" t="n">
        <v>1.52742909</v>
      </c>
      <c r="I32" s="18" t="s">
        <v>349</v>
      </c>
      <c r="J32" s="20" t="s">
        <v>349</v>
      </c>
      <c r="K32" s="18" t="n">
        <v>0.67951948</v>
      </c>
      <c r="L32" s="20" t="n">
        <v>0.34399198</v>
      </c>
      <c r="M32" s="18" t="n">
        <v>0</v>
      </c>
      <c r="N32" s="20" t="n">
        <v>0</v>
      </c>
      <c r="O32" s="18" t="n">
        <v>0</v>
      </c>
      <c r="P32" s="20" t="n">
        <v>0</v>
      </c>
      <c r="Q32" s="18" t="n">
        <v>0.49636247</v>
      </c>
      <c r="R32" s="20" t="n">
        <v>0.2478406</v>
      </c>
    </row>
    <row r="33" spans="1:18">
      <c r="A33" s="15" t="s">
        <v>375</v>
      </c>
      <c r="B33" s="17" t="n">
        <v>7325</v>
      </c>
      <c r="C33" s="18">
        <f>(6471.0/B33*100)</f>
        <v/>
      </c>
      <c r="D33" s="19" t="n">
        <v>854</v>
      </c>
      <c r="E33" s="18" t="n">
        <v>24.65829408</v>
      </c>
      <c r="F33" s="20" t="n">
        <v>1.92357122</v>
      </c>
      <c r="G33" s="18" t="n">
        <v>73.19855554999999</v>
      </c>
      <c r="H33" s="20" t="n">
        <v>2.00260725</v>
      </c>
      <c r="I33" s="18" t="s">
        <v>349</v>
      </c>
      <c r="J33" s="20" t="s">
        <v>349</v>
      </c>
      <c r="K33" s="18" t="n">
        <v>1.10560063</v>
      </c>
      <c r="L33" s="20" t="n">
        <v>0.48941721</v>
      </c>
      <c r="M33" s="18" t="n">
        <v>0</v>
      </c>
      <c r="N33" s="20" t="n">
        <v>0</v>
      </c>
      <c r="O33" s="18" t="n">
        <v>0</v>
      </c>
      <c r="P33" s="20" t="n">
        <v>0</v>
      </c>
      <c r="Q33" s="18" t="n">
        <v>1.03754974</v>
      </c>
      <c r="R33" s="20" t="n">
        <v>0.36024038</v>
      </c>
    </row>
    <row r="34" spans="1:18">
      <c r="A34" s="15" t="s">
        <v>376</v>
      </c>
      <c r="B34" s="17" t="n">
        <v>6350</v>
      </c>
      <c r="C34" s="18">
        <f>(5605.0/B34*100)</f>
        <v/>
      </c>
      <c r="D34" s="19" t="n">
        <v>745</v>
      </c>
      <c r="E34" s="18" t="n">
        <v>34.72898458</v>
      </c>
      <c r="F34" s="20" t="n">
        <v>1.7238787</v>
      </c>
      <c r="G34" s="18" t="n">
        <v>61.41298524</v>
      </c>
      <c r="H34" s="20" t="n">
        <v>1.70997648</v>
      </c>
      <c r="I34" s="18" t="s">
        <v>349</v>
      </c>
      <c r="J34" s="20" t="s">
        <v>349</v>
      </c>
      <c r="K34" s="18" t="n">
        <v>1.44697533</v>
      </c>
      <c r="L34" s="20" t="n">
        <v>0.40049304</v>
      </c>
      <c r="M34" s="18" t="n">
        <v>0.08633607</v>
      </c>
      <c r="N34" s="20" t="n">
        <v>0.08696023</v>
      </c>
      <c r="O34" s="18" t="n">
        <v>0</v>
      </c>
      <c r="P34" s="20" t="n">
        <v>0</v>
      </c>
      <c r="Q34" s="18" t="n">
        <v>2.32471879</v>
      </c>
      <c r="R34" s="20" t="n">
        <v>0.70950866</v>
      </c>
    </row>
    <row r="35" spans="1:18">
      <c r="A35" s="15" t="s">
        <v>377</v>
      </c>
      <c r="B35" s="17" t="n">
        <v>6406</v>
      </c>
      <c r="C35" s="18">
        <f>(5666.0/B35*100)</f>
        <v/>
      </c>
      <c r="D35" s="19" t="n">
        <v>740</v>
      </c>
      <c r="E35" s="18" t="n">
        <v>28.70433805</v>
      </c>
      <c r="F35" s="20" t="n">
        <v>1.79522622</v>
      </c>
      <c r="G35" s="18" t="n">
        <v>68.40899134</v>
      </c>
      <c r="H35" s="20" t="n">
        <v>1.80752726</v>
      </c>
      <c r="I35" s="18" t="s">
        <v>349</v>
      </c>
      <c r="J35" s="20" t="s">
        <v>349</v>
      </c>
      <c r="K35" s="18" t="n">
        <v>0.88086214</v>
      </c>
      <c r="L35" s="20" t="n">
        <v>0.32437264</v>
      </c>
      <c r="M35" s="18" t="n">
        <v>0.60518046</v>
      </c>
      <c r="N35" s="20" t="n">
        <v>0.42314416</v>
      </c>
      <c r="O35" s="18" t="n">
        <v>0</v>
      </c>
      <c r="P35" s="20" t="n">
        <v>0</v>
      </c>
      <c r="Q35" s="18" t="n">
        <v>1.40062802</v>
      </c>
      <c r="R35" s="20" t="n">
        <v>0.48010585</v>
      </c>
    </row>
    <row r="36" spans="1:18">
      <c r="A36" s="15" t="s">
        <v>378</v>
      </c>
      <c r="B36" s="17" t="n">
        <v>6736</v>
      </c>
      <c r="C36" s="18">
        <f>(5921.0/B36*100)</f>
        <v/>
      </c>
      <c r="D36" s="19" t="n">
        <v>815</v>
      </c>
      <c r="E36" s="18" t="n">
        <v>25.07506986</v>
      </c>
      <c r="F36" s="20" t="n">
        <v>1.5521152</v>
      </c>
      <c r="G36" s="18" t="n">
        <v>71.52351829</v>
      </c>
      <c r="H36" s="20" t="n">
        <v>1.50490025</v>
      </c>
      <c r="I36" s="18" t="s">
        <v>349</v>
      </c>
      <c r="J36" s="20" t="s">
        <v>349</v>
      </c>
      <c r="K36" s="18" t="n">
        <v>1.16583939</v>
      </c>
      <c r="L36" s="20" t="n">
        <v>0.4015906</v>
      </c>
      <c r="M36" s="18" t="n">
        <v>0</v>
      </c>
      <c r="N36" s="20" t="n">
        <v>0</v>
      </c>
      <c r="O36" s="18" t="n">
        <v>0</v>
      </c>
      <c r="P36" s="20" t="n">
        <v>0</v>
      </c>
      <c r="Q36" s="18" t="n">
        <v>2.23557247</v>
      </c>
      <c r="R36" s="20" t="n">
        <v>0.55809676</v>
      </c>
    </row>
    <row r="37" spans="1:18">
      <c r="A37" s="15" t="s">
        <v>379</v>
      </c>
      <c r="B37" s="17" t="n">
        <v>5458</v>
      </c>
      <c r="C37" s="18">
        <f>(4818.0/B37*100)</f>
        <v/>
      </c>
      <c r="D37" s="19" t="n">
        <v>640</v>
      </c>
      <c r="E37" s="18" t="n">
        <v>23.63763812</v>
      </c>
      <c r="F37" s="20" t="n">
        <v>1.80020381</v>
      </c>
      <c r="G37" s="18" t="n">
        <v>69.70170012</v>
      </c>
      <c r="H37" s="20" t="n">
        <v>1.87350915</v>
      </c>
      <c r="I37" s="18" t="s">
        <v>349</v>
      </c>
      <c r="J37" s="20" t="s">
        <v>349</v>
      </c>
      <c r="K37" s="18" t="n">
        <v>3.70316432</v>
      </c>
      <c r="L37" s="20" t="n">
        <v>0.8484919</v>
      </c>
      <c r="M37" s="18" t="n">
        <v>0</v>
      </c>
      <c r="N37" s="20" t="n">
        <v>0</v>
      </c>
      <c r="O37" s="18" t="n">
        <v>0</v>
      </c>
      <c r="P37" s="20" t="n">
        <v>0</v>
      </c>
      <c r="Q37" s="18" t="n">
        <v>2.95749744</v>
      </c>
      <c r="R37" s="20" t="n">
        <v>0.68940391</v>
      </c>
    </row>
    <row r="38" spans="1:18">
      <c r="A38" s="15" t="s">
        <v>380</v>
      </c>
      <c r="B38" s="17" t="n">
        <v>5860</v>
      </c>
      <c r="C38" s="18">
        <f>(4893.0/B38*100)</f>
        <v/>
      </c>
      <c r="D38" s="19" t="n">
        <v>967</v>
      </c>
      <c r="E38" s="18" t="n">
        <v>20.84208234</v>
      </c>
      <c r="F38" s="20" t="n">
        <v>1.28401146</v>
      </c>
      <c r="G38" s="18" t="n">
        <v>73.47993119</v>
      </c>
      <c r="H38" s="20" t="n">
        <v>1.68154752</v>
      </c>
      <c r="I38" s="18" t="s">
        <v>349</v>
      </c>
      <c r="J38" s="20" t="s">
        <v>349</v>
      </c>
      <c r="K38" s="18" t="n">
        <v>2.15562499</v>
      </c>
      <c r="L38" s="20" t="n">
        <v>0.42288237</v>
      </c>
      <c r="M38" s="18" t="n">
        <v>0.14395416</v>
      </c>
      <c r="N38" s="20" t="n">
        <v>0.14584111</v>
      </c>
      <c r="O38" s="18" t="n">
        <v>0</v>
      </c>
      <c r="P38" s="20" t="n">
        <v>0</v>
      </c>
      <c r="Q38" s="18" t="n">
        <v>3.37840731</v>
      </c>
      <c r="R38" s="20" t="n">
        <v>0.7745285200000001</v>
      </c>
    </row>
    <row r="39" spans="1:18">
      <c r="A39" s="15" t="s">
        <v>381</v>
      </c>
      <c r="B39" s="17" t="n">
        <v>5895</v>
      </c>
      <c r="C39" s="18">
        <f>(5171.0/B39*100)</f>
        <v/>
      </c>
      <c r="D39" s="19" t="n">
        <v>724</v>
      </c>
      <c r="E39" s="18" t="n">
        <v>44.99451314</v>
      </c>
      <c r="F39" s="20" t="n">
        <v>1.81261892</v>
      </c>
      <c r="G39" s="18" t="n">
        <v>51.80568325</v>
      </c>
      <c r="H39" s="20" t="n">
        <v>1.93456042</v>
      </c>
      <c r="I39" s="18" t="s">
        <v>349</v>
      </c>
      <c r="J39" s="20" t="s">
        <v>349</v>
      </c>
      <c r="K39" s="18" t="n">
        <v>0.87682439</v>
      </c>
      <c r="L39" s="20" t="n">
        <v>0.35109598</v>
      </c>
      <c r="M39" s="18" t="n">
        <v>0</v>
      </c>
      <c r="N39" s="20" t="n">
        <v>0</v>
      </c>
      <c r="O39" s="18" t="n">
        <v>0</v>
      </c>
      <c r="P39" s="20" t="n">
        <v>0</v>
      </c>
      <c r="Q39" s="18" t="n">
        <v>2.32297921</v>
      </c>
      <c r="R39" s="20" t="n">
        <v>0.54011899</v>
      </c>
    </row>
    <row r="40" spans="1:18">
      <c r="A40" s="15" t="s">
        <v>382</v>
      </c>
      <c r="B40" s="17" t="n">
        <v>14157</v>
      </c>
      <c r="C40" s="18">
        <f>(12447.0/B40*100)</f>
        <v/>
      </c>
      <c r="D40" s="19" t="n">
        <v>1710</v>
      </c>
      <c r="E40" s="18" t="n">
        <v>22.47439749</v>
      </c>
      <c r="F40" s="20" t="n">
        <v>1.45257119</v>
      </c>
      <c r="G40" s="18" t="n">
        <v>73.94932504000001</v>
      </c>
      <c r="H40" s="20" t="n">
        <v>1.56215993</v>
      </c>
      <c r="I40" s="18" t="s">
        <v>349</v>
      </c>
      <c r="J40" s="20" t="s">
        <v>349</v>
      </c>
      <c r="K40" s="18" t="n">
        <v>1.45245215</v>
      </c>
      <c r="L40" s="20" t="n">
        <v>0.40873289</v>
      </c>
      <c r="M40" s="18" t="n">
        <v>0.09339159</v>
      </c>
      <c r="N40" s="20" t="n">
        <v>0.08939622999999999</v>
      </c>
      <c r="O40" s="18" t="n">
        <v>0</v>
      </c>
      <c r="P40" s="20" t="n">
        <v>0</v>
      </c>
      <c r="Q40" s="18" t="n">
        <v>2.03043373</v>
      </c>
      <c r="R40" s="20" t="n">
        <v>0.63466652</v>
      </c>
    </row>
    <row r="41" spans="1:18">
      <c r="A41" s="15" t="s">
        <v>383</v>
      </c>
      <c r="B41" s="17" t="n">
        <v>5712</v>
      </c>
      <c r="C41" s="18">
        <f>(5030.0/B41*100)</f>
        <v/>
      </c>
      <c r="D41" s="19" t="n">
        <v>682</v>
      </c>
      <c r="E41" s="18" t="n">
        <v>20.7661065</v>
      </c>
      <c r="F41" s="20" t="n">
        <v>1.90895121</v>
      </c>
      <c r="G41" s="18" t="n">
        <v>78.46881878000001</v>
      </c>
      <c r="H41" s="20" t="n">
        <v>1.96771528</v>
      </c>
      <c r="I41" s="18" t="s">
        <v>349</v>
      </c>
      <c r="J41" s="20" t="s">
        <v>349</v>
      </c>
      <c r="K41" s="18" t="n">
        <v>0.4979411</v>
      </c>
      <c r="L41" s="20" t="n">
        <v>0.2769583</v>
      </c>
      <c r="M41" s="18" t="n">
        <v>0</v>
      </c>
      <c r="N41" s="20" t="n">
        <v>0</v>
      </c>
      <c r="O41" s="18" t="n">
        <v>0</v>
      </c>
      <c r="P41" s="20" t="n">
        <v>0</v>
      </c>
      <c r="Q41" s="18" t="n">
        <v>0.26713362</v>
      </c>
      <c r="R41" s="20" t="n">
        <v>0.20286449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(20891.0/B46*100)</f>
        <v/>
      </c>
      <c r="D46" s="19" t="n">
        <v>2250</v>
      </c>
      <c r="E46" s="18" t="n">
        <v>48.90425588</v>
      </c>
      <c r="F46" s="20" t="n">
        <v>1.47804826</v>
      </c>
      <c r="G46" s="18" t="n">
        <v>41.28779234</v>
      </c>
      <c r="H46" s="20" t="n">
        <v>1.45716941</v>
      </c>
      <c r="I46" s="18" t="s">
        <v>349</v>
      </c>
      <c r="J46" s="20" t="s">
        <v>349</v>
      </c>
      <c r="K46" s="18" t="n">
        <v>2.71411405</v>
      </c>
      <c r="L46" s="20" t="n">
        <v>0.5314984</v>
      </c>
      <c r="M46" s="18" t="n">
        <v>0.04680282</v>
      </c>
      <c r="N46" s="20" t="n">
        <v>0.03444733</v>
      </c>
      <c r="O46" s="18" t="n">
        <v>0</v>
      </c>
      <c r="P46" s="20" t="n">
        <v>0</v>
      </c>
      <c r="Q46" s="18" t="n">
        <v>7.04703492</v>
      </c>
      <c r="R46" s="20" t="n">
        <v>0.76645178</v>
      </c>
    </row>
    <row r="47" spans="1:18">
      <c r="A47" s="15" t="s">
        <v>389</v>
      </c>
      <c r="B47" s="17" t="n">
        <v>5928</v>
      </c>
      <c r="C47" s="18">
        <f>(5243.0/B47*100)</f>
        <v/>
      </c>
      <c r="D47" s="19" t="n">
        <v>685</v>
      </c>
      <c r="E47" s="18" t="n">
        <v>42.82723477</v>
      </c>
      <c r="F47" s="20" t="n">
        <v>1.77021361</v>
      </c>
      <c r="G47" s="18" t="n">
        <v>47.43973465</v>
      </c>
      <c r="H47" s="20" t="n">
        <v>1.78889569</v>
      </c>
      <c r="I47" s="18" t="s">
        <v>349</v>
      </c>
      <c r="J47" s="20" t="s">
        <v>349</v>
      </c>
      <c r="K47" s="18" t="n">
        <v>2.44779062</v>
      </c>
      <c r="L47" s="20" t="n">
        <v>0.61198302</v>
      </c>
      <c r="M47" s="18" t="n">
        <v>0</v>
      </c>
      <c r="N47" s="20" t="n">
        <v>0</v>
      </c>
      <c r="O47" s="18" t="n">
        <v>0</v>
      </c>
      <c r="P47" s="20" t="n">
        <v>0</v>
      </c>
      <c r="Q47" s="18" t="n">
        <v>7.28523995</v>
      </c>
      <c r="R47" s="20" t="n">
        <v>1.21929899</v>
      </c>
    </row>
    <row r="48" spans="1:18">
      <c r="A48" s="15" t="s">
        <v>390</v>
      </c>
      <c r="B48" s="17" t="n">
        <v>9841</v>
      </c>
      <c r="C48" s="18">
        <f>(8638.0/B48*100)</f>
        <v/>
      </c>
      <c r="D48" s="19" t="n">
        <v>1203</v>
      </c>
      <c r="E48" s="18" t="n">
        <v>23.28800074</v>
      </c>
      <c r="F48" s="20" t="n">
        <v>1.7791997</v>
      </c>
      <c r="G48" s="18" t="n">
        <v>72.82710545</v>
      </c>
      <c r="H48" s="20" t="n">
        <v>1.98269549</v>
      </c>
      <c r="I48" s="18" t="s">
        <v>349</v>
      </c>
      <c r="J48" s="20" t="s">
        <v>349</v>
      </c>
      <c r="K48" s="18" t="n">
        <v>1.68235602</v>
      </c>
      <c r="L48" s="20" t="n">
        <v>0.5568184900000001</v>
      </c>
      <c r="M48" s="18" t="n">
        <v>0.22664376</v>
      </c>
      <c r="N48" s="20" t="n">
        <v>0.16901981</v>
      </c>
      <c r="O48" s="18" t="n">
        <v>0</v>
      </c>
      <c r="P48" s="20" t="n">
        <v>0</v>
      </c>
      <c r="Q48" s="18" t="n">
        <v>1.97589403</v>
      </c>
      <c r="R48" s="20" t="n">
        <v>0.53629392</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(10406.0/B50*100)</f>
        <v/>
      </c>
      <c r="D50" s="19" t="n">
        <v>1389</v>
      </c>
      <c r="E50" s="18" t="n">
        <v>54.1132763</v>
      </c>
      <c r="F50" s="20" t="n">
        <v>1.70594378</v>
      </c>
      <c r="G50" s="18" t="n">
        <v>39.58358329</v>
      </c>
      <c r="H50" s="20" t="n">
        <v>1.73483003</v>
      </c>
      <c r="I50" s="18" t="s">
        <v>349</v>
      </c>
      <c r="J50" s="20" t="s">
        <v>349</v>
      </c>
      <c r="K50" s="18" t="n">
        <v>3.56371532</v>
      </c>
      <c r="L50" s="20" t="n">
        <v>0.71922239</v>
      </c>
      <c r="M50" s="18" t="n">
        <v>0.80861434</v>
      </c>
      <c r="N50" s="20" t="n">
        <v>0.21314715</v>
      </c>
      <c r="O50" s="18" t="n">
        <v>0</v>
      </c>
      <c r="P50" s="20" t="n">
        <v>0</v>
      </c>
      <c r="Q50" s="18" t="n">
        <v>1.93081074</v>
      </c>
      <c r="R50" s="20" t="n">
        <v>0.50417758</v>
      </c>
    </row>
    <row r="51" spans="1:18">
      <c r="A51" s="15" t="s">
        <v>393</v>
      </c>
      <c r="B51" s="17" t="n">
        <v>6866</v>
      </c>
      <c r="C51" s="18">
        <f>(6164.0/B51*100)</f>
        <v/>
      </c>
      <c r="D51" s="19" t="n">
        <v>702</v>
      </c>
      <c r="E51" s="18" t="n">
        <v>53.71792391</v>
      </c>
      <c r="F51" s="20" t="n">
        <v>1.95876979</v>
      </c>
      <c r="G51" s="18" t="n">
        <v>42.12237296</v>
      </c>
      <c r="H51" s="20" t="n">
        <v>1.89818448</v>
      </c>
      <c r="I51" s="18" t="s">
        <v>349</v>
      </c>
      <c r="J51" s="20" t="s">
        <v>349</v>
      </c>
      <c r="K51" s="18" t="n">
        <v>2.37880777</v>
      </c>
      <c r="L51" s="20" t="n">
        <v>0.56666385</v>
      </c>
      <c r="M51" s="18" t="n">
        <v>0.26833632</v>
      </c>
      <c r="N51" s="20" t="n">
        <v>0.24883123</v>
      </c>
      <c r="O51" s="18" t="n">
        <v>0</v>
      </c>
      <c r="P51" s="20" t="n">
        <v>0</v>
      </c>
      <c r="Q51" s="18" t="n">
        <v>1.51255904</v>
      </c>
      <c r="R51" s="20" t="n">
        <v>0.50105994</v>
      </c>
    </row>
    <row r="52" spans="1:18">
      <c r="A52" s="15" t="s">
        <v>394</v>
      </c>
      <c r="B52" s="17" t="n">
        <v>5809</v>
      </c>
      <c r="C52" s="18">
        <f>(5109.0/B52*100)</f>
        <v/>
      </c>
      <c r="D52" s="19" t="n">
        <v>700</v>
      </c>
      <c r="E52" s="18" t="n">
        <v>44.37870103</v>
      </c>
      <c r="F52" s="20" t="n">
        <v>1.61692199</v>
      </c>
      <c r="G52" s="18" t="n">
        <v>51.89288167</v>
      </c>
      <c r="H52" s="20" t="n">
        <v>1.77264848</v>
      </c>
      <c r="I52" s="18" t="s">
        <v>349</v>
      </c>
      <c r="J52" s="20" t="s">
        <v>349</v>
      </c>
      <c r="K52" s="18" t="n">
        <v>1.09980726</v>
      </c>
      <c r="L52" s="20" t="n">
        <v>0.32739586</v>
      </c>
      <c r="M52" s="18" t="n">
        <v>0</v>
      </c>
      <c r="N52" s="20" t="n">
        <v>0</v>
      </c>
      <c r="O52" s="18" t="n">
        <v>0</v>
      </c>
      <c r="P52" s="20" t="n">
        <v>0</v>
      </c>
      <c r="Q52" s="18" t="n">
        <v>2.62861004</v>
      </c>
      <c r="R52" s="20" t="n">
        <v>0.62500976</v>
      </c>
    </row>
    <row r="53" spans="1:18">
      <c r="A53" s="15" t="s">
        <v>395</v>
      </c>
      <c r="B53" s="17" t="n">
        <v>5571</v>
      </c>
      <c r="C53" s="18">
        <f>(4887.0/B53*100)</f>
        <v/>
      </c>
      <c r="D53" s="19" t="n">
        <v>684</v>
      </c>
      <c r="E53" s="18" t="n">
        <v>43.23720379</v>
      </c>
      <c r="F53" s="20" t="n">
        <v>1.90601807</v>
      </c>
      <c r="G53" s="18" t="n">
        <v>49.0034788</v>
      </c>
      <c r="H53" s="20" t="n">
        <v>1.90337473</v>
      </c>
      <c r="I53" s="18" t="s">
        <v>349</v>
      </c>
      <c r="J53" s="20" t="s">
        <v>349</v>
      </c>
      <c r="K53" s="18" t="n">
        <v>1.79204494</v>
      </c>
      <c r="L53" s="20" t="n">
        <v>0.51745914</v>
      </c>
      <c r="M53" s="18" t="n">
        <v>0</v>
      </c>
      <c r="N53" s="20" t="n">
        <v>0</v>
      </c>
      <c r="O53" s="18" t="n">
        <v>0</v>
      </c>
      <c r="P53" s="20" t="n">
        <v>0</v>
      </c>
      <c r="Q53" s="18" t="n">
        <v>5.96727247</v>
      </c>
      <c r="R53" s="20" t="n">
        <v>0.91842575</v>
      </c>
    </row>
    <row r="54" spans="1:18">
      <c r="A54" s="15" t="s">
        <v>396</v>
      </c>
      <c r="B54" s="17" t="n">
        <v>4740</v>
      </c>
      <c r="C54" s="18">
        <f>(3976.0/B54*100)</f>
        <v/>
      </c>
      <c r="D54" s="19" t="n">
        <v>764</v>
      </c>
      <c r="E54" s="18" t="n">
        <v>55.96210238</v>
      </c>
      <c r="F54" s="20" t="n">
        <v>2.22027995</v>
      </c>
      <c r="G54" s="18" t="n">
        <v>22.01884068</v>
      </c>
      <c r="H54" s="20" t="n">
        <v>1.73814026</v>
      </c>
      <c r="I54" s="18" t="s">
        <v>349</v>
      </c>
      <c r="J54" s="20" t="s">
        <v>349</v>
      </c>
      <c r="K54" s="18" t="n">
        <v>13.96223576</v>
      </c>
      <c r="L54" s="20" t="n">
        <v>1.40281097</v>
      </c>
      <c r="M54" s="18" t="n">
        <v>0.97645115</v>
      </c>
      <c r="N54" s="20" t="n">
        <v>0.94502114</v>
      </c>
      <c r="O54" s="18" t="n">
        <v>0</v>
      </c>
      <c r="P54" s="20" t="n">
        <v>0</v>
      </c>
      <c r="Q54" s="18" t="n">
        <v>7.08037003</v>
      </c>
      <c r="R54" s="20" t="n">
        <v>1.16569449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22.83079906</v>
      </c>
      <c r="F56" s="20" t="n">
        <v>1.61984889</v>
      </c>
      <c r="G56" s="18" t="n">
        <v>76.04925543</v>
      </c>
      <c r="H56" s="20" t="n">
        <v>1.65310853</v>
      </c>
      <c r="I56" s="18" t="s">
        <v>349</v>
      </c>
      <c r="J56" s="20" t="s">
        <v>349</v>
      </c>
      <c r="K56" s="18" t="n">
        <v>0.32702338</v>
      </c>
      <c r="L56" s="20" t="n">
        <v>0.19373639</v>
      </c>
      <c r="M56" s="18" t="n">
        <v>0</v>
      </c>
      <c r="N56" s="20" t="n">
        <v>0</v>
      </c>
      <c r="O56" s="18" t="n">
        <v>0</v>
      </c>
      <c r="P56" s="20" t="n">
        <v>0</v>
      </c>
      <c r="Q56" s="18" t="n">
        <v>0.79292213</v>
      </c>
      <c r="R56" s="20" t="n">
        <v>0.38609605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(5711.0/B61*100)</f>
        <v/>
      </c>
      <c r="D61" s="19" t="n">
        <v>814</v>
      </c>
      <c r="E61" s="18" t="n">
        <v>34.18002252</v>
      </c>
      <c r="F61" s="20" t="n">
        <v>1.80936794</v>
      </c>
      <c r="G61" s="18" t="n">
        <v>63.58341704</v>
      </c>
      <c r="H61" s="20" t="n">
        <v>1.90567768</v>
      </c>
      <c r="I61" s="18" t="s">
        <v>349</v>
      </c>
      <c r="J61" s="20" t="s">
        <v>349</v>
      </c>
      <c r="K61" s="18" t="n">
        <v>0.6332735900000001</v>
      </c>
      <c r="L61" s="20" t="n">
        <v>0.40795512</v>
      </c>
      <c r="M61" s="18" t="n">
        <v>0</v>
      </c>
      <c r="N61" s="20" t="n">
        <v>0</v>
      </c>
      <c r="O61" s="18" t="n">
        <v>0</v>
      </c>
      <c r="P61" s="20" t="n">
        <v>0</v>
      </c>
      <c r="Q61" s="18" t="n">
        <v>1.60328684</v>
      </c>
      <c r="R61" s="20" t="n">
        <v>0.4220479</v>
      </c>
    </row>
    <row r="62" spans="1:18">
      <c r="A62" s="15" t="s">
        <v>404</v>
      </c>
      <c r="B62" s="17" t="n">
        <v>4476</v>
      </c>
      <c r="C62" s="18">
        <f>(3941.0/B62*100)</f>
        <v/>
      </c>
      <c r="D62" s="19" t="n">
        <v>535</v>
      </c>
      <c r="E62" s="18" t="n">
        <v>19.31056022</v>
      </c>
      <c r="F62" s="20" t="n">
        <v>1.66757172</v>
      </c>
      <c r="G62" s="18" t="n">
        <v>79.19681353999999</v>
      </c>
      <c r="H62" s="20" t="n">
        <v>1.73886807</v>
      </c>
      <c r="I62" s="18" t="s">
        <v>349</v>
      </c>
      <c r="J62" s="20" t="s">
        <v>349</v>
      </c>
      <c r="K62" s="18" t="n">
        <v>0.18553257</v>
      </c>
      <c r="L62" s="20" t="n">
        <v>0.18572461</v>
      </c>
      <c r="M62" s="18" t="n">
        <v>0.18750664</v>
      </c>
      <c r="N62" s="20" t="n">
        <v>0.1879859</v>
      </c>
      <c r="O62" s="18" t="n">
        <v>0</v>
      </c>
      <c r="P62" s="20" t="n">
        <v>0</v>
      </c>
      <c r="Q62" s="18" t="n">
        <v>1.11958702</v>
      </c>
      <c r="R62" s="20" t="n">
        <v>0.43765207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(4995.0/B66*100)</f>
        <v/>
      </c>
      <c r="D66" s="19" t="n">
        <v>670</v>
      </c>
      <c r="E66" s="18" t="n">
        <v>45.77757926</v>
      </c>
      <c r="F66" s="20" t="n">
        <v>1.8798433</v>
      </c>
      <c r="G66" s="18" t="n">
        <v>33.40012396</v>
      </c>
      <c r="H66" s="20" t="n">
        <v>1.93729021</v>
      </c>
      <c r="I66" s="18" t="s">
        <v>349</v>
      </c>
      <c r="J66" s="20" t="s">
        <v>349</v>
      </c>
      <c r="K66" s="18" t="n">
        <v>3.94431689</v>
      </c>
      <c r="L66" s="20" t="n">
        <v>0.63819551</v>
      </c>
      <c r="M66" s="18" t="n">
        <v>0.26173172</v>
      </c>
      <c r="N66" s="20" t="n">
        <v>0.18791432</v>
      </c>
      <c r="O66" s="18" t="n">
        <v>0</v>
      </c>
      <c r="P66" s="20" t="n">
        <v>0</v>
      </c>
      <c r="Q66" s="18" t="n">
        <v>16.61624815</v>
      </c>
      <c r="R66" s="20" t="n">
        <v>1.20101205</v>
      </c>
    </row>
    <row r="67" spans="1:18">
      <c r="A67" s="15" t="s">
        <v>409</v>
      </c>
      <c r="B67" s="17" t="n">
        <v>6971</v>
      </c>
      <c r="C67" s="18">
        <f>(6254.0/B67*100)</f>
        <v/>
      </c>
      <c r="D67" s="19" t="n">
        <v>717</v>
      </c>
      <c r="E67" s="18" t="n">
        <v>57.34641827</v>
      </c>
      <c r="F67" s="20" t="n">
        <v>2.04922334</v>
      </c>
      <c r="G67" s="18" t="n">
        <v>37.81908201</v>
      </c>
      <c r="H67" s="20" t="n">
        <v>2.12582804</v>
      </c>
      <c r="I67" s="18" t="s">
        <v>349</v>
      </c>
      <c r="J67" s="20" t="s">
        <v>349</v>
      </c>
      <c r="K67" s="18" t="n">
        <v>0.8576027000000001</v>
      </c>
      <c r="L67" s="20" t="n">
        <v>0.33824163</v>
      </c>
      <c r="M67" s="18" t="n">
        <v>0.21892005</v>
      </c>
      <c r="N67" s="20" t="n">
        <v>0.15391755</v>
      </c>
      <c r="O67" s="18" t="n">
        <v>0</v>
      </c>
      <c r="P67" s="20" t="n">
        <v>0</v>
      </c>
      <c r="Q67" s="18" t="n">
        <v>3.75797697</v>
      </c>
      <c r="R67" s="20" t="n">
        <v>0.65559827</v>
      </c>
    </row>
    <row r="68" spans="1:18">
      <c r="A68" s="15" t="s">
        <v>410</v>
      </c>
      <c r="B68" s="17" t="n">
        <v>12083</v>
      </c>
      <c r="C68" s="18">
        <f>(10090.0/B68*100)</f>
        <v/>
      </c>
      <c r="D68" s="19" t="n">
        <v>1993</v>
      </c>
      <c r="E68" s="18" t="n">
        <v>39.50026366</v>
      </c>
      <c r="F68" s="20" t="n">
        <v>1.22649578</v>
      </c>
      <c r="G68" s="18" t="n">
        <v>51.77544112</v>
      </c>
      <c r="H68" s="20" t="n">
        <v>1.27133764</v>
      </c>
      <c r="I68" s="18" t="s">
        <v>349</v>
      </c>
      <c r="J68" s="20" t="s">
        <v>349</v>
      </c>
      <c r="K68" s="18" t="n">
        <v>5.10946637</v>
      </c>
      <c r="L68" s="20" t="n">
        <v>0.47615411</v>
      </c>
      <c r="M68" s="18" t="n">
        <v>0.04890314</v>
      </c>
      <c r="N68" s="20" t="n">
        <v>0.04889834</v>
      </c>
      <c r="O68" s="18" t="n">
        <v>0</v>
      </c>
      <c r="P68" s="20" t="n">
        <v>0</v>
      </c>
      <c r="Q68" s="18" t="n">
        <v>3.56592572</v>
      </c>
      <c r="R68" s="20" t="n">
        <v>0.42822196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(5315.0/B70*100)</f>
        <v/>
      </c>
      <c r="D70" s="19" t="n">
        <v>721</v>
      </c>
      <c r="E70" s="18" t="n">
        <v>27.09157753</v>
      </c>
      <c r="F70" s="20" t="n">
        <v>1.83341357</v>
      </c>
      <c r="G70" s="18" t="n">
        <v>69.95924898</v>
      </c>
      <c r="H70" s="20" t="n">
        <v>2.01525843</v>
      </c>
      <c r="I70" s="18" t="s">
        <v>349</v>
      </c>
      <c r="J70" s="20" t="s">
        <v>349</v>
      </c>
      <c r="K70" s="18" t="n">
        <v>1.3811802</v>
      </c>
      <c r="L70" s="20" t="n">
        <v>0.41521443</v>
      </c>
      <c r="M70" s="18" t="n">
        <v>0.29741746</v>
      </c>
      <c r="N70" s="20" t="n">
        <v>0.17526634</v>
      </c>
      <c r="O70" s="18" t="n">
        <v>0</v>
      </c>
      <c r="P70" s="20" t="n">
        <v>0</v>
      </c>
      <c r="Q70" s="18" t="n">
        <v>1.27057583</v>
      </c>
      <c r="R70" s="20" t="n">
        <v>0.33848166</v>
      </c>
    </row>
    <row r="71" spans="1:18">
      <c r="A71" s="15" t="s">
        <v>413</v>
      </c>
      <c r="B71" s="17" t="n">
        <v>6115</v>
      </c>
      <c r="C71" s="18">
        <f>(5351.0/B71*100)</f>
        <v/>
      </c>
      <c r="D71" s="19" t="n">
        <v>764</v>
      </c>
      <c r="E71" s="18" t="n">
        <v>15.99238444</v>
      </c>
      <c r="F71" s="20" t="n">
        <v>1.09058353</v>
      </c>
      <c r="G71" s="18" t="n">
        <v>83.37174841</v>
      </c>
      <c r="H71" s="20" t="n">
        <v>1.15211143</v>
      </c>
      <c r="I71" s="18" t="s">
        <v>349</v>
      </c>
      <c r="J71" s="20" t="s">
        <v>349</v>
      </c>
      <c r="K71" s="18" t="n">
        <v>0.22753052</v>
      </c>
      <c r="L71" s="20" t="n">
        <v>0.16782054</v>
      </c>
      <c r="M71" s="18" t="n">
        <v>0</v>
      </c>
      <c r="N71" s="20" t="n">
        <v>0</v>
      </c>
      <c r="O71" s="18" t="n">
        <v>0</v>
      </c>
      <c r="P71" s="20" t="n">
        <v>0</v>
      </c>
      <c r="Q71" s="18" t="n">
        <v>0.40833664</v>
      </c>
      <c r="R71" s="20" t="n">
        <v>0.24074318</v>
      </c>
    </row>
    <row r="72" spans="1:18">
      <c r="A72" s="15" t="s">
        <v>414</v>
      </c>
      <c r="B72" s="17" t="n">
        <v>7708</v>
      </c>
      <c r="C72" s="18">
        <f>(6750.0/B72*100)</f>
        <v/>
      </c>
      <c r="D72" s="19" t="n">
        <v>958</v>
      </c>
      <c r="E72" s="18" t="n">
        <v>19.95637706</v>
      </c>
      <c r="F72" s="20" t="n">
        <v>1.30228475</v>
      </c>
      <c r="G72" s="18" t="n">
        <v>78.60826556000001</v>
      </c>
      <c r="H72" s="20" t="n">
        <v>1.32901513</v>
      </c>
      <c r="I72" s="18" t="s">
        <v>349</v>
      </c>
      <c r="J72" s="20" t="s">
        <v>349</v>
      </c>
      <c r="K72" s="18" t="n">
        <v>0.30589767</v>
      </c>
      <c r="L72" s="20" t="n">
        <v>0.18837442</v>
      </c>
      <c r="M72" s="18" t="n">
        <v>0</v>
      </c>
      <c r="N72" s="20" t="n">
        <v>0</v>
      </c>
      <c r="O72" s="18" t="n">
        <v>0</v>
      </c>
      <c r="P72" s="20" t="n">
        <v>0</v>
      </c>
      <c r="Q72" s="18" t="n">
        <v>1.1294597</v>
      </c>
      <c r="R72" s="20" t="n">
        <v>0.37231761</v>
      </c>
    </row>
    <row r="73" spans="1:18">
      <c r="A73" s="15" t="s">
        <v>415</v>
      </c>
      <c r="B73" s="17" t="n">
        <v>8249</v>
      </c>
      <c r="C73" s="18">
        <f>(7303.0/B73*100)</f>
        <v/>
      </c>
      <c r="D73" s="19" t="n">
        <v>946</v>
      </c>
      <c r="E73" s="18" t="n">
        <v>40.53462969</v>
      </c>
      <c r="F73" s="20" t="n">
        <v>1.96296203</v>
      </c>
      <c r="G73" s="18" t="n">
        <v>58.82045033</v>
      </c>
      <c r="H73" s="20" t="n">
        <v>1.9816679</v>
      </c>
      <c r="I73" s="18" t="s">
        <v>349</v>
      </c>
      <c r="J73" s="20" t="s">
        <v>349</v>
      </c>
      <c r="K73" s="18" t="n">
        <v>0.18099567</v>
      </c>
      <c r="L73" s="20" t="n">
        <v>0.1715507</v>
      </c>
      <c r="M73" s="18" t="n">
        <v>0</v>
      </c>
      <c r="N73" s="20" t="n">
        <v>0</v>
      </c>
      <c r="O73" s="18" t="n">
        <v>0</v>
      </c>
      <c r="P73" s="20" t="n">
        <v>0</v>
      </c>
      <c r="Q73" s="18" t="n">
        <v>0.46392431</v>
      </c>
      <c r="R73" s="20" t="n">
        <v>0.25600521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(4779.0/B75*100)</f>
        <v/>
      </c>
      <c r="D75" s="19" t="n">
        <v>596</v>
      </c>
      <c r="E75" s="18" t="n">
        <v>53.52148504</v>
      </c>
      <c r="F75" s="20" t="n">
        <v>2.12676419</v>
      </c>
      <c r="G75" s="18" t="n">
        <v>29.17053006</v>
      </c>
      <c r="H75" s="20" t="n">
        <v>1.85137277</v>
      </c>
      <c r="I75" s="18" t="s">
        <v>349</v>
      </c>
      <c r="J75" s="20" t="s">
        <v>349</v>
      </c>
      <c r="K75" s="18" t="n">
        <v>7.48283074</v>
      </c>
      <c r="L75" s="20" t="n">
        <v>1.15855738</v>
      </c>
      <c r="M75" s="18" t="n">
        <v>0.19843486</v>
      </c>
      <c r="N75" s="20" t="n">
        <v>0.19707512</v>
      </c>
      <c r="O75" s="18" t="n">
        <v>0</v>
      </c>
      <c r="P75" s="20" t="n">
        <v>0</v>
      </c>
      <c r="Q75" s="18" t="n">
        <v>9.6267193</v>
      </c>
      <c r="R75" s="20" t="n">
        <v>1.51405512</v>
      </c>
    </row>
    <row r="76" spans="1:18">
      <c r="A76" s="15" t="s">
        <v>418</v>
      </c>
      <c r="B76" s="17" t="n">
        <v>14167</v>
      </c>
      <c r="C76" s="18">
        <f>(12424.0/B76*100)</f>
        <v/>
      </c>
      <c r="D76" s="19" t="n">
        <v>1743</v>
      </c>
      <c r="E76" s="18" t="n">
        <v>39.95127044</v>
      </c>
      <c r="F76" s="20" t="n">
        <v>1.55591085</v>
      </c>
      <c r="G76" s="18" t="n">
        <v>55.48068278</v>
      </c>
      <c r="H76" s="20" t="n">
        <v>1.65465385</v>
      </c>
      <c r="I76" s="18" t="s">
        <v>349</v>
      </c>
      <c r="J76" s="20" t="s">
        <v>349</v>
      </c>
      <c r="K76" s="18" t="n">
        <v>1.70070427</v>
      </c>
      <c r="L76" s="20" t="n">
        <v>0.40529809</v>
      </c>
      <c r="M76" s="18" t="n">
        <v>0.02897628</v>
      </c>
      <c r="N76" s="20" t="n">
        <v>0.02913797</v>
      </c>
      <c r="O76" s="18" t="n">
        <v>0</v>
      </c>
      <c r="P76" s="20" t="n">
        <v>0</v>
      </c>
      <c r="Q76" s="18" t="n">
        <v>2.83836622</v>
      </c>
      <c r="R76" s="20" t="n">
        <v>0.52673085</v>
      </c>
    </row>
    <row r="77" spans="1:18">
      <c r="A77" s="15" t="s">
        <v>419</v>
      </c>
      <c r="B77" s="17" t="n">
        <v>6062</v>
      </c>
      <c r="C77" s="18">
        <f>(5337.0/B77*100)</f>
        <v/>
      </c>
      <c r="D77" s="19" t="n">
        <v>725</v>
      </c>
      <c r="E77" s="18" t="n">
        <v>40.53445453</v>
      </c>
      <c r="F77" s="20" t="n">
        <v>1.96418697</v>
      </c>
      <c r="G77" s="18" t="n">
        <v>47.85548086</v>
      </c>
      <c r="H77" s="20" t="n">
        <v>1.80783884</v>
      </c>
      <c r="I77" s="18" t="s">
        <v>349</v>
      </c>
      <c r="J77" s="20" t="s">
        <v>349</v>
      </c>
      <c r="K77" s="18" t="n">
        <v>4.88344812</v>
      </c>
      <c r="L77" s="20" t="n">
        <v>0.81403426</v>
      </c>
      <c r="M77" s="18" t="n">
        <v>2.25488969</v>
      </c>
      <c r="N77" s="20" t="n">
        <v>0.58288146</v>
      </c>
      <c r="O77" s="18" t="n">
        <v>0</v>
      </c>
      <c r="P77" s="20" t="n">
        <v>0</v>
      </c>
      <c r="Q77" s="18" t="n">
        <v>4.4717268</v>
      </c>
      <c r="R77" s="20" t="n">
        <v>0.96167538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(7769.0/B81*100)</f>
        <v/>
      </c>
      <c r="D81" s="19" t="n">
        <v>1092</v>
      </c>
      <c r="E81" s="18" t="n">
        <v>36.09072725</v>
      </c>
      <c r="F81" s="20" t="n">
        <v>2.04982057</v>
      </c>
      <c r="G81" s="18" t="n">
        <v>63.29424809</v>
      </c>
      <c r="H81" s="20" t="n">
        <v>2.11016036</v>
      </c>
      <c r="I81" s="18" t="s">
        <v>349</v>
      </c>
      <c r="J81" s="20" t="s">
        <v>349</v>
      </c>
      <c r="K81" s="18" t="n">
        <v>0.19273033</v>
      </c>
      <c r="L81" s="20" t="n">
        <v>0.1536756</v>
      </c>
      <c r="M81" s="18" t="n">
        <v>0</v>
      </c>
      <c r="N81" s="20" t="n">
        <v>0</v>
      </c>
      <c r="O81" s="18" t="n">
        <v>0</v>
      </c>
      <c r="P81" s="20" t="n">
        <v>0</v>
      </c>
      <c r="Q81" s="18" t="n">
        <v>0.42229433</v>
      </c>
      <c r="R81" s="20" t="n">
        <v>0.24982787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(12733.0/B7*100)</f>
        <v/>
      </c>
      <c r="D7" s="19" t="n">
        <v>1797</v>
      </c>
      <c r="E7" s="18" t="n">
        <v>63.99793834</v>
      </c>
      <c r="F7" s="20" t="n">
        <v>1.3978181</v>
      </c>
      <c r="G7" s="18" t="n">
        <v>34.28910564</v>
      </c>
      <c r="H7" s="20" t="n">
        <v>1.37286518</v>
      </c>
      <c r="I7" s="18" t="s">
        <v>349</v>
      </c>
      <c r="J7" s="20" t="s">
        <v>349</v>
      </c>
      <c r="K7" s="18" t="n">
        <v>1.71295602</v>
      </c>
      <c r="L7" s="20" t="n">
        <v>0.38979038</v>
      </c>
      <c r="M7" s="18" t="n">
        <v>0</v>
      </c>
      <c r="N7" s="20" t="n">
        <v>0</v>
      </c>
      <c r="O7" s="18" t="n">
        <v>0</v>
      </c>
      <c r="P7" s="20" t="n">
        <v>0</v>
      </c>
      <c r="Q7" s="18" t="n">
        <v>0</v>
      </c>
      <c r="R7" s="20" t="n">
        <v>0</v>
      </c>
    </row>
    <row r="8" spans="1:18">
      <c r="A8" s="15" t="s">
        <v>350</v>
      </c>
      <c r="B8" s="17" t="n">
        <v>7007</v>
      </c>
      <c r="C8" s="18">
        <f>(6142.0/B8*100)</f>
        <v/>
      </c>
      <c r="D8" s="19" t="n">
        <v>865</v>
      </c>
      <c r="E8" s="18" t="n">
        <v>59.37209531</v>
      </c>
      <c r="F8" s="20" t="n">
        <v>1.80351899</v>
      </c>
      <c r="G8" s="18" t="n">
        <v>38.07133966</v>
      </c>
      <c r="H8" s="20" t="n">
        <v>1.58504692</v>
      </c>
      <c r="I8" s="18" t="s">
        <v>349</v>
      </c>
      <c r="J8" s="20" t="s">
        <v>349</v>
      </c>
      <c r="K8" s="18" t="n">
        <v>2.55656503</v>
      </c>
      <c r="L8" s="20" t="n">
        <v>0.67419235</v>
      </c>
      <c r="M8" s="18" t="n">
        <v>0</v>
      </c>
      <c r="N8" s="20" t="n">
        <v>0</v>
      </c>
      <c r="O8" s="18" t="n">
        <v>0</v>
      </c>
      <c r="P8" s="20" t="n">
        <v>0</v>
      </c>
      <c r="Q8" s="18" t="n">
        <v>0</v>
      </c>
      <c r="R8" s="20" t="n">
        <v>0</v>
      </c>
    </row>
    <row r="9" spans="1:18">
      <c r="A9" s="15" t="s">
        <v>351</v>
      </c>
      <c r="B9" s="17" t="n">
        <v>9651</v>
      </c>
      <c r="C9" s="18">
        <f>(8520.0/B9*100)</f>
        <v/>
      </c>
      <c r="D9" s="19" t="n">
        <v>1131</v>
      </c>
      <c r="E9" s="18" t="n">
        <v>57.57746797</v>
      </c>
      <c r="F9" s="20" t="n">
        <v>1.60343052</v>
      </c>
      <c r="G9" s="18" t="n">
        <v>39.72165291</v>
      </c>
      <c r="H9" s="20" t="n">
        <v>1.63741972</v>
      </c>
      <c r="I9" s="18" t="s">
        <v>349</v>
      </c>
      <c r="J9" s="20" t="s">
        <v>349</v>
      </c>
      <c r="K9" s="18" t="n">
        <v>2.70087912</v>
      </c>
      <c r="L9" s="20" t="n">
        <v>0.62683867</v>
      </c>
      <c r="M9" s="18" t="n">
        <v>0</v>
      </c>
      <c r="N9" s="20" t="n">
        <v>0</v>
      </c>
      <c r="O9" s="18" t="n">
        <v>0</v>
      </c>
      <c r="P9" s="20" t="n">
        <v>0</v>
      </c>
      <c r="Q9" s="18" t="n">
        <v>0</v>
      </c>
      <c r="R9" s="20" t="n">
        <v>0</v>
      </c>
    </row>
    <row r="10" spans="1:18">
      <c r="A10" s="15" t="s">
        <v>352</v>
      </c>
      <c r="B10" s="17" t="n">
        <v>20058</v>
      </c>
      <c r="C10" s="18">
        <f>(17581.0/B10*100)</f>
        <v/>
      </c>
      <c r="D10" s="19" t="n">
        <v>2477</v>
      </c>
      <c r="E10" s="18" t="n">
        <v>67.22218530000001</v>
      </c>
      <c r="F10" s="20" t="n">
        <v>1.20085435</v>
      </c>
      <c r="G10" s="18" t="n">
        <v>31.70003855</v>
      </c>
      <c r="H10" s="20" t="n">
        <v>1.13735261</v>
      </c>
      <c r="I10" s="18" t="s">
        <v>349</v>
      </c>
      <c r="J10" s="20" t="s">
        <v>349</v>
      </c>
      <c r="K10" s="18" t="n">
        <v>1.07777614</v>
      </c>
      <c r="L10" s="20" t="n">
        <v>0.32653467</v>
      </c>
      <c r="M10" s="18" t="n">
        <v>0</v>
      </c>
      <c r="N10" s="20" t="n">
        <v>0</v>
      </c>
      <c r="O10" s="18" t="n">
        <v>0</v>
      </c>
      <c r="P10" s="20" t="n">
        <v>0</v>
      </c>
      <c r="Q10" s="18" t="n">
        <v>0</v>
      </c>
      <c r="R10" s="20" t="n">
        <v>0</v>
      </c>
    </row>
    <row r="11" spans="1:18">
      <c r="A11" s="15" t="s">
        <v>353</v>
      </c>
      <c r="B11" s="17" t="n">
        <v>7053</v>
      </c>
      <c r="C11" s="18">
        <f>(6236.0/B11*100)</f>
        <v/>
      </c>
      <c r="D11" s="19" t="n">
        <v>817</v>
      </c>
      <c r="E11" s="18" t="n">
        <v>69.96804319</v>
      </c>
      <c r="F11" s="20" t="n">
        <v>1.8999105</v>
      </c>
      <c r="G11" s="18" t="n">
        <v>25.86128384</v>
      </c>
      <c r="H11" s="20" t="n">
        <v>1.96598547</v>
      </c>
      <c r="I11" s="18" t="s">
        <v>349</v>
      </c>
      <c r="J11" s="20" t="s">
        <v>349</v>
      </c>
      <c r="K11" s="18" t="n">
        <v>4.17067296</v>
      </c>
      <c r="L11" s="20" t="n">
        <v>0.7096881</v>
      </c>
      <c r="M11" s="18" t="n">
        <v>0</v>
      </c>
      <c r="N11" s="20" t="n">
        <v>0</v>
      </c>
      <c r="O11" s="18" t="n">
        <v>0</v>
      </c>
      <c r="P11" s="20" t="n">
        <v>0</v>
      </c>
      <c r="Q11" s="18" t="n">
        <v>0</v>
      </c>
      <c r="R11" s="20" t="n">
        <v>0</v>
      </c>
    </row>
    <row r="12" spans="1:18">
      <c r="A12" s="15" t="s">
        <v>354</v>
      </c>
      <c r="B12" s="17" t="n">
        <v>6894</v>
      </c>
      <c r="C12" s="18">
        <f>(6091.0/B12*100)</f>
        <v/>
      </c>
      <c r="D12" s="19" t="n">
        <v>803</v>
      </c>
      <c r="E12" s="18" t="n">
        <v>60.78738545</v>
      </c>
      <c r="F12" s="20" t="n">
        <v>2.01506737</v>
      </c>
      <c r="G12" s="18" t="n">
        <v>37.54008863</v>
      </c>
      <c r="H12" s="20" t="n">
        <v>2.04102034</v>
      </c>
      <c r="I12" s="18" t="s">
        <v>349</v>
      </c>
      <c r="J12" s="20" t="s">
        <v>349</v>
      </c>
      <c r="K12" s="18" t="n">
        <v>1.67252592</v>
      </c>
      <c r="L12" s="20" t="n">
        <v>0.46321368</v>
      </c>
      <c r="M12" s="18" t="n">
        <v>0</v>
      </c>
      <c r="N12" s="20" t="n">
        <v>0</v>
      </c>
      <c r="O12" s="18" t="n">
        <v>0</v>
      </c>
      <c r="P12" s="20" t="n">
        <v>0</v>
      </c>
      <c r="Q12" s="18" t="n">
        <v>0</v>
      </c>
      <c r="R12" s="20" t="n">
        <v>0</v>
      </c>
    </row>
    <row r="13" spans="1:18">
      <c r="A13" s="15" t="s">
        <v>355</v>
      </c>
      <c r="B13" s="17" t="n">
        <v>7161</v>
      </c>
      <c r="C13" s="18">
        <f>(6331.0/B13*100)</f>
        <v/>
      </c>
      <c r="D13" s="19" t="n">
        <v>830</v>
      </c>
      <c r="E13" s="18" t="n">
        <v>57.2501163</v>
      </c>
      <c r="F13" s="20" t="n">
        <v>1.88166426</v>
      </c>
      <c r="G13" s="18" t="n">
        <v>41.04317402</v>
      </c>
      <c r="H13" s="20" t="n">
        <v>1.88708305</v>
      </c>
      <c r="I13" s="18" t="s">
        <v>349</v>
      </c>
      <c r="J13" s="20" t="s">
        <v>349</v>
      </c>
      <c r="K13" s="18" t="n">
        <v>1.70670968</v>
      </c>
      <c r="L13" s="20" t="n">
        <v>0.48685885</v>
      </c>
      <c r="M13" s="18" t="n">
        <v>0</v>
      </c>
      <c r="N13" s="20" t="n">
        <v>0</v>
      </c>
      <c r="O13" s="18" t="n">
        <v>0</v>
      </c>
      <c r="P13" s="20" t="n">
        <v>0</v>
      </c>
      <c r="Q13" s="18" t="n">
        <v>0</v>
      </c>
      <c r="R13" s="20" t="n">
        <v>0</v>
      </c>
    </row>
    <row r="14" spans="1:18">
      <c r="A14" s="15" t="s">
        <v>356</v>
      </c>
      <c r="B14" s="17" t="n">
        <v>5587</v>
      </c>
      <c r="C14" s="18">
        <f>(4916.0/B14*100)</f>
        <v/>
      </c>
      <c r="D14" s="19" t="n">
        <v>671</v>
      </c>
      <c r="E14" s="18" t="n">
        <v>62.14579533</v>
      </c>
      <c r="F14" s="20" t="n">
        <v>2.1768717</v>
      </c>
      <c r="G14" s="18" t="n">
        <v>37.35856487</v>
      </c>
      <c r="H14" s="20" t="n">
        <v>2.14508083</v>
      </c>
      <c r="I14" s="18" t="s">
        <v>349</v>
      </c>
      <c r="J14" s="20" t="s">
        <v>349</v>
      </c>
      <c r="K14" s="18" t="n">
        <v>0.49563981</v>
      </c>
      <c r="L14" s="20" t="n">
        <v>0.307509</v>
      </c>
      <c r="M14" s="18" t="n">
        <v>0</v>
      </c>
      <c r="N14" s="20" t="n">
        <v>0</v>
      </c>
      <c r="O14" s="18" t="n">
        <v>0</v>
      </c>
      <c r="P14" s="20" t="n">
        <v>0</v>
      </c>
      <c r="Q14" s="18" t="n">
        <v>0</v>
      </c>
      <c r="R14" s="20" t="n">
        <v>0</v>
      </c>
    </row>
    <row r="15" spans="1:18">
      <c r="A15" s="15" t="s">
        <v>357</v>
      </c>
      <c r="B15" s="17" t="n">
        <v>5882</v>
      </c>
      <c r="C15" s="18">
        <f>(5171.0/B15*100)</f>
        <v/>
      </c>
      <c r="D15" s="19" t="n">
        <v>711</v>
      </c>
      <c r="E15" s="18" t="n">
        <v>59.33086152</v>
      </c>
      <c r="F15" s="20" t="n">
        <v>1.77134426</v>
      </c>
      <c r="G15" s="18" t="n">
        <v>37.81009602</v>
      </c>
      <c r="H15" s="20" t="n">
        <v>1.86189465</v>
      </c>
      <c r="I15" s="18" t="s">
        <v>349</v>
      </c>
      <c r="J15" s="20" t="s">
        <v>349</v>
      </c>
      <c r="K15" s="18" t="n">
        <v>2.85904246</v>
      </c>
      <c r="L15" s="20" t="n">
        <v>0.84440044</v>
      </c>
      <c r="M15" s="18" t="n">
        <v>0</v>
      </c>
      <c r="N15" s="20" t="n">
        <v>0</v>
      </c>
      <c r="O15" s="18" t="n">
        <v>0</v>
      </c>
      <c r="P15" s="20" t="n">
        <v>0</v>
      </c>
      <c r="Q15" s="18" t="n">
        <v>0</v>
      </c>
      <c r="R15" s="20" t="n">
        <v>0</v>
      </c>
    </row>
    <row r="16" spans="1:18">
      <c r="A16" s="15" t="s">
        <v>358</v>
      </c>
      <c r="B16" s="17" t="n">
        <v>6108</v>
      </c>
      <c r="C16" s="18">
        <f>(5391.0/B16*100)</f>
        <v/>
      </c>
      <c r="D16" s="19" t="n">
        <v>717</v>
      </c>
      <c r="E16" s="18" t="n">
        <v>50.76733774</v>
      </c>
      <c r="F16" s="20" t="n">
        <v>1.53780756</v>
      </c>
      <c r="G16" s="18" t="n">
        <v>44.68536938</v>
      </c>
      <c r="H16" s="20" t="n">
        <v>1.54293166</v>
      </c>
      <c r="I16" s="18" t="s">
        <v>349</v>
      </c>
      <c r="J16" s="20" t="s">
        <v>349</v>
      </c>
      <c r="K16" s="18" t="n">
        <v>4.54729288</v>
      </c>
      <c r="L16" s="20" t="n">
        <v>0.83266081</v>
      </c>
      <c r="M16" s="18" t="n">
        <v>0</v>
      </c>
      <c r="N16" s="20" t="n">
        <v>0</v>
      </c>
      <c r="O16" s="18" t="n">
        <v>0</v>
      </c>
      <c r="P16" s="20" t="n">
        <v>0</v>
      </c>
      <c r="Q16" s="18" t="n">
        <v>0</v>
      </c>
      <c r="R16" s="20" t="n">
        <v>0</v>
      </c>
    </row>
    <row r="17" spans="1:18">
      <c r="A17" s="15" t="s">
        <v>359</v>
      </c>
      <c r="B17" s="17" t="n">
        <v>6504</v>
      </c>
      <c r="C17" s="18">
        <f>(5750.0/B17*100)</f>
        <v/>
      </c>
      <c r="D17" s="19" t="n">
        <v>754</v>
      </c>
      <c r="E17" s="18" t="n">
        <v>54.52338692</v>
      </c>
      <c r="F17" s="20" t="n">
        <v>1.67314817</v>
      </c>
      <c r="G17" s="18" t="n">
        <v>43.24802063</v>
      </c>
      <c r="H17" s="20" t="n">
        <v>1.6479783</v>
      </c>
      <c r="I17" s="18" t="s">
        <v>349</v>
      </c>
      <c r="J17" s="20" t="s">
        <v>349</v>
      </c>
      <c r="K17" s="18" t="n">
        <v>2.22859245</v>
      </c>
      <c r="L17" s="20" t="n">
        <v>0.5328051</v>
      </c>
      <c r="M17" s="18" t="n">
        <v>0</v>
      </c>
      <c r="N17" s="20" t="n">
        <v>0</v>
      </c>
      <c r="O17" s="18" t="n">
        <v>0</v>
      </c>
      <c r="P17" s="20" t="n">
        <v>0</v>
      </c>
      <c r="Q17" s="18" t="n">
        <v>0</v>
      </c>
      <c r="R17" s="20" t="n">
        <v>0</v>
      </c>
    </row>
    <row r="18" spans="1:18">
      <c r="A18" s="15" t="s">
        <v>360</v>
      </c>
      <c r="B18" s="17" t="n">
        <v>5532</v>
      </c>
      <c r="C18" s="18">
        <f>(4865.0/B18*100)</f>
        <v/>
      </c>
      <c r="D18" s="19" t="n">
        <v>667</v>
      </c>
      <c r="E18" s="18" t="n">
        <v>60.16214733</v>
      </c>
      <c r="F18" s="20" t="n">
        <v>1.986219</v>
      </c>
      <c r="G18" s="18" t="n">
        <v>37.32294051</v>
      </c>
      <c r="H18" s="20" t="n">
        <v>2.13798921</v>
      </c>
      <c r="I18" s="18" t="s">
        <v>349</v>
      </c>
      <c r="J18" s="20" t="s">
        <v>349</v>
      </c>
      <c r="K18" s="18" t="n">
        <v>2.51491216</v>
      </c>
      <c r="L18" s="20" t="n">
        <v>0.72225511</v>
      </c>
      <c r="M18" s="18" t="n">
        <v>0</v>
      </c>
      <c r="N18" s="20" t="n">
        <v>0</v>
      </c>
      <c r="O18" s="18" t="n">
        <v>0</v>
      </c>
      <c r="P18" s="20" t="n">
        <v>0</v>
      </c>
      <c r="Q18" s="18" t="n">
        <v>0</v>
      </c>
      <c r="R18" s="20" t="n">
        <v>0</v>
      </c>
    </row>
    <row r="19" spans="1:18">
      <c r="A19" s="15" t="s">
        <v>361</v>
      </c>
      <c r="B19" s="17" t="n">
        <v>5658</v>
      </c>
      <c r="C19" s="18">
        <f>(4995.0/B19*100)</f>
        <v/>
      </c>
      <c r="D19" s="19" t="n">
        <v>663</v>
      </c>
      <c r="E19" s="18" t="n">
        <v>62.40667891</v>
      </c>
      <c r="F19" s="20" t="n">
        <v>2.14489217</v>
      </c>
      <c r="G19" s="18" t="n">
        <v>36.50713143</v>
      </c>
      <c r="H19" s="20" t="n">
        <v>2.18166849</v>
      </c>
      <c r="I19" s="18" t="s">
        <v>349</v>
      </c>
      <c r="J19" s="20" t="s">
        <v>349</v>
      </c>
      <c r="K19" s="18" t="n">
        <v>1.08618966</v>
      </c>
      <c r="L19" s="20" t="n">
        <v>0.36109489</v>
      </c>
      <c r="M19" s="18" t="n">
        <v>0</v>
      </c>
      <c r="N19" s="20" t="n">
        <v>0</v>
      </c>
      <c r="O19" s="18" t="n">
        <v>0</v>
      </c>
      <c r="P19" s="20" t="n">
        <v>0</v>
      </c>
      <c r="Q19" s="18" t="n">
        <v>0</v>
      </c>
      <c r="R19" s="20" t="n">
        <v>0</v>
      </c>
    </row>
    <row r="20" spans="1:18">
      <c r="A20" s="15" t="s">
        <v>362</v>
      </c>
      <c r="B20" s="17" t="n">
        <v>3371</v>
      </c>
      <c r="C20" s="18">
        <f>(2970.0/B20*100)</f>
        <v/>
      </c>
      <c r="D20" s="19" t="n">
        <v>401</v>
      </c>
      <c r="E20" s="18" t="n">
        <v>59.70678017</v>
      </c>
      <c r="F20" s="20" t="n">
        <v>2.22397535</v>
      </c>
      <c r="G20" s="18" t="n">
        <v>36.53054518</v>
      </c>
      <c r="H20" s="20" t="n">
        <v>2.20739317</v>
      </c>
      <c r="I20" s="18" t="s">
        <v>349</v>
      </c>
      <c r="J20" s="20" t="s">
        <v>349</v>
      </c>
      <c r="K20" s="18" t="n">
        <v>3.76267465</v>
      </c>
      <c r="L20" s="20" t="n">
        <v>0.92815569</v>
      </c>
      <c r="M20" s="18" t="n">
        <v>0</v>
      </c>
      <c r="N20" s="20" t="n">
        <v>0</v>
      </c>
      <c r="O20" s="18" t="n">
        <v>0</v>
      </c>
      <c r="P20" s="20" t="n">
        <v>0</v>
      </c>
      <c r="Q20" s="18" t="n">
        <v>0</v>
      </c>
      <c r="R20" s="20" t="n">
        <v>0</v>
      </c>
    </row>
    <row r="21" spans="1:18">
      <c r="A21" s="15" t="s">
        <v>363</v>
      </c>
      <c r="B21" s="17" t="n">
        <v>5741</v>
      </c>
      <c r="C21" s="18">
        <f>(4782.0/B21*100)</f>
        <v/>
      </c>
      <c r="D21" s="19" t="n">
        <v>959</v>
      </c>
      <c r="E21" s="18" t="n">
        <v>66.85162337</v>
      </c>
      <c r="F21" s="20" t="n">
        <v>1.5567779</v>
      </c>
      <c r="G21" s="18" t="n">
        <v>32.04156746</v>
      </c>
      <c r="H21" s="20" t="n">
        <v>1.52603667</v>
      </c>
      <c r="I21" s="18" t="s">
        <v>349</v>
      </c>
      <c r="J21" s="20" t="s">
        <v>349</v>
      </c>
      <c r="K21" s="18" t="n">
        <v>1.10680916</v>
      </c>
      <c r="L21" s="20" t="n">
        <v>0.34569643</v>
      </c>
      <c r="M21" s="18" t="n">
        <v>0</v>
      </c>
      <c r="N21" s="20" t="n">
        <v>0</v>
      </c>
      <c r="O21" s="18" t="n">
        <v>0</v>
      </c>
      <c r="P21" s="20" t="n">
        <v>0</v>
      </c>
      <c r="Q21" s="18" t="n">
        <v>0</v>
      </c>
      <c r="R21" s="20" t="n">
        <v>0</v>
      </c>
    </row>
    <row r="22" spans="1:18">
      <c r="A22" s="15" t="s">
        <v>364</v>
      </c>
      <c r="B22" s="17" t="n">
        <v>6598</v>
      </c>
      <c r="C22" s="18">
        <f>(5778.0/B22*100)</f>
        <v/>
      </c>
      <c r="D22" s="19" t="n">
        <v>820</v>
      </c>
      <c r="E22" s="18" t="n">
        <v>53.93437127</v>
      </c>
      <c r="F22" s="20" t="n">
        <v>1.97216692</v>
      </c>
      <c r="G22" s="18" t="n">
        <v>41.9689109</v>
      </c>
      <c r="H22" s="20" t="n">
        <v>1.96735881</v>
      </c>
      <c r="I22" s="18" t="s">
        <v>349</v>
      </c>
      <c r="J22" s="20" t="s">
        <v>349</v>
      </c>
      <c r="K22" s="18" t="n">
        <v>4.09671783</v>
      </c>
      <c r="L22" s="20" t="n">
        <v>0.71777786</v>
      </c>
      <c r="M22" s="18" t="n">
        <v>0</v>
      </c>
      <c r="N22" s="20" t="n">
        <v>0</v>
      </c>
      <c r="O22" s="18" t="n">
        <v>0</v>
      </c>
      <c r="P22" s="20" t="n">
        <v>0</v>
      </c>
      <c r="Q22" s="18" t="n">
        <v>0</v>
      </c>
      <c r="R22" s="20" t="n">
        <v>0</v>
      </c>
    </row>
    <row r="23" spans="1:18">
      <c r="A23" s="15" t="s">
        <v>365</v>
      </c>
      <c r="B23" s="17" t="n">
        <v>11583</v>
      </c>
      <c r="C23" s="18">
        <f>(10161.0/B23*100)</f>
        <v/>
      </c>
      <c r="D23" s="19" t="n">
        <v>1422</v>
      </c>
      <c r="E23" s="18" t="n">
        <v>0.42353958</v>
      </c>
      <c r="F23" s="20" t="n">
        <v>0.04937782</v>
      </c>
      <c r="G23" s="18" t="n">
        <v>0.31476145</v>
      </c>
      <c r="H23" s="20" t="n">
        <v>0.03901922</v>
      </c>
      <c r="I23" s="18" t="s">
        <v>349</v>
      </c>
      <c r="J23" s="20" t="s">
        <v>349</v>
      </c>
      <c r="K23" s="18" t="n">
        <v>0.01386933</v>
      </c>
      <c r="L23" s="20" t="n">
        <v>0.00725286</v>
      </c>
      <c r="M23" s="18" t="n">
        <v>99.24782965</v>
      </c>
      <c r="N23" s="20" t="n">
        <v>0.05705119</v>
      </c>
      <c r="O23" s="18" t="n">
        <v>0</v>
      </c>
      <c r="P23" s="20" t="n">
        <v>0</v>
      </c>
      <c r="Q23" s="18" t="n">
        <v>0</v>
      </c>
      <c r="R23" s="20" t="n">
        <v>0</v>
      </c>
    </row>
    <row r="24" spans="1:18">
      <c r="A24" s="15" t="s">
        <v>366</v>
      </c>
      <c r="B24" s="17" t="n">
        <v>6647</v>
      </c>
      <c r="C24" s="18">
        <f>(5855.0/B24*100)</f>
        <v/>
      </c>
      <c r="D24" s="19" t="n">
        <v>792</v>
      </c>
      <c r="E24" s="18" t="n">
        <v>49.61475072</v>
      </c>
      <c r="F24" s="20" t="n">
        <v>1.81467312</v>
      </c>
      <c r="G24" s="18" t="n">
        <v>49.32254024</v>
      </c>
      <c r="H24" s="20" t="n">
        <v>1.79143501</v>
      </c>
      <c r="I24" s="18" t="s">
        <v>349</v>
      </c>
      <c r="J24" s="20" t="s">
        <v>349</v>
      </c>
      <c r="K24" s="18" t="n">
        <v>1.06270904</v>
      </c>
      <c r="L24" s="20" t="n">
        <v>0.35804897</v>
      </c>
      <c r="M24" s="18" t="n">
        <v>0</v>
      </c>
      <c r="N24" s="20" t="n">
        <v>0</v>
      </c>
      <c r="O24" s="18" t="n">
        <v>0</v>
      </c>
      <c r="P24" s="20" t="n">
        <v>0</v>
      </c>
      <c r="Q24" s="18" t="n">
        <v>0</v>
      </c>
      <c r="R24" s="20" t="n">
        <v>0</v>
      </c>
    </row>
    <row r="25" spans="1:18">
      <c r="A25" s="15" t="s">
        <v>367</v>
      </c>
      <c r="B25" s="17" t="n">
        <v>5581</v>
      </c>
      <c r="C25" s="18">
        <f>(4882.0/B25*100)</f>
        <v/>
      </c>
      <c r="D25" s="19" t="n">
        <v>699</v>
      </c>
      <c r="E25" s="18" t="n">
        <v>52.45090791</v>
      </c>
      <c r="F25" s="20" t="n">
        <v>2.00604356</v>
      </c>
      <c r="G25" s="18" t="n">
        <v>45.76325465</v>
      </c>
      <c r="H25" s="20" t="n">
        <v>2.03627249</v>
      </c>
      <c r="I25" s="18" t="s">
        <v>349</v>
      </c>
      <c r="J25" s="20" t="s">
        <v>349</v>
      </c>
      <c r="K25" s="18" t="n">
        <v>1.78583744</v>
      </c>
      <c r="L25" s="20" t="n">
        <v>0.51631046</v>
      </c>
      <c r="M25" s="18" t="n">
        <v>0</v>
      </c>
      <c r="N25" s="20" t="n">
        <v>0</v>
      </c>
      <c r="O25" s="18" t="n">
        <v>0</v>
      </c>
      <c r="P25" s="20" t="n">
        <v>0</v>
      </c>
      <c r="Q25" s="18" t="n">
        <v>0</v>
      </c>
      <c r="R25" s="20" t="n">
        <v>0</v>
      </c>
    </row>
    <row r="26" spans="1:18">
      <c r="A26" s="15" t="s">
        <v>368</v>
      </c>
      <c r="B26" s="17" t="n">
        <v>4869</v>
      </c>
      <c r="C26" s="18">
        <f>(4270.0/B26*100)</f>
        <v/>
      </c>
      <c r="D26" s="19" t="n">
        <v>599</v>
      </c>
      <c r="E26" s="18" t="n">
        <v>66.04768836</v>
      </c>
      <c r="F26" s="20" t="n">
        <v>2.07950999</v>
      </c>
      <c r="G26" s="18" t="n">
        <v>32.28550449</v>
      </c>
      <c r="H26" s="20" t="n">
        <v>2.06226075</v>
      </c>
      <c r="I26" s="18" t="s">
        <v>349</v>
      </c>
      <c r="J26" s="20" t="s">
        <v>349</v>
      </c>
      <c r="K26" s="18" t="n">
        <v>1.66680716</v>
      </c>
      <c r="L26" s="20" t="n">
        <v>0.57982464</v>
      </c>
      <c r="M26" s="18" t="n">
        <v>0</v>
      </c>
      <c r="N26" s="20" t="n">
        <v>0</v>
      </c>
      <c r="O26" s="18" t="n">
        <v>0</v>
      </c>
      <c r="P26" s="20" t="n">
        <v>0</v>
      </c>
      <c r="Q26" s="18" t="n">
        <v>0</v>
      </c>
      <c r="R26" s="20" t="n">
        <v>0</v>
      </c>
    </row>
    <row r="27" spans="1:18">
      <c r="A27" s="15" t="s">
        <v>369</v>
      </c>
      <c r="B27" s="17" t="n">
        <v>5299</v>
      </c>
      <c r="C27" s="18">
        <f>(4671.0/B27*100)</f>
        <v/>
      </c>
      <c r="D27" s="19" t="n">
        <v>628</v>
      </c>
      <c r="E27" s="18" t="n">
        <v>60.58834467</v>
      </c>
      <c r="F27" s="20" t="n">
        <v>1.89631131</v>
      </c>
      <c r="G27" s="18" t="n">
        <v>36.98668657</v>
      </c>
      <c r="H27" s="20" t="n">
        <v>1.83466102</v>
      </c>
      <c r="I27" s="18" t="s">
        <v>349</v>
      </c>
      <c r="J27" s="20" t="s">
        <v>349</v>
      </c>
      <c r="K27" s="18" t="n">
        <v>2.42496876</v>
      </c>
      <c r="L27" s="20" t="n">
        <v>0.53909968</v>
      </c>
      <c r="M27" s="18" t="n">
        <v>0</v>
      </c>
      <c r="N27" s="20" t="n">
        <v>0</v>
      </c>
      <c r="O27" s="18" t="n">
        <v>0</v>
      </c>
      <c r="P27" s="20" t="n">
        <v>0</v>
      </c>
      <c r="Q27" s="18" t="n">
        <v>0</v>
      </c>
      <c r="R27" s="20" t="n">
        <v>0</v>
      </c>
    </row>
    <row r="28" spans="1:18">
      <c r="A28" s="15" t="s">
        <v>370</v>
      </c>
      <c r="B28" s="17" t="n">
        <v>7568</v>
      </c>
      <c r="C28" s="18">
        <f>(6718.0/B28*100)</f>
        <v/>
      </c>
      <c r="D28" s="19" t="n">
        <v>850</v>
      </c>
      <c r="E28" s="18" t="n">
        <v>68.42307251</v>
      </c>
      <c r="F28" s="20" t="n">
        <v>1.98630406</v>
      </c>
      <c r="G28" s="18" t="n">
        <v>29.54800461</v>
      </c>
      <c r="H28" s="20" t="n">
        <v>1.99223009</v>
      </c>
      <c r="I28" s="18" t="s">
        <v>349</v>
      </c>
      <c r="J28" s="20" t="s">
        <v>349</v>
      </c>
      <c r="K28" s="18" t="n">
        <v>2.02892288</v>
      </c>
      <c r="L28" s="20" t="n">
        <v>0.70674305</v>
      </c>
      <c r="M28" s="18" t="n">
        <v>0</v>
      </c>
      <c r="N28" s="20" t="n">
        <v>0</v>
      </c>
      <c r="O28" s="18" t="n">
        <v>0</v>
      </c>
      <c r="P28" s="20" t="n">
        <v>0</v>
      </c>
      <c r="Q28" s="18" t="n">
        <v>0</v>
      </c>
      <c r="R28" s="20" t="n">
        <v>0</v>
      </c>
    </row>
    <row r="29" spans="1:18">
      <c r="A29" s="15" t="s">
        <v>371</v>
      </c>
      <c r="B29" s="17" t="n">
        <v>5385</v>
      </c>
      <c r="C29" s="18">
        <f>(4720.0/B29*100)</f>
        <v/>
      </c>
      <c r="D29" s="19" t="n">
        <v>665</v>
      </c>
      <c r="E29" s="18" t="n">
        <v>57.75280574</v>
      </c>
      <c r="F29" s="20" t="n">
        <v>1.95730799</v>
      </c>
      <c r="G29" s="18" t="n">
        <v>41.32468172</v>
      </c>
      <c r="H29" s="20" t="n">
        <v>2.01460205</v>
      </c>
      <c r="I29" s="18" t="s">
        <v>349</v>
      </c>
      <c r="J29" s="20" t="s">
        <v>349</v>
      </c>
      <c r="K29" s="18" t="n">
        <v>0.92251254</v>
      </c>
      <c r="L29" s="20" t="n">
        <v>0.36172029</v>
      </c>
      <c r="M29" s="18" t="n">
        <v>0</v>
      </c>
      <c r="N29" s="20" t="n">
        <v>0</v>
      </c>
      <c r="O29" s="18" t="n">
        <v>0</v>
      </c>
      <c r="P29" s="20" t="n">
        <v>0</v>
      </c>
      <c r="Q29" s="18" t="n">
        <v>0</v>
      </c>
      <c r="R29" s="20" t="n">
        <v>0</v>
      </c>
    </row>
    <row r="30" spans="1:18">
      <c r="A30" s="15" t="s">
        <v>372</v>
      </c>
      <c r="B30" s="17" t="n">
        <v>4520</v>
      </c>
      <c r="C30" s="18">
        <f>(3971.0/B30*100)</f>
        <v/>
      </c>
      <c r="D30" s="19" t="n">
        <v>549</v>
      </c>
      <c r="E30" s="18" t="n">
        <v>63.24005486</v>
      </c>
      <c r="F30" s="20" t="n">
        <v>2.13790327</v>
      </c>
      <c r="G30" s="18" t="n">
        <v>34.34464041</v>
      </c>
      <c r="H30" s="20" t="n">
        <v>2.17568296</v>
      </c>
      <c r="I30" s="18" t="s">
        <v>349</v>
      </c>
      <c r="J30" s="20" t="s">
        <v>349</v>
      </c>
      <c r="K30" s="18" t="n">
        <v>2.41530473</v>
      </c>
      <c r="L30" s="20" t="n">
        <v>0.66859459</v>
      </c>
      <c r="M30" s="18" t="n">
        <v>0</v>
      </c>
      <c r="N30" s="20" t="n">
        <v>0</v>
      </c>
      <c r="O30" s="18" t="n">
        <v>0</v>
      </c>
      <c r="P30" s="20" t="n">
        <v>0</v>
      </c>
      <c r="Q30" s="18" t="n">
        <v>0</v>
      </c>
      <c r="R30" s="20" t="n">
        <v>0</v>
      </c>
    </row>
    <row r="31" spans="1:18">
      <c r="A31" s="15" t="s">
        <v>373</v>
      </c>
      <c r="B31" s="17" t="n">
        <v>5456</v>
      </c>
      <c r="C31" s="18">
        <f>(4815.0/B31*100)</f>
        <v/>
      </c>
      <c r="D31" s="19" t="n">
        <v>641</v>
      </c>
      <c r="E31" s="18" t="n">
        <v>54.02043182</v>
      </c>
      <c r="F31" s="20" t="n">
        <v>1.91255498</v>
      </c>
      <c r="G31" s="18" t="n">
        <v>41.97563722</v>
      </c>
      <c r="H31" s="20" t="n">
        <v>1.88810657</v>
      </c>
      <c r="I31" s="18" t="s">
        <v>349</v>
      </c>
      <c r="J31" s="20" t="s">
        <v>349</v>
      </c>
      <c r="K31" s="18" t="n">
        <v>4.00393096</v>
      </c>
      <c r="L31" s="20" t="n">
        <v>0.81379396</v>
      </c>
      <c r="M31" s="18" t="n">
        <v>0</v>
      </c>
      <c r="N31" s="20" t="n">
        <v>0</v>
      </c>
      <c r="O31" s="18" t="n">
        <v>0</v>
      </c>
      <c r="P31" s="20" t="n">
        <v>0</v>
      </c>
      <c r="Q31" s="18" t="n">
        <v>0</v>
      </c>
      <c r="R31" s="20" t="n">
        <v>0</v>
      </c>
    </row>
    <row r="32" spans="1:18">
      <c r="A32" s="15" t="s">
        <v>374</v>
      </c>
      <c r="B32" s="17" t="n">
        <v>4478</v>
      </c>
      <c r="C32" s="18">
        <f>(3745.0/B32*100)</f>
        <v/>
      </c>
      <c r="D32" s="19" t="n">
        <v>733</v>
      </c>
      <c r="E32" s="18" t="n">
        <v>62.94525842</v>
      </c>
      <c r="F32" s="20" t="n">
        <v>1.82822017</v>
      </c>
      <c r="G32" s="18" t="n">
        <v>36.1868999</v>
      </c>
      <c r="H32" s="20" t="n">
        <v>1.92579159</v>
      </c>
      <c r="I32" s="18" t="s">
        <v>349</v>
      </c>
      <c r="J32" s="20" t="s">
        <v>349</v>
      </c>
      <c r="K32" s="18" t="n">
        <v>0.8678416799999999</v>
      </c>
      <c r="L32" s="20" t="n">
        <v>0.39312348</v>
      </c>
      <c r="M32" s="18" t="n">
        <v>0</v>
      </c>
      <c r="N32" s="20" t="n">
        <v>0</v>
      </c>
      <c r="O32" s="18" t="n">
        <v>0</v>
      </c>
      <c r="P32" s="20" t="n">
        <v>0</v>
      </c>
      <c r="Q32" s="18" t="n">
        <v>0</v>
      </c>
      <c r="R32" s="20" t="n">
        <v>0</v>
      </c>
    </row>
    <row r="33" spans="1:18">
      <c r="A33" s="15" t="s">
        <v>375</v>
      </c>
      <c r="B33" s="17" t="n">
        <v>7325</v>
      </c>
      <c r="C33" s="18">
        <f>(6470.0/B33*100)</f>
        <v/>
      </c>
      <c r="D33" s="19" t="n">
        <v>855</v>
      </c>
      <c r="E33" s="18" t="n">
        <v>57.82108376</v>
      </c>
      <c r="F33" s="20" t="n">
        <v>2.14365979</v>
      </c>
      <c r="G33" s="18" t="n">
        <v>40.72303277</v>
      </c>
      <c r="H33" s="20" t="n">
        <v>2.11965191</v>
      </c>
      <c r="I33" s="18" t="s">
        <v>349</v>
      </c>
      <c r="J33" s="20" t="s">
        <v>349</v>
      </c>
      <c r="K33" s="18" t="n">
        <v>1.45588347</v>
      </c>
      <c r="L33" s="20" t="n">
        <v>0.50004955</v>
      </c>
      <c r="M33" s="18" t="n">
        <v>0</v>
      </c>
      <c r="N33" s="20" t="n">
        <v>0</v>
      </c>
      <c r="O33" s="18" t="n">
        <v>0</v>
      </c>
      <c r="P33" s="20" t="n">
        <v>0</v>
      </c>
      <c r="Q33" s="18" t="n">
        <v>0</v>
      </c>
      <c r="R33" s="20" t="n">
        <v>0</v>
      </c>
    </row>
    <row r="34" spans="1:18">
      <c r="A34" s="15" t="s">
        <v>376</v>
      </c>
      <c r="B34" s="17" t="n">
        <v>6350</v>
      </c>
      <c r="C34" s="18">
        <f>(5605.0/B34*100)</f>
        <v/>
      </c>
      <c r="D34" s="19" t="n">
        <v>745</v>
      </c>
      <c r="E34" s="18" t="n">
        <v>62.9810658</v>
      </c>
      <c r="F34" s="20" t="n">
        <v>2.06337517</v>
      </c>
      <c r="G34" s="18" t="n">
        <v>35.21556853</v>
      </c>
      <c r="H34" s="20" t="n">
        <v>2.0710284</v>
      </c>
      <c r="I34" s="18" t="s">
        <v>349</v>
      </c>
      <c r="J34" s="20" t="s">
        <v>349</v>
      </c>
      <c r="K34" s="18" t="n">
        <v>1.80336567</v>
      </c>
      <c r="L34" s="20" t="n">
        <v>0.45243805</v>
      </c>
      <c r="M34" s="18" t="n">
        <v>0</v>
      </c>
      <c r="N34" s="20" t="n">
        <v>0</v>
      </c>
      <c r="O34" s="18" t="n">
        <v>0</v>
      </c>
      <c r="P34" s="20" t="n">
        <v>0</v>
      </c>
      <c r="Q34" s="18" t="n">
        <v>0</v>
      </c>
      <c r="R34" s="20" t="n">
        <v>0</v>
      </c>
    </row>
    <row r="35" spans="1:18">
      <c r="A35" s="15" t="s">
        <v>377</v>
      </c>
      <c r="B35" s="17" t="n">
        <v>6406</v>
      </c>
      <c r="C35" s="18">
        <f>(5665.0/B35*100)</f>
        <v/>
      </c>
      <c r="D35" s="19" t="n">
        <v>741</v>
      </c>
      <c r="E35" s="18" t="n">
        <v>62.16386907</v>
      </c>
      <c r="F35" s="20" t="n">
        <v>2.26124182</v>
      </c>
      <c r="G35" s="18" t="n">
        <v>35.66770977</v>
      </c>
      <c r="H35" s="20" t="n">
        <v>2.17959962</v>
      </c>
      <c r="I35" s="18" t="s">
        <v>349</v>
      </c>
      <c r="J35" s="20" t="s">
        <v>349</v>
      </c>
      <c r="K35" s="18" t="n">
        <v>2.16842116</v>
      </c>
      <c r="L35" s="20" t="n">
        <v>0.71220477</v>
      </c>
      <c r="M35" s="18" t="n">
        <v>0</v>
      </c>
      <c r="N35" s="20" t="n">
        <v>0</v>
      </c>
      <c r="O35" s="18" t="n">
        <v>0</v>
      </c>
      <c r="P35" s="20" t="n">
        <v>0</v>
      </c>
      <c r="Q35" s="18" t="n">
        <v>0</v>
      </c>
      <c r="R35" s="20" t="n">
        <v>0</v>
      </c>
    </row>
    <row r="36" spans="1:18">
      <c r="A36" s="15" t="s">
        <v>378</v>
      </c>
      <c r="B36" s="17" t="n">
        <v>6736</v>
      </c>
      <c r="C36" s="18">
        <f>(5919.0/B36*100)</f>
        <v/>
      </c>
      <c r="D36" s="19" t="n">
        <v>817</v>
      </c>
      <c r="E36" s="18" t="n">
        <v>60.04213632</v>
      </c>
      <c r="F36" s="20" t="n">
        <v>1.61488663</v>
      </c>
      <c r="G36" s="18" t="n">
        <v>38.12990158</v>
      </c>
      <c r="H36" s="20" t="n">
        <v>1.66930894</v>
      </c>
      <c r="I36" s="18" t="s">
        <v>349</v>
      </c>
      <c r="J36" s="20" t="s">
        <v>349</v>
      </c>
      <c r="K36" s="18" t="n">
        <v>1.82796209</v>
      </c>
      <c r="L36" s="20" t="n">
        <v>0.52081872</v>
      </c>
      <c r="M36" s="18" t="n">
        <v>0</v>
      </c>
      <c r="N36" s="20" t="n">
        <v>0</v>
      </c>
      <c r="O36" s="18" t="n">
        <v>0</v>
      </c>
      <c r="P36" s="20" t="n">
        <v>0</v>
      </c>
      <c r="Q36" s="18" t="n">
        <v>0</v>
      </c>
      <c r="R36" s="20" t="n">
        <v>0</v>
      </c>
    </row>
    <row r="37" spans="1:18">
      <c r="A37" s="15" t="s">
        <v>379</v>
      </c>
      <c r="B37" s="17" t="n">
        <v>5458</v>
      </c>
      <c r="C37" s="18">
        <f>(4817.0/B37*100)</f>
        <v/>
      </c>
      <c r="D37" s="19" t="n">
        <v>641</v>
      </c>
      <c r="E37" s="18" t="n">
        <v>55.39539776</v>
      </c>
      <c r="F37" s="20" t="n">
        <v>2.12322477</v>
      </c>
      <c r="G37" s="18" t="n">
        <v>39.88390666</v>
      </c>
      <c r="H37" s="20" t="n">
        <v>2.01732953</v>
      </c>
      <c r="I37" s="18" t="s">
        <v>349</v>
      </c>
      <c r="J37" s="20" t="s">
        <v>349</v>
      </c>
      <c r="K37" s="18" t="n">
        <v>4.72069557</v>
      </c>
      <c r="L37" s="20" t="n">
        <v>0.9901082</v>
      </c>
      <c r="M37" s="18" t="n">
        <v>0</v>
      </c>
      <c r="N37" s="20" t="n">
        <v>0</v>
      </c>
      <c r="O37" s="18" t="n">
        <v>0</v>
      </c>
      <c r="P37" s="20" t="n">
        <v>0</v>
      </c>
      <c r="Q37" s="18" t="n">
        <v>0</v>
      </c>
      <c r="R37" s="20" t="n">
        <v>0</v>
      </c>
    </row>
    <row r="38" spans="1:18">
      <c r="A38" s="15" t="s">
        <v>380</v>
      </c>
      <c r="B38" s="17" t="n">
        <v>5860</v>
      </c>
      <c r="C38" s="18">
        <f>(4893.0/B38*100)</f>
        <v/>
      </c>
      <c r="D38" s="19" t="n">
        <v>967</v>
      </c>
      <c r="E38" s="18" t="n">
        <v>52.89170021</v>
      </c>
      <c r="F38" s="20" t="n">
        <v>1.75298266</v>
      </c>
      <c r="G38" s="18" t="n">
        <v>44.15512659</v>
      </c>
      <c r="H38" s="20" t="n">
        <v>1.63218018</v>
      </c>
      <c r="I38" s="18" t="s">
        <v>349</v>
      </c>
      <c r="J38" s="20" t="s">
        <v>349</v>
      </c>
      <c r="K38" s="18" t="n">
        <v>2.9531732</v>
      </c>
      <c r="L38" s="20" t="n">
        <v>0.54517596</v>
      </c>
      <c r="M38" s="18" t="n">
        <v>0</v>
      </c>
      <c r="N38" s="20" t="n">
        <v>0</v>
      </c>
      <c r="O38" s="18" t="n">
        <v>0</v>
      </c>
      <c r="P38" s="20" t="n">
        <v>0</v>
      </c>
      <c r="Q38" s="18" t="n">
        <v>0</v>
      </c>
      <c r="R38" s="20" t="n">
        <v>0</v>
      </c>
    </row>
    <row r="39" spans="1:18">
      <c r="A39" s="15" t="s">
        <v>381</v>
      </c>
      <c r="B39" s="17" t="n">
        <v>5895</v>
      </c>
      <c r="C39" s="18">
        <f>(5171.0/B39*100)</f>
        <v/>
      </c>
      <c r="D39" s="19" t="n">
        <v>724</v>
      </c>
      <c r="E39" s="18" t="n">
        <v>68.87863091</v>
      </c>
      <c r="F39" s="20" t="n">
        <v>1.83140069</v>
      </c>
      <c r="G39" s="18" t="n">
        <v>29.4019091</v>
      </c>
      <c r="H39" s="20" t="n">
        <v>1.78587024</v>
      </c>
      <c r="I39" s="18" t="s">
        <v>349</v>
      </c>
      <c r="J39" s="20" t="s">
        <v>349</v>
      </c>
      <c r="K39" s="18" t="n">
        <v>1.71945999</v>
      </c>
      <c r="L39" s="20" t="n">
        <v>0.45237209</v>
      </c>
      <c r="M39" s="18" t="n">
        <v>0</v>
      </c>
      <c r="N39" s="20" t="n">
        <v>0</v>
      </c>
      <c r="O39" s="18" t="n">
        <v>0</v>
      </c>
      <c r="P39" s="20" t="n">
        <v>0</v>
      </c>
      <c r="Q39" s="18" t="n">
        <v>0</v>
      </c>
      <c r="R39" s="20" t="n">
        <v>0</v>
      </c>
    </row>
    <row r="40" spans="1:18">
      <c r="A40" s="15" t="s">
        <v>382</v>
      </c>
      <c r="B40" s="17" t="n">
        <v>14157</v>
      </c>
      <c r="C40" s="18">
        <f>(12448.0/B40*100)</f>
        <v/>
      </c>
      <c r="D40" s="19" t="n">
        <v>1709</v>
      </c>
      <c r="E40" s="18" t="n">
        <v>63.96897086</v>
      </c>
      <c r="F40" s="20" t="n">
        <v>1.77449624</v>
      </c>
      <c r="G40" s="18" t="n">
        <v>34.07378223</v>
      </c>
      <c r="H40" s="20" t="n">
        <v>1.80377052</v>
      </c>
      <c r="I40" s="18" t="s">
        <v>349</v>
      </c>
      <c r="J40" s="20" t="s">
        <v>349</v>
      </c>
      <c r="K40" s="18" t="n">
        <v>1.95724691</v>
      </c>
      <c r="L40" s="20" t="n">
        <v>0.46319433</v>
      </c>
      <c r="M40" s="18" t="n">
        <v>0</v>
      </c>
      <c r="N40" s="20" t="n">
        <v>0</v>
      </c>
      <c r="O40" s="18" t="n">
        <v>0</v>
      </c>
      <c r="P40" s="20" t="n">
        <v>0</v>
      </c>
      <c r="Q40" s="18" t="n">
        <v>0</v>
      </c>
      <c r="R40" s="20" t="n">
        <v>0</v>
      </c>
    </row>
    <row r="41" spans="1:18">
      <c r="A41" s="15" t="s">
        <v>383</v>
      </c>
      <c r="B41" s="17" t="n">
        <v>5712</v>
      </c>
      <c r="C41" s="18">
        <f>(5031.0/B41*100)</f>
        <v/>
      </c>
      <c r="D41" s="19" t="n">
        <v>681</v>
      </c>
      <c r="E41" s="18" t="n">
        <v>68.21821927000001</v>
      </c>
      <c r="F41" s="20" t="n">
        <v>2.37740564</v>
      </c>
      <c r="G41" s="18" t="n">
        <v>30.55749489</v>
      </c>
      <c r="H41" s="20" t="n">
        <v>2.37552795</v>
      </c>
      <c r="I41" s="18" t="s">
        <v>349</v>
      </c>
      <c r="J41" s="20" t="s">
        <v>349</v>
      </c>
      <c r="K41" s="18" t="n">
        <v>1.22428584</v>
      </c>
      <c r="L41" s="20" t="n">
        <v>0.59931068</v>
      </c>
      <c r="M41" s="18" t="n">
        <v>0</v>
      </c>
      <c r="N41" s="20" t="n">
        <v>0</v>
      </c>
      <c r="O41" s="18" t="n">
        <v>0</v>
      </c>
      <c r="P41" s="20" t="n">
        <v>0</v>
      </c>
      <c r="Q41" s="18" t="n">
        <v>0</v>
      </c>
      <c r="R41" s="20" t="n">
        <v>0</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(20883.0/B46*100)</f>
        <v/>
      </c>
      <c r="D46" s="19" t="n">
        <v>2258</v>
      </c>
      <c r="E46" s="18" t="n">
        <v>68.49405134</v>
      </c>
      <c r="F46" s="20" t="n">
        <v>1.61010307</v>
      </c>
      <c r="G46" s="18" t="n">
        <v>27.95435891</v>
      </c>
      <c r="H46" s="20" t="n">
        <v>1.43383649</v>
      </c>
      <c r="I46" s="18" t="s">
        <v>349</v>
      </c>
      <c r="J46" s="20" t="s">
        <v>349</v>
      </c>
      <c r="K46" s="18" t="n">
        <v>3.55158975</v>
      </c>
      <c r="L46" s="20" t="n">
        <v>0.59959465</v>
      </c>
      <c r="M46" s="18" t="n">
        <v>0</v>
      </c>
      <c r="N46" s="20" t="n">
        <v>0</v>
      </c>
      <c r="O46" s="18" t="n">
        <v>0</v>
      </c>
      <c r="P46" s="20" t="n">
        <v>0</v>
      </c>
      <c r="Q46" s="18" t="n">
        <v>0</v>
      </c>
      <c r="R46" s="20" t="n">
        <v>0</v>
      </c>
    </row>
    <row r="47" spans="1:18">
      <c r="A47" s="15" t="s">
        <v>389</v>
      </c>
      <c r="B47" s="17" t="n">
        <v>5928</v>
      </c>
      <c r="C47" s="18">
        <f>(5241.0/B47*100)</f>
        <v/>
      </c>
      <c r="D47" s="19" t="n">
        <v>687</v>
      </c>
      <c r="E47" s="18" t="n">
        <v>63.53451996</v>
      </c>
      <c r="F47" s="20" t="n">
        <v>1.91340495</v>
      </c>
      <c r="G47" s="18" t="n">
        <v>32.8410773</v>
      </c>
      <c r="H47" s="20" t="n">
        <v>1.85399766</v>
      </c>
      <c r="I47" s="18" t="s">
        <v>349</v>
      </c>
      <c r="J47" s="20" t="s">
        <v>349</v>
      </c>
      <c r="K47" s="18" t="n">
        <v>3.62440274</v>
      </c>
      <c r="L47" s="20" t="n">
        <v>0.6951746600000001</v>
      </c>
      <c r="M47" s="18" t="n">
        <v>0</v>
      </c>
      <c r="N47" s="20" t="n">
        <v>0</v>
      </c>
      <c r="O47" s="18" t="n">
        <v>0</v>
      </c>
      <c r="P47" s="20" t="n">
        <v>0</v>
      </c>
      <c r="Q47" s="18" t="n">
        <v>0</v>
      </c>
      <c r="R47" s="20" t="n">
        <v>0</v>
      </c>
    </row>
    <row r="48" spans="1:18">
      <c r="A48" s="15" t="s">
        <v>390</v>
      </c>
      <c r="B48" s="17" t="n">
        <v>9841</v>
      </c>
      <c r="C48" s="18">
        <f>(8638.0/B48*100)</f>
        <v/>
      </c>
      <c r="D48" s="19" t="n">
        <v>1203</v>
      </c>
      <c r="E48" s="18" t="n">
        <v>53.04516112</v>
      </c>
      <c r="F48" s="20" t="n">
        <v>2.43268254</v>
      </c>
      <c r="G48" s="18" t="n">
        <v>45.27248286</v>
      </c>
      <c r="H48" s="20" t="n">
        <v>2.35172105</v>
      </c>
      <c r="I48" s="18" t="s">
        <v>349</v>
      </c>
      <c r="J48" s="20" t="s">
        <v>349</v>
      </c>
      <c r="K48" s="18" t="n">
        <v>1.68235602</v>
      </c>
      <c r="L48" s="20" t="n">
        <v>0.5568184900000001</v>
      </c>
      <c r="M48" s="18" t="n">
        <v>0</v>
      </c>
      <c r="N48" s="20" t="n">
        <v>0</v>
      </c>
      <c r="O48" s="18" t="n">
        <v>0</v>
      </c>
      <c r="P48" s="20" t="n">
        <v>0</v>
      </c>
      <c r="Q48" s="18" t="n">
        <v>0</v>
      </c>
      <c r="R48" s="20" t="n">
        <v>0</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(10405.0/B50*100)</f>
        <v/>
      </c>
      <c r="D50" s="19" t="n">
        <v>1390</v>
      </c>
      <c r="E50" s="18" t="n">
        <v>64.69431428</v>
      </c>
      <c r="F50" s="20" t="n">
        <v>1.84933441</v>
      </c>
      <c r="G50" s="18" t="n">
        <v>31.26034271</v>
      </c>
      <c r="H50" s="20" t="n">
        <v>1.84593643</v>
      </c>
      <c r="I50" s="18" t="s">
        <v>349</v>
      </c>
      <c r="J50" s="20" t="s">
        <v>349</v>
      </c>
      <c r="K50" s="18" t="n">
        <v>4.04534301</v>
      </c>
      <c r="L50" s="20" t="n">
        <v>0.73189614</v>
      </c>
      <c r="M50" s="18" t="n">
        <v>0</v>
      </c>
      <c r="N50" s="20" t="n">
        <v>0</v>
      </c>
      <c r="O50" s="18" t="n">
        <v>0</v>
      </c>
      <c r="P50" s="20" t="n">
        <v>0</v>
      </c>
      <c r="Q50" s="18" t="n">
        <v>0</v>
      </c>
      <c r="R50" s="20" t="n">
        <v>0</v>
      </c>
    </row>
    <row r="51" spans="1:18">
      <c r="A51" s="15" t="s">
        <v>393</v>
      </c>
      <c r="B51" s="17" t="n">
        <v>6866</v>
      </c>
      <c r="C51" s="18">
        <f>(6164.0/B51*100)</f>
        <v/>
      </c>
      <c r="D51" s="19" t="n">
        <v>702</v>
      </c>
      <c r="E51" s="18" t="n">
        <v>68.31961210999999</v>
      </c>
      <c r="F51" s="20" t="n">
        <v>1.9094156</v>
      </c>
      <c r="G51" s="18" t="n">
        <v>27.56869979</v>
      </c>
      <c r="H51" s="20" t="n">
        <v>1.77081564</v>
      </c>
      <c r="I51" s="18" t="s">
        <v>349</v>
      </c>
      <c r="J51" s="20" t="s">
        <v>349</v>
      </c>
      <c r="K51" s="18" t="n">
        <v>4.1116881</v>
      </c>
      <c r="L51" s="20" t="n">
        <v>0.83623749</v>
      </c>
      <c r="M51" s="18" t="n">
        <v>0</v>
      </c>
      <c r="N51" s="20" t="n">
        <v>0</v>
      </c>
      <c r="O51" s="18" t="n">
        <v>0</v>
      </c>
      <c r="P51" s="20" t="n">
        <v>0</v>
      </c>
      <c r="Q51" s="18" t="n">
        <v>0</v>
      </c>
      <c r="R51" s="20" t="n">
        <v>0</v>
      </c>
    </row>
    <row r="52" spans="1:18">
      <c r="A52" s="15" t="s">
        <v>394</v>
      </c>
      <c r="B52" s="17" t="n">
        <v>5809</v>
      </c>
      <c r="C52" s="18">
        <f>(5109.0/B52*100)</f>
        <v/>
      </c>
      <c r="D52" s="19" t="n">
        <v>700</v>
      </c>
      <c r="E52" s="18" t="n">
        <v>61.79236473</v>
      </c>
      <c r="F52" s="20" t="n">
        <v>1.71099376</v>
      </c>
      <c r="G52" s="18" t="n">
        <v>36.7614519</v>
      </c>
      <c r="H52" s="20" t="n">
        <v>1.71183149</v>
      </c>
      <c r="I52" s="18" t="s">
        <v>349</v>
      </c>
      <c r="J52" s="20" t="s">
        <v>349</v>
      </c>
      <c r="K52" s="18" t="n">
        <v>1.44618337</v>
      </c>
      <c r="L52" s="20" t="n">
        <v>0.41631399</v>
      </c>
      <c r="M52" s="18" t="n">
        <v>0</v>
      </c>
      <c r="N52" s="20" t="n">
        <v>0</v>
      </c>
      <c r="O52" s="18" t="n">
        <v>0</v>
      </c>
      <c r="P52" s="20" t="n">
        <v>0</v>
      </c>
      <c r="Q52" s="18" t="n">
        <v>0</v>
      </c>
      <c r="R52" s="20" t="n">
        <v>0</v>
      </c>
    </row>
    <row r="53" spans="1:18">
      <c r="A53" s="15" t="s">
        <v>395</v>
      </c>
      <c r="B53" s="17" t="n">
        <v>5571</v>
      </c>
      <c r="C53" s="18">
        <f>(4887.0/B53*100)</f>
        <v/>
      </c>
      <c r="D53" s="19" t="n">
        <v>684</v>
      </c>
      <c r="E53" s="18" t="n">
        <v>8.68371658</v>
      </c>
      <c r="F53" s="20" t="n">
        <v>1.15463322</v>
      </c>
      <c r="G53" s="18" t="n">
        <v>5.25642601</v>
      </c>
      <c r="H53" s="20" t="n">
        <v>1.01406001</v>
      </c>
      <c r="I53" s="18" t="s">
        <v>349</v>
      </c>
      <c r="J53" s="20" t="s">
        <v>349</v>
      </c>
      <c r="K53" s="18" t="n">
        <v>0.12606299</v>
      </c>
      <c r="L53" s="20" t="n">
        <v>0.12272899</v>
      </c>
      <c r="M53" s="18" t="n">
        <v>85.93379442</v>
      </c>
      <c r="N53" s="20" t="n">
        <v>1.47046091</v>
      </c>
      <c r="O53" s="18" t="n">
        <v>0</v>
      </c>
      <c r="P53" s="20" t="n">
        <v>0</v>
      </c>
      <c r="Q53" s="18" t="n">
        <v>0</v>
      </c>
      <c r="R53" s="20" t="n">
        <v>0</v>
      </c>
    </row>
    <row r="54" spans="1:18">
      <c r="A54" s="15" t="s">
        <v>396</v>
      </c>
      <c r="B54" s="17" t="n">
        <v>4740</v>
      </c>
      <c r="C54" s="18">
        <f>(3974.0/B54*100)</f>
        <v/>
      </c>
      <c r="D54" s="19" t="n">
        <v>766</v>
      </c>
      <c r="E54" s="18" t="n">
        <v>61.97391148</v>
      </c>
      <c r="F54" s="20" t="n">
        <v>2.01959534</v>
      </c>
      <c r="G54" s="18" t="n">
        <v>20.92017651</v>
      </c>
      <c r="H54" s="20" t="n">
        <v>1.60245341</v>
      </c>
      <c r="I54" s="18" t="s">
        <v>349</v>
      </c>
      <c r="J54" s="20" t="s">
        <v>349</v>
      </c>
      <c r="K54" s="18" t="n">
        <v>17.10591201</v>
      </c>
      <c r="L54" s="20" t="n">
        <v>1.51367756</v>
      </c>
      <c r="M54" s="18" t="n">
        <v>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(4689.0/B56*100)</f>
        <v/>
      </c>
      <c r="D56" s="19" t="n">
        <v>670</v>
      </c>
      <c r="E56" s="18" t="n">
        <v>55.98904018</v>
      </c>
      <c r="F56" s="20" t="n">
        <v>2.09687678</v>
      </c>
      <c r="G56" s="18" t="n">
        <v>43.68393644</v>
      </c>
      <c r="H56" s="20" t="n">
        <v>2.10106741</v>
      </c>
      <c r="I56" s="18" t="s">
        <v>349</v>
      </c>
      <c r="J56" s="20" t="s">
        <v>349</v>
      </c>
      <c r="K56" s="18" t="n">
        <v>0.32702338</v>
      </c>
      <c r="L56" s="20" t="n">
        <v>0.19373639</v>
      </c>
      <c r="M56" s="18" t="n">
        <v>0</v>
      </c>
      <c r="N56" s="20" t="n">
        <v>0</v>
      </c>
      <c r="O56" s="18" t="n">
        <v>0</v>
      </c>
      <c r="P56" s="20" t="n">
        <v>0</v>
      </c>
      <c r="Q56" s="18" t="n">
        <v>0</v>
      </c>
      <c r="R56" s="20" t="n">
        <v>0</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(5710.0/B61*100)</f>
        <v/>
      </c>
      <c r="D61" s="19" t="n">
        <v>815</v>
      </c>
      <c r="E61" s="18" t="n">
        <v>66.19827063</v>
      </c>
      <c r="F61" s="20" t="n">
        <v>1.48427442</v>
      </c>
      <c r="G61" s="18" t="n">
        <v>32.98458178</v>
      </c>
      <c r="H61" s="20" t="n">
        <v>1.43707168</v>
      </c>
      <c r="I61" s="18" t="s">
        <v>349</v>
      </c>
      <c r="J61" s="20" t="s">
        <v>349</v>
      </c>
      <c r="K61" s="18" t="n">
        <v>0.81714759</v>
      </c>
      <c r="L61" s="20" t="n">
        <v>0.43331694</v>
      </c>
      <c r="M61" s="18" t="n">
        <v>0</v>
      </c>
      <c r="N61" s="20" t="n">
        <v>0</v>
      </c>
      <c r="O61" s="18" t="n">
        <v>0</v>
      </c>
      <c r="P61" s="20" t="n">
        <v>0</v>
      </c>
      <c r="Q61" s="18" t="n">
        <v>0</v>
      </c>
      <c r="R61" s="20" t="n">
        <v>0</v>
      </c>
    </row>
    <row r="62" spans="1:18">
      <c r="A62" s="15" t="s">
        <v>404</v>
      </c>
      <c r="B62" s="17" t="n">
        <v>4476</v>
      </c>
      <c r="C62" s="18">
        <f>(3939.0/B62*100)</f>
        <v/>
      </c>
      <c r="D62" s="19" t="n">
        <v>537</v>
      </c>
      <c r="E62" s="18" t="n">
        <v>59.03356764</v>
      </c>
      <c r="F62" s="20" t="n">
        <v>2.05050803</v>
      </c>
      <c r="G62" s="18" t="n">
        <v>40.78158569</v>
      </c>
      <c r="H62" s="20" t="n">
        <v>2.05458099</v>
      </c>
      <c r="I62" s="18" t="s">
        <v>349</v>
      </c>
      <c r="J62" s="20" t="s">
        <v>349</v>
      </c>
      <c r="K62" s="18" t="n">
        <v>0.18484667</v>
      </c>
      <c r="L62" s="20" t="n">
        <v>0.18503963</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(4996.0/B66*100)</f>
        <v/>
      </c>
      <c r="D66" s="19" t="n">
        <v>669</v>
      </c>
      <c r="E66" s="18" t="n">
        <v>60.64663001</v>
      </c>
      <c r="F66" s="20" t="n">
        <v>1.62407931</v>
      </c>
      <c r="G66" s="18" t="n">
        <v>34.44069344</v>
      </c>
      <c r="H66" s="20" t="n">
        <v>1.63684557</v>
      </c>
      <c r="I66" s="18" t="s">
        <v>349</v>
      </c>
      <c r="J66" s="20" t="s">
        <v>349</v>
      </c>
      <c r="K66" s="18" t="n">
        <v>4.91267655</v>
      </c>
      <c r="L66" s="20" t="n">
        <v>0.77522945</v>
      </c>
      <c r="M66" s="18" t="n">
        <v>0</v>
      </c>
      <c r="N66" s="20" t="n">
        <v>0</v>
      </c>
      <c r="O66" s="18" t="n">
        <v>0</v>
      </c>
      <c r="P66" s="20" t="n">
        <v>0</v>
      </c>
      <c r="Q66" s="18" t="n">
        <v>0</v>
      </c>
      <c r="R66" s="20" t="n">
        <v>0</v>
      </c>
    </row>
    <row r="67" spans="1:18">
      <c r="A67" s="15" t="s">
        <v>409</v>
      </c>
      <c r="B67" s="17" t="n">
        <v>6971</v>
      </c>
      <c r="C67" s="18">
        <f>(6249.0/B67*100)</f>
        <v/>
      </c>
      <c r="D67" s="19" t="n">
        <v>722</v>
      </c>
      <c r="E67" s="18" t="n">
        <v>65.39144095</v>
      </c>
      <c r="F67" s="20" t="n">
        <v>1.86294052</v>
      </c>
      <c r="G67" s="18" t="n">
        <v>33.2447736</v>
      </c>
      <c r="H67" s="20" t="n">
        <v>1.82926796</v>
      </c>
      <c r="I67" s="18" t="s">
        <v>349</v>
      </c>
      <c r="J67" s="20" t="s">
        <v>349</v>
      </c>
      <c r="K67" s="18" t="n">
        <v>1.36378545</v>
      </c>
      <c r="L67" s="20" t="n">
        <v>0.45094816</v>
      </c>
      <c r="M67" s="18" t="n">
        <v>0</v>
      </c>
      <c r="N67" s="20" t="n">
        <v>0</v>
      </c>
      <c r="O67" s="18" t="n">
        <v>0</v>
      </c>
      <c r="P67" s="20" t="n">
        <v>0</v>
      </c>
      <c r="Q67" s="18" t="n">
        <v>0</v>
      </c>
      <c r="R67" s="20" t="n">
        <v>0</v>
      </c>
    </row>
    <row r="68" spans="1:18">
      <c r="A68" s="15" t="s">
        <v>410</v>
      </c>
      <c r="B68" s="17" t="n">
        <v>12083</v>
      </c>
      <c r="C68" s="18">
        <f>(10092.0/B68*100)</f>
        <v/>
      </c>
      <c r="D68" s="19" t="n">
        <v>1991</v>
      </c>
      <c r="E68" s="18" t="n">
        <v>26.39524332</v>
      </c>
      <c r="F68" s="20" t="n">
        <v>1.06450666</v>
      </c>
      <c r="G68" s="18" t="n">
        <v>12.09401239</v>
      </c>
      <c r="H68" s="20" t="n">
        <v>0.7507547</v>
      </c>
      <c r="I68" s="18" t="s">
        <v>349</v>
      </c>
      <c r="J68" s="20" t="s">
        <v>349</v>
      </c>
      <c r="K68" s="18" t="n">
        <v>1.76626737</v>
      </c>
      <c r="L68" s="20" t="n">
        <v>0.30164799</v>
      </c>
      <c r="M68" s="18" t="n">
        <v>59.74447693</v>
      </c>
      <c r="N68" s="20" t="n">
        <v>1.08225798</v>
      </c>
      <c r="O68" s="18" t="n">
        <v>0</v>
      </c>
      <c r="P68" s="20" t="n">
        <v>0</v>
      </c>
      <c r="Q68" s="18" t="n">
        <v>0</v>
      </c>
      <c r="R68" s="20" t="n">
        <v>0</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(5315.0/B70*100)</f>
        <v/>
      </c>
      <c r="D70" s="19" t="n">
        <v>721</v>
      </c>
      <c r="E70" s="18" t="n">
        <v>65.55727804</v>
      </c>
      <c r="F70" s="20" t="n">
        <v>1.51815387</v>
      </c>
      <c r="G70" s="18" t="n">
        <v>32.70148728</v>
      </c>
      <c r="H70" s="20" t="n">
        <v>1.61303941</v>
      </c>
      <c r="I70" s="18" t="s">
        <v>349</v>
      </c>
      <c r="J70" s="20" t="s">
        <v>349</v>
      </c>
      <c r="K70" s="18" t="n">
        <v>1.74123467</v>
      </c>
      <c r="L70" s="20" t="n">
        <v>0.55705001</v>
      </c>
      <c r="M70" s="18" t="n">
        <v>0</v>
      </c>
      <c r="N70" s="20" t="n">
        <v>0</v>
      </c>
      <c r="O70" s="18" t="n">
        <v>0</v>
      </c>
      <c r="P70" s="20" t="n">
        <v>0</v>
      </c>
      <c r="Q70" s="18" t="n">
        <v>0</v>
      </c>
      <c r="R70" s="20" t="n">
        <v>0</v>
      </c>
    </row>
    <row r="71" spans="1:18">
      <c r="A71" s="15" t="s">
        <v>413</v>
      </c>
      <c r="B71" s="17" t="n">
        <v>6115</v>
      </c>
      <c r="C71" s="18">
        <f>(5352.0/B71*100)</f>
        <v/>
      </c>
      <c r="D71" s="19" t="n">
        <v>763</v>
      </c>
      <c r="E71" s="18" t="n">
        <v>64.73712025</v>
      </c>
      <c r="F71" s="20" t="n">
        <v>1.96664071</v>
      </c>
      <c r="G71" s="18" t="n">
        <v>34.9095247</v>
      </c>
      <c r="H71" s="20" t="n">
        <v>1.96432553</v>
      </c>
      <c r="I71" s="18" t="s">
        <v>349</v>
      </c>
      <c r="J71" s="20" t="s">
        <v>349</v>
      </c>
      <c r="K71" s="18" t="n">
        <v>0.35335505</v>
      </c>
      <c r="L71" s="20" t="n">
        <v>0.15897912</v>
      </c>
      <c r="M71" s="18" t="n">
        <v>0</v>
      </c>
      <c r="N71" s="20" t="n">
        <v>0</v>
      </c>
      <c r="O71" s="18" t="n">
        <v>0</v>
      </c>
      <c r="P71" s="20" t="n">
        <v>0</v>
      </c>
      <c r="Q71" s="18" t="n">
        <v>0</v>
      </c>
      <c r="R71" s="20" t="n">
        <v>0</v>
      </c>
    </row>
    <row r="72" spans="1:18">
      <c r="A72" s="15" t="s">
        <v>414</v>
      </c>
      <c r="B72" s="17" t="n">
        <v>7708</v>
      </c>
      <c r="C72" s="18">
        <f>(6751.0/B72*100)</f>
        <v/>
      </c>
      <c r="D72" s="19" t="n">
        <v>957</v>
      </c>
      <c r="E72" s="18" t="n">
        <v>55.01386279</v>
      </c>
      <c r="F72" s="20" t="n">
        <v>1.65817715</v>
      </c>
      <c r="G72" s="18" t="n">
        <v>44.51307837</v>
      </c>
      <c r="H72" s="20" t="n">
        <v>1.63805678</v>
      </c>
      <c r="I72" s="18" t="s">
        <v>349</v>
      </c>
      <c r="J72" s="20" t="s">
        <v>349</v>
      </c>
      <c r="K72" s="18" t="n">
        <v>0.47305883</v>
      </c>
      <c r="L72" s="20" t="n">
        <v>0.22334655</v>
      </c>
      <c r="M72" s="18" t="n">
        <v>0</v>
      </c>
      <c r="N72" s="20" t="n">
        <v>0</v>
      </c>
      <c r="O72" s="18" t="n">
        <v>0</v>
      </c>
      <c r="P72" s="20" t="n">
        <v>0</v>
      </c>
      <c r="Q72" s="18" t="n">
        <v>0</v>
      </c>
      <c r="R72" s="20" t="n">
        <v>0</v>
      </c>
    </row>
    <row r="73" spans="1:18">
      <c r="A73" s="15" t="s">
        <v>415</v>
      </c>
      <c r="B73" s="17" t="n">
        <v>8249</v>
      </c>
      <c r="C73" s="18">
        <f>(7304.0/B73*100)</f>
        <v/>
      </c>
      <c r="D73" s="19" t="n">
        <v>945</v>
      </c>
      <c r="E73" s="18" t="n">
        <v>69.38791430000001</v>
      </c>
      <c r="F73" s="20" t="n">
        <v>2.00005157</v>
      </c>
      <c r="G73" s="18" t="n">
        <v>30.42467539</v>
      </c>
      <c r="H73" s="20" t="n">
        <v>1.97944813</v>
      </c>
      <c r="I73" s="18" t="s">
        <v>349</v>
      </c>
      <c r="J73" s="20" t="s">
        <v>349</v>
      </c>
      <c r="K73" s="18" t="n">
        <v>0.18741031</v>
      </c>
      <c r="L73" s="20" t="n">
        <v>0.17196863</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(4780.0/B75*100)</f>
        <v/>
      </c>
      <c r="D75" s="19" t="n">
        <v>595</v>
      </c>
      <c r="E75" s="18" t="n">
        <v>56.20165076</v>
      </c>
      <c r="F75" s="20" t="n">
        <v>2.06746192</v>
      </c>
      <c r="G75" s="18" t="n">
        <v>35.60003974</v>
      </c>
      <c r="H75" s="20" t="n">
        <v>2.26721836</v>
      </c>
      <c r="I75" s="18" t="s">
        <v>349</v>
      </c>
      <c r="J75" s="20" t="s">
        <v>349</v>
      </c>
      <c r="K75" s="18" t="n">
        <v>8.19830951</v>
      </c>
      <c r="L75" s="20" t="n">
        <v>1.21099473</v>
      </c>
      <c r="M75" s="18" t="n">
        <v>0</v>
      </c>
      <c r="N75" s="20" t="n">
        <v>0</v>
      </c>
      <c r="O75" s="18" t="n">
        <v>0</v>
      </c>
      <c r="P75" s="20" t="n">
        <v>0</v>
      </c>
      <c r="Q75" s="18" t="n">
        <v>0</v>
      </c>
      <c r="R75" s="20" t="n">
        <v>0</v>
      </c>
    </row>
    <row r="76" spans="1:18">
      <c r="A76" s="15" t="s">
        <v>418</v>
      </c>
      <c r="B76" s="17" t="n">
        <v>14167</v>
      </c>
      <c r="C76" s="18">
        <f>(12425.0/B76*100)</f>
        <v/>
      </c>
      <c r="D76" s="19" t="n">
        <v>1742</v>
      </c>
      <c r="E76" s="18" t="n">
        <v>63.17434516</v>
      </c>
      <c r="F76" s="20" t="n">
        <v>1.52212706</v>
      </c>
      <c r="G76" s="18" t="n">
        <v>34.77894994</v>
      </c>
      <c r="H76" s="20" t="n">
        <v>1.51320671</v>
      </c>
      <c r="I76" s="18" t="s">
        <v>349</v>
      </c>
      <c r="J76" s="20" t="s">
        <v>349</v>
      </c>
      <c r="K76" s="18" t="n">
        <v>2.0467049</v>
      </c>
      <c r="L76" s="20" t="n">
        <v>0.40537641</v>
      </c>
      <c r="M76" s="18" t="n">
        <v>0</v>
      </c>
      <c r="N76" s="20" t="n">
        <v>0</v>
      </c>
      <c r="O76" s="18" t="n">
        <v>0</v>
      </c>
      <c r="P76" s="20" t="n">
        <v>0</v>
      </c>
      <c r="Q76" s="18" t="n">
        <v>0</v>
      </c>
      <c r="R76" s="20" t="n">
        <v>0</v>
      </c>
    </row>
    <row r="77" spans="1:18">
      <c r="A77" s="15" t="s">
        <v>419</v>
      </c>
      <c r="B77" s="17" t="n">
        <v>6062</v>
      </c>
      <c r="C77" s="18">
        <f>(5337.0/B77*100)</f>
        <v/>
      </c>
      <c r="D77" s="19" t="n">
        <v>725</v>
      </c>
      <c r="E77" s="18" t="n">
        <v>60.689445</v>
      </c>
      <c r="F77" s="20" t="n">
        <v>1.99326127</v>
      </c>
      <c r="G77" s="18" t="n">
        <v>33.38168644</v>
      </c>
      <c r="H77" s="20" t="n">
        <v>1.90367233</v>
      </c>
      <c r="I77" s="18" t="s">
        <v>349</v>
      </c>
      <c r="J77" s="20" t="s">
        <v>349</v>
      </c>
      <c r="K77" s="18" t="n">
        <v>5.92886855</v>
      </c>
      <c r="L77" s="20" t="n">
        <v>0.82086322</v>
      </c>
      <c r="M77" s="18" t="n">
        <v>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(7769.0/B81*100)</f>
        <v/>
      </c>
      <c r="D81" s="19" t="n">
        <v>1092</v>
      </c>
      <c r="E81" s="18" t="n">
        <v>66.85868684</v>
      </c>
      <c r="F81" s="20" t="n">
        <v>1.66497975</v>
      </c>
      <c r="G81" s="18" t="n">
        <v>32.71051607</v>
      </c>
      <c r="H81" s="20" t="n">
        <v>1.66644734</v>
      </c>
      <c r="I81" s="18" t="s">
        <v>349</v>
      </c>
      <c r="J81" s="20" t="s">
        <v>349</v>
      </c>
      <c r="K81" s="18" t="n">
        <v>0.43079709</v>
      </c>
      <c r="L81" s="20" t="n">
        <v>0.22454056</v>
      </c>
      <c r="M81" s="18" t="n">
        <v>0</v>
      </c>
      <c r="N81" s="20" t="n">
        <v>0</v>
      </c>
      <c r="O81" s="18" t="n">
        <v>0</v>
      </c>
      <c r="P81" s="20" t="n">
        <v>0</v>
      </c>
      <c r="Q81" s="18" t="n">
        <v>0</v>
      </c>
      <c r="R81" s="20" t="n">
        <v>0</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509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(12763.0/B7*100)</f>
        <v/>
      </c>
      <c r="D7" s="19" t="n">
        <v>1767</v>
      </c>
      <c r="E7" s="18" t="n">
        <v>24.8780261</v>
      </c>
      <c r="F7" s="20" t="n">
        <v>1.19697362</v>
      </c>
      <c r="G7" s="18" t="n">
        <v>74.44594202</v>
      </c>
      <c r="H7" s="20" t="n">
        <v>1.2342022</v>
      </c>
      <c r="I7" s="18" t="s">
        <v>349</v>
      </c>
      <c r="J7" s="20" t="s">
        <v>349</v>
      </c>
      <c r="K7" s="18" t="n">
        <v>0.30722261</v>
      </c>
      <c r="L7" s="20" t="n">
        <v>0.15433912</v>
      </c>
      <c r="M7" s="18" t="n">
        <v>0</v>
      </c>
      <c r="N7" s="20" t="n">
        <v>0</v>
      </c>
      <c r="O7" s="18" t="n">
        <v>0</v>
      </c>
      <c r="P7" s="20" t="n">
        <v>0</v>
      </c>
      <c r="Q7" s="18" t="n">
        <v>0.36880927</v>
      </c>
      <c r="R7" s="20" t="n">
        <v>0.13309178</v>
      </c>
    </row>
    <row r="8" spans="1:18">
      <c r="A8" s="15" t="s">
        <v>350</v>
      </c>
      <c r="B8" s="17" t="n">
        <v>7007</v>
      </c>
      <c r="C8" s="18">
        <f>(6169.0/B8*100)</f>
        <v/>
      </c>
      <c r="D8" s="19" t="n">
        <v>838</v>
      </c>
      <c r="E8" s="18" t="n">
        <v>25.55760622</v>
      </c>
      <c r="F8" s="20" t="n">
        <v>1.74257849</v>
      </c>
      <c r="G8" s="18" t="n">
        <v>73.55362353</v>
      </c>
      <c r="H8" s="20" t="n">
        <v>1.78717917</v>
      </c>
      <c r="I8" s="18" t="s">
        <v>349</v>
      </c>
      <c r="J8" s="20" t="s">
        <v>349</v>
      </c>
      <c r="K8" s="18" t="n">
        <v>0</v>
      </c>
      <c r="L8" s="20" t="n">
        <v>0</v>
      </c>
      <c r="M8" s="18" t="n">
        <v>0</v>
      </c>
      <c r="N8" s="20" t="n">
        <v>0</v>
      </c>
      <c r="O8" s="18" t="n">
        <v>0</v>
      </c>
      <c r="P8" s="20" t="n">
        <v>0</v>
      </c>
      <c r="Q8" s="18" t="n">
        <v>0.88877025</v>
      </c>
      <c r="R8" s="20" t="n">
        <v>0.41846638</v>
      </c>
    </row>
    <row r="9" spans="1:18">
      <c r="A9" s="15" t="s">
        <v>351</v>
      </c>
      <c r="B9" s="17" t="n">
        <v>9651</v>
      </c>
      <c r="C9" s="18">
        <f>(8474.0/B9*100)</f>
        <v/>
      </c>
      <c r="D9" s="19" t="n">
        <v>1177</v>
      </c>
      <c r="E9" s="18" t="n">
        <v>19.50413585</v>
      </c>
      <c r="F9" s="20" t="n">
        <v>1.06398541</v>
      </c>
      <c r="G9" s="18" t="n">
        <v>79.33889526</v>
      </c>
      <c r="H9" s="20" t="n">
        <v>1.07352749</v>
      </c>
      <c r="I9" s="18" t="s">
        <v>349</v>
      </c>
      <c r="J9" s="20" t="s">
        <v>349</v>
      </c>
      <c r="K9" s="18" t="n">
        <v>0.3064474</v>
      </c>
      <c r="L9" s="20" t="n">
        <v>0.15029937</v>
      </c>
      <c r="M9" s="18" t="n">
        <v>0</v>
      </c>
      <c r="N9" s="20" t="n">
        <v>0</v>
      </c>
      <c r="O9" s="18" t="n">
        <v>0</v>
      </c>
      <c r="P9" s="20" t="n">
        <v>0</v>
      </c>
      <c r="Q9" s="18" t="n">
        <v>0.85052149</v>
      </c>
      <c r="R9" s="20" t="n">
        <v>0.29981235</v>
      </c>
    </row>
    <row r="10" spans="1:18">
      <c r="A10" s="15" t="s">
        <v>352</v>
      </c>
      <c r="B10" s="17" t="n">
        <v>20058</v>
      </c>
      <c r="C10" s="18">
        <f>(17598.0/B10*100)</f>
        <v/>
      </c>
      <c r="D10" s="19" t="n">
        <v>2460</v>
      </c>
      <c r="E10" s="18" t="n">
        <v>22.62450324</v>
      </c>
      <c r="F10" s="20" t="n">
        <v>1.18531825</v>
      </c>
      <c r="G10" s="18" t="n">
        <v>76.82893377000001</v>
      </c>
      <c r="H10" s="20" t="n">
        <v>1.19649536</v>
      </c>
      <c r="I10" s="18" t="s">
        <v>349</v>
      </c>
      <c r="J10" s="20" t="s">
        <v>349</v>
      </c>
      <c r="K10" s="18" t="n">
        <v>0.17260358</v>
      </c>
      <c r="L10" s="20" t="n">
        <v>0.1174172</v>
      </c>
      <c r="M10" s="18" t="n">
        <v>0</v>
      </c>
      <c r="N10" s="20" t="n">
        <v>0</v>
      </c>
      <c r="O10" s="18" t="n">
        <v>0</v>
      </c>
      <c r="P10" s="20" t="n">
        <v>0</v>
      </c>
      <c r="Q10" s="18" t="n">
        <v>0.37395942</v>
      </c>
      <c r="R10" s="20" t="n">
        <v>0.13967428</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(6069.0/B12*100)</f>
        <v/>
      </c>
      <c r="D12" s="19" t="n">
        <v>825</v>
      </c>
      <c r="E12" s="18" t="n">
        <v>23.77723166</v>
      </c>
      <c r="F12" s="20" t="n">
        <v>1.68228897</v>
      </c>
      <c r="G12" s="18" t="n">
        <v>76.11040993</v>
      </c>
      <c r="H12" s="20" t="n">
        <v>1.68576036</v>
      </c>
      <c r="I12" s="18" t="s">
        <v>349</v>
      </c>
      <c r="J12" s="20" t="s">
        <v>349</v>
      </c>
      <c r="K12" s="18" t="n">
        <v>0</v>
      </c>
      <c r="L12" s="20" t="n">
        <v>0</v>
      </c>
      <c r="M12" s="18" t="n">
        <v>0</v>
      </c>
      <c r="N12" s="20" t="n">
        <v>0</v>
      </c>
      <c r="O12" s="18" t="n">
        <v>0</v>
      </c>
      <c r="P12" s="20" t="n">
        <v>0</v>
      </c>
      <c r="Q12" s="18" t="n">
        <v>0.11235842</v>
      </c>
      <c r="R12" s="20" t="n">
        <v>0.11690158</v>
      </c>
    </row>
    <row r="13" spans="1:18">
      <c r="A13" s="15" t="s">
        <v>355</v>
      </c>
      <c r="B13" s="17" t="n">
        <v>7161</v>
      </c>
      <c r="C13" s="18">
        <f>(6322.0/B13*100)</f>
        <v/>
      </c>
      <c r="D13" s="19" t="n">
        <v>839</v>
      </c>
      <c r="E13" s="18" t="n">
        <v>20.83828736</v>
      </c>
      <c r="F13" s="20" t="n">
        <v>1.53372453</v>
      </c>
      <c r="G13" s="18" t="n">
        <v>78.51139879999999</v>
      </c>
      <c r="H13" s="20" t="n">
        <v>1.57515652</v>
      </c>
      <c r="I13" s="18" t="s">
        <v>349</v>
      </c>
      <c r="J13" s="20" t="s">
        <v>349</v>
      </c>
      <c r="K13" s="18" t="n">
        <v>0</v>
      </c>
      <c r="L13" s="20" t="n">
        <v>0</v>
      </c>
      <c r="M13" s="18" t="n">
        <v>0</v>
      </c>
      <c r="N13" s="20" t="n">
        <v>0</v>
      </c>
      <c r="O13" s="18" t="n">
        <v>0</v>
      </c>
      <c r="P13" s="20" t="n">
        <v>0</v>
      </c>
      <c r="Q13" s="18" t="n">
        <v>0.65031384</v>
      </c>
      <c r="R13" s="20" t="n">
        <v>0.26056162</v>
      </c>
    </row>
    <row r="14" spans="1:18">
      <c r="A14" s="15" t="s">
        <v>356</v>
      </c>
      <c r="B14" s="17" t="n">
        <v>5587</v>
      </c>
      <c r="C14" s="18">
        <f>(4873.0/B14*100)</f>
        <v/>
      </c>
      <c r="D14" s="19" t="n">
        <v>714</v>
      </c>
      <c r="E14" s="18" t="n">
        <v>23.89021225</v>
      </c>
      <c r="F14" s="20" t="n">
        <v>1.87119961</v>
      </c>
      <c r="G14" s="18" t="n">
        <v>75.76684118999999</v>
      </c>
      <c r="H14" s="20" t="n">
        <v>1.87196528</v>
      </c>
      <c r="I14" s="18" t="s">
        <v>349</v>
      </c>
      <c r="J14" s="20" t="s">
        <v>349</v>
      </c>
      <c r="K14" s="18" t="n">
        <v>0.1112955</v>
      </c>
      <c r="L14" s="20" t="n">
        <v>0.11099872</v>
      </c>
      <c r="M14" s="18" t="n">
        <v>0</v>
      </c>
      <c r="N14" s="20" t="n">
        <v>0</v>
      </c>
      <c r="O14" s="18" t="n">
        <v>0</v>
      </c>
      <c r="P14" s="20" t="n">
        <v>0</v>
      </c>
      <c r="Q14" s="18" t="n">
        <v>0.23165106</v>
      </c>
      <c r="R14" s="20" t="n">
        <v>0.1623697</v>
      </c>
    </row>
    <row r="15" spans="1:18">
      <c r="A15" s="15" t="s">
        <v>357</v>
      </c>
      <c r="B15" s="17" t="n">
        <v>5882</v>
      </c>
      <c r="C15" s="18">
        <f>(5153.0/B15*100)</f>
        <v/>
      </c>
      <c r="D15" s="19" t="n">
        <v>729</v>
      </c>
      <c r="E15" s="18" t="n">
        <v>18.31996748</v>
      </c>
      <c r="F15" s="20" t="n">
        <v>1.48437411</v>
      </c>
      <c r="G15" s="18" t="n">
        <v>81.12820556</v>
      </c>
      <c r="H15" s="20" t="n">
        <v>1.48444335</v>
      </c>
      <c r="I15" s="18" t="s">
        <v>349</v>
      </c>
      <c r="J15" s="20" t="s">
        <v>349</v>
      </c>
      <c r="K15" s="18" t="n">
        <v>0.26158389</v>
      </c>
      <c r="L15" s="20" t="n">
        <v>0.18378464</v>
      </c>
      <c r="M15" s="18" t="n">
        <v>0</v>
      </c>
      <c r="N15" s="20" t="n">
        <v>0</v>
      </c>
      <c r="O15" s="18" t="n">
        <v>0</v>
      </c>
      <c r="P15" s="20" t="n">
        <v>0</v>
      </c>
      <c r="Q15" s="18" t="n">
        <v>0.29024307</v>
      </c>
      <c r="R15" s="20" t="n">
        <v>0.21413185</v>
      </c>
    </row>
    <row r="16" spans="1:18">
      <c r="A16" s="15" t="s">
        <v>358</v>
      </c>
      <c r="B16" s="17" t="n">
        <v>6108</v>
      </c>
      <c r="C16" s="18">
        <f>(5346.0/B16*100)</f>
        <v/>
      </c>
      <c r="D16" s="19" t="n">
        <v>762</v>
      </c>
      <c r="E16" s="18" t="n">
        <v>21.84003302</v>
      </c>
      <c r="F16" s="20" t="n">
        <v>1.40405912</v>
      </c>
      <c r="G16" s="18" t="n">
        <v>76.91092704</v>
      </c>
      <c r="H16" s="20" t="n">
        <v>1.34027772</v>
      </c>
      <c r="I16" s="18" t="s">
        <v>349</v>
      </c>
      <c r="J16" s="20" t="s">
        <v>349</v>
      </c>
      <c r="K16" s="18" t="n">
        <v>0.27522096</v>
      </c>
      <c r="L16" s="20" t="n">
        <v>0.20565882</v>
      </c>
      <c r="M16" s="18" t="n">
        <v>0</v>
      </c>
      <c r="N16" s="20" t="n">
        <v>0</v>
      </c>
      <c r="O16" s="18" t="n">
        <v>0</v>
      </c>
      <c r="P16" s="20" t="n">
        <v>0</v>
      </c>
      <c r="Q16" s="18" t="n">
        <v>0.97381898</v>
      </c>
      <c r="R16" s="20" t="n">
        <v>0.35693151</v>
      </c>
    </row>
    <row r="17" spans="1:18">
      <c r="A17" s="15" t="s">
        <v>359</v>
      </c>
      <c r="B17" s="17" t="n">
        <v>6504</v>
      </c>
      <c r="C17" s="18">
        <f>(5703.0/B17*100)</f>
        <v/>
      </c>
      <c r="D17" s="19" t="n">
        <v>801</v>
      </c>
      <c r="E17" s="18" t="n">
        <v>21.17077064</v>
      </c>
      <c r="F17" s="20" t="n">
        <v>1.47439758</v>
      </c>
      <c r="G17" s="18" t="n">
        <v>77.69051</v>
      </c>
      <c r="H17" s="20" t="n">
        <v>1.53747127</v>
      </c>
      <c r="I17" s="18" t="s">
        <v>349</v>
      </c>
      <c r="J17" s="20" t="s">
        <v>349</v>
      </c>
      <c r="K17" s="18" t="n">
        <v>0.37207841</v>
      </c>
      <c r="L17" s="20" t="n">
        <v>0.21519421</v>
      </c>
      <c r="M17" s="18" t="n">
        <v>0</v>
      </c>
      <c r="N17" s="20" t="n">
        <v>0</v>
      </c>
      <c r="O17" s="18" t="n">
        <v>0</v>
      </c>
      <c r="P17" s="20" t="n">
        <v>0</v>
      </c>
      <c r="Q17" s="18" t="n">
        <v>0.76664096</v>
      </c>
      <c r="R17" s="20" t="n">
        <v>0.29121898</v>
      </c>
    </row>
    <row r="18" spans="1:18">
      <c r="A18" s="15" t="s">
        <v>360</v>
      </c>
      <c r="B18" s="17" t="n">
        <v>5532</v>
      </c>
      <c r="C18" s="18">
        <f>(4842.0/B18*100)</f>
        <v/>
      </c>
      <c r="D18" s="19" t="n">
        <v>690</v>
      </c>
      <c r="E18" s="18" t="n">
        <v>28.24424225</v>
      </c>
      <c r="F18" s="20" t="n">
        <v>1.99102877</v>
      </c>
      <c r="G18" s="18" t="n">
        <v>70.75955042</v>
      </c>
      <c r="H18" s="20" t="n">
        <v>2.1311501</v>
      </c>
      <c r="I18" s="18" t="s">
        <v>349</v>
      </c>
      <c r="J18" s="20" t="s">
        <v>349</v>
      </c>
      <c r="K18" s="18" t="n">
        <v>0.37118501</v>
      </c>
      <c r="L18" s="20" t="n">
        <v>0.36822909</v>
      </c>
      <c r="M18" s="18" t="n">
        <v>0</v>
      </c>
      <c r="N18" s="20" t="n">
        <v>0</v>
      </c>
      <c r="O18" s="18" t="n">
        <v>0</v>
      </c>
      <c r="P18" s="20" t="n">
        <v>0</v>
      </c>
      <c r="Q18" s="18" t="n">
        <v>0.62502233</v>
      </c>
      <c r="R18" s="20" t="n">
        <v>0.31437267</v>
      </c>
    </row>
    <row r="19" spans="1:18">
      <c r="A19" s="15" t="s">
        <v>361</v>
      </c>
      <c r="B19" s="17" t="n">
        <v>5658</v>
      </c>
      <c r="C19" s="18">
        <f>(4988.0/B19*100)</f>
        <v/>
      </c>
      <c r="D19" s="19" t="n">
        <v>670</v>
      </c>
      <c r="E19" s="18" t="n">
        <v>33.05642937</v>
      </c>
      <c r="F19" s="20" t="n">
        <v>2.0896694</v>
      </c>
      <c r="G19" s="18" t="n">
        <v>66.62679781</v>
      </c>
      <c r="H19" s="20" t="n">
        <v>2.10865895</v>
      </c>
      <c r="I19" s="18" t="s">
        <v>349</v>
      </c>
      <c r="J19" s="20" t="s">
        <v>349</v>
      </c>
      <c r="K19" s="18" t="n">
        <v>0</v>
      </c>
      <c r="L19" s="20" t="n">
        <v>0</v>
      </c>
      <c r="M19" s="18" t="n">
        <v>0</v>
      </c>
      <c r="N19" s="20" t="n">
        <v>0</v>
      </c>
      <c r="O19" s="18" t="n">
        <v>0</v>
      </c>
      <c r="P19" s="20" t="n">
        <v>0</v>
      </c>
      <c r="Q19" s="18" t="n">
        <v>0.31677282</v>
      </c>
      <c r="R19" s="20" t="n">
        <v>0.26094404</v>
      </c>
    </row>
    <row r="20" spans="1:18">
      <c r="A20" s="15" t="s">
        <v>362</v>
      </c>
      <c r="B20" s="17" t="n">
        <v>3371</v>
      </c>
      <c r="C20" s="18">
        <f>(2952.0/B20*100)</f>
        <v/>
      </c>
      <c r="D20" s="19" t="n">
        <v>419</v>
      </c>
      <c r="E20" s="18" t="n">
        <v>24.45020024</v>
      </c>
      <c r="F20" s="20" t="n">
        <v>2.18902659</v>
      </c>
      <c r="G20" s="18" t="n">
        <v>74.31813687</v>
      </c>
      <c r="H20" s="20" t="n">
        <v>2.31835194</v>
      </c>
      <c r="I20" s="18" t="s">
        <v>349</v>
      </c>
      <c r="J20" s="20" t="s">
        <v>349</v>
      </c>
      <c r="K20" s="18" t="n">
        <v>0.73797534</v>
      </c>
      <c r="L20" s="20" t="n">
        <v>0.41269965</v>
      </c>
      <c r="M20" s="18" t="n">
        <v>0</v>
      </c>
      <c r="N20" s="20" t="n">
        <v>0</v>
      </c>
      <c r="O20" s="18" t="n">
        <v>0</v>
      </c>
      <c r="P20" s="20" t="n">
        <v>0</v>
      </c>
      <c r="Q20" s="18" t="n">
        <v>0.49368755</v>
      </c>
      <c r="R20" s="20" t="n">
        <v>0.29556872</v>
      </c>
    </row>
    <row r="21" spans="1:18">
      <c r="A21" s="15" t="s">
        <v>363</v>
      </c>
      <c r="B21" s="17" t="n">
        <v>5741</v>
      </c>
      <c r="C21" s="18">
        <f>(4800.0/B21*100)</f>
        <v/>
      </c>
      <c r="D21" s="19" t="n">
        <v>941</v>
      </c>
      <c r="E21" s="18" t="n">
        <v>26.94480543</v>
      </c>
      <c r="F21" s="20" t="n">
        <v>1.37078191</v>
      </c>
      <c r="G21" s="18" t="n">
        <v>72.62544981000001</v>
      </c>
      <c r="H21" s="20" t="n">
        <v>1.38079624</v>
      </c>
      <c r="I21" s="18" t="s">
        <v>349</v>
      </c>
      <c r="J21" s="20" t="s">
        <v>349</v>
      </c>
      <c r="K21" s="18" t="n">
        <v>0.24781081</v>
      </c>
      <c r="L21" s="20" t="n">
        <v>0.1816582</v>
      </c>
      <c r="M21" s="18" t="n">
        <v>0</v>
      </c>
      <c r="N21" s="20" t="n">
        <v>0</v>
      </c>
      <c r="O21" s="18" t="n">
        <v>0</v>
      </c>
      <c r="P21" s="20" t="n">
        <v>0</v>
      </c>
      <c r="Q21" s="18" t="n">
        <v>0.18193395</v>
      </c>
      <c r="R21" s="20" t="n">
        <v>0.12928088</v>
      </c>
    </row>
    <row r="22" spans="1:18">
      <c r="A22" s="15" t="s">
        <v>364</v>
      </c>
      <c r="B22" s="17" t="n">
        <v>6598</v>
      </c>
      <c r="C22" s="18">
        <f>(5751.0/B22*100)</f>
        <v/>
      </c>
      <c r="D22" s="19" t="n">
        <v>847</v>
      </c>
      <c r="E22" s="18" t="n">
        <v>22.6835691</v>
      </c>
      <c r="F22" s="20" t="n">
        <v>1.52245863</v>
      </c>
      <c r="G22" s="18" t="n">
        <v>76.32997013000001</v>
      </c>
      <c r="H22" s="20" t="n">
        <v>1.53211919</v>
      </c>
      <c r="I22" s="18" t="s">
        <v>349</v>
      </c>
      <c r="J22" s="20" t="s">
        <v>349</v>
      </c>
      <c r="K22" s="18" t="n">
        <v>0</v>
      </c>
      <c r="L22" s="20" t="n">
        <v>0</v>
      </c>
      <c r="M22" s="18" t="n">
        <v>0</v>
      </c>
      <c r="N22" s="20" t="n">
        <v>0</v>
      </c>
      <c r="O22" s="18" t="n">
        <v>0</v>
      </c>
      <c r="P22" s="20" t="n">
        <v>0</v>
      </c>
      <c r="Q22" s="18" t="n">
        <v>0.98646078</v>
      </c>
      <c r="R22" s="20" t="n">
        <v>0.29213615</v>
      </c>
    </row>
    <row r="23" spans="1:18">
      <c r="A23" s="15" t="s">
        <v>365</v>
      </c>
      <c r="B23" s="17" t="n">
        <v>11583</v>
      </c>
      <c r="C23" s="18">
        <f>(10168.0/B23*100)</f>
        <v/>
      </c>
      <c r="D23" s="19" t="n">
        <v>1415</v>
      </c>
      <c r="E23" s="18" t="n">
        <v>27.31314051</v>
      </c>
      <c r="F23" s="20" t="n">
        <v>1.86850031</v>
      </c>
      <c r="G23" s="18" t="n">
        <v>72.25105349</v>
      </c>
      <c r="H23" s="20" t="n">
        <v>1.86707936</v>
      </c>
      <c r="I23" s="18" t="s">
        <v>349</v>
      </c>
      <c r="J23" s="20" t="s">
        <v>349</v>
      </c>
      <c r="K23" s="18" t="n">
        <v>0.21529776</v>
      </c>
      <c r="L23" s="20" t="n">
        <v>0.16444312</v>
      </c>
      <c r="M23" s="18" t="n">
        <v>0</v>
      </c>
      <c r="N23" s="20" t="n">
        <v>0</v>
      </c>
      <c r="O23" s="18" t="n">
        <v>0</v>
      </c>
      <c r="P23" s="20" t="n">
        <v>0</v>
      </c>
      <c r="Q23" s="18" t="n">
        <v>0.22050824</v>
      </c>
      <c r="R23" s="20" t="n">
        <v>0.15177448</v>
      </c>
    </row>
    <row r="24" spans="1:18">
      <c r="A24" s="15" t="s">
        <v>366</v>
      </c>
      <c r="B24" s="17" t="n">
        <v>6647</v>
      </c>
      <c r="C24" s="18">
        <f>(5847.0/B24*100)</f>
        <v/>
      </c>
      <c r="D24" s="19" t="n">
        <v>800</v>
      </c>
      <c r="E24" s="18" t="n">
        <v>15.83727121</v>
      </c>
      <c r="F24" s="20" t="n">
        <v>1.24745522</v>
      </c>
      <c r="G24" s="18" t="n">
        <v>83.66574844</v>
      </c>
      <c r="H24" s="20" t="n">
        <v>1.32501949</v>
      </c>
      <c r="I24" s="18" t="s">
        <v>349</v>
      </c>
      <c r="J24" s="20" t="s">
        <v>349</v>
      </c>
      <c r="K24" s="18" t="n">
        <v>0.12781769</v>
      </c>
      <c r="L24" s="20" t="n">
        <v>0.12780051</v>
      </c>
      <c r="M24" s="18" t="n">
        <v>0</v>
      </c>
      <c r="N24" s="20" t="n">
        <v>0</v>
      </c>
      <c r="O24" s="18" t="n">
        <v>0</v>
      </c>
      <c r="P24" s="20" t="n">
        <v>0</v>
      </c>
      <c r="Q24" s="18" t="n">
        <v>0.36916266</v>
      </c>
      <c r="R24" s="20" t="n">
        <v>0.28123212</v>
      </c>
    </row>
    <row r="25" spans="1:18">
      <c r="A25" s="15" t="s">
        <v>367</v>
      </c>
      <c r="B25" s="17" t="n">
        <v>5581</v>
      </c>
      <c r="C25" s="18">
        <f>(4902.0/B25*100)</f>
        <v/>
      </c>
      <c r="D25" s="19" t="n">
        <v>679</v>
      </c>
      <c r="E25" s="18" t="n">
        <v>20.34580841</v>
      </c>
      <c r="F25" s="20" t="n">
        <v>1.4612519</v>
      </c>
      <c r="G25" s="18" t="n">
        <v>79.2247539</v>
      </c>
      <c r="H25" s="20" t="n">
        <v>1.45840669</v>
      </c>
      <c r="I25" s="18" t="s">
        <v>349</v>
      </c>
      <c r="J25" s="20" t="s">
        <v>349</v>
      </c>
      <c r="K25" s="18" t="n">
        <v>0</v>
      </c>
      <c r="L25" s="20" t="n">
        <v>0</v>
      </c>
      <c r="M25" s="18" t="n">
        <v>0</v>
      </c>
      <c r="N25" s="20" t="n">
        <v>0</v>
      </c>
      <c r="O25" s="18" t="n">
        <v>0</v>
      </c>
      <c r="P25" s="20" t="n">
        <v>0</v>
      </c>
      <c r="Q25" s="18" t="n">
        <v>0.42943769</v>
      </c>
      <c r="R25" s="20" t="n">
        <v>0.24724086</v>
      </c>
    </row>
    <row r="26" spans="1:18">
      <c r="A26" s="15" t="s">
        <v>368</v>
      </c>
      <c r="B26" s="17" t="n">
        <v>4869</v>
      </c>
      <c r="C26" s="18">
        <f>(4269.0/B26*100)</f>
        <v/>
      </c>
      <c r="D26" s="19" t="n">
        <v>600</v>
      </c>
      <c r="E26" s="18" t="n">
        <v>29.11194561</v>
      </c>
      <c r="F26" s="20" t="n">
        <v>2.05543486</v>
      </c>
      <c r="G26" s="18" t="n">
        <v>70.43581024</v>
      </c>
      <c r="H26" s="20" t="n">
        <v>2.06782269</v>
      </c>
      <c r="I26" s="18" t="s">
        <v>349</v>
      </c>
      <c r="J26" s="20" t="s">
        <v>349</v>
      </c>
      <c r="K26" s="18" t="n">
        <v>0</v>
      </c>
      <c r="L26" s="20" t="n">
        <v>0</v>
      </c>
      <c r="M26" s="18" t="n">
        <v>0</v>
      </c>
      <c r="N26" s="20" t="n">
        <v>0</v>
      </c>
      <c r="O26" s="18" t="n">
        <v>0</v>
      </c>
      <c r="P26" s="20" t="n">
        <v>0</v>
      </c>
      <c r="Q26" s="18" t="n">
        <v>0.45224415</v>
      </c>
      <c r="R26" s="20" t="n">
        <v>0.34672998</v>
      </c>
    </row>
    <row r="27" spans="1:18">
      <c r="A27" s="15" t="s">
        <v>369</v>
      </c>
      <c r="B27" s="17" t="n">
        <v>5299</v>
      </c>
      <c r="C27" s="18">
        <f>(4647.0/B27*100)</f>
        <v/>
      </c>
      <c r="D27" s="19" t="n">
        <v>652</v>
      </c>
      <c r="E27" s="18" t="n">
        <v>22.75139232</v>
      </c>
      <c r="F27" s="20" t="n">
        <v>1.72417783</v>
      </c>
      <c r="G27" s="18" t="n">
        <v>76.30307206000001</v>
      </c>
      <c r="H27" s="20" t="n">
        <v>1.76856914</v>
      </c>
      <c r="I27" s="18" t="s">
        <v>349</v>
      </c>
      <c r="J27" s="20" t="s">
        <v>349</v>
      </c>
      <c r="K27" s="18" t="n">
        <v>0.15736309</v>
      </c>
      <c r="L27" s="20" t="n">
        <v>0.15797955</v>
      </c>
      <c r="M27" s="18" t="n">
        <v>0</v>
      </c>
      <c r="N27" s="20" t="n">
        <v>0</v>
      </c>
      <c r="O27" s="18" t="n">
        <v>0</v>
      </c>
      <c r="P27" s="20" t="n">
        <v>0</v>
      </c>
      <c r="Q27" s="18" t="n">
        <v>0.78817254</v>
      </c>
      <c r="R27" s="20" t="n">
        <v>0.26127832</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(4723.0/B29*100)</f>
        <v/>
      </c>
      <c r="D29" s="19" t="n">
        <v>662</v>
      </c>
      <c r="E29" s="18" t="n">
        <v>18.01959936</v>
      </c>
      <c r="F29" s="20" t="n">
        <v>1.44752511</v>
      </c>
      <c r="G29" s="18" t="n">
        <v>81.05192375</v>
      </c>
      <c r="H29" s="20" t="n">
        <v>1.4768877</v>
      </c>
      <c r="I29" s="18" t="s">
        <v>349</v>
      </c>
      <c r="J29" s="20" t="s">
        <v>349</v>
      </c>
      <c r="K29" s="18" t="n">
        <v>0.60380212</v>
      </c>
      <c r="L29" s="20" t="n">
        <v>0.29771221</v>
      </c>
      <c r="M29" s="18" t="n">
        <v>0</v>
      </c>
      <c r="N29" s="20" t="n">
        <v>0</v>
      </c>
      <c r="O29" s="18" t="n">
        <v>0</v>
      </c>
      <c r="P29" s="20" t="n">
        <v>0</v>
      </c>
      <c r="Q29" s="18" t="n">
        <v>0.32467477</v>
      </c>
      <c r="R29" s="20" t="n">
        <v>0.26786193</v>
      </c>
    </row>
    <row r="30" spans="1:18">
      <c r="A30" s="15" t="s">
        <v>372</v>
      </c>
      <c r="B30" s="17" t="n">
        <v>4520</v>
      </c>
      <c r="C30" s="18">
        <f>(3983.0/B30*100)</f>
        <v/>
      </c>
      <c r="D30" s="19" t="n">
        <v>537</v>
      </c>
      <c r="E30" s="18" t="n">
        <v>24.88595497</v>
      </c>
      <c r="F30" s="20" t="n">
        <v>2.17805017</v>
      </c>
      <c r="G30" s="18" t="n">
        <v>74.11792951</v>
      </c>
      <c r="H30" s="20" t="n">
        <v>2.12589692</v>
      </c>
      <c r="I30" s="18" t="s">
        <v>349</v>
      </c>
      <c r="J30" s="20" t="s">
        <v>349</v>
      </c>
      <c r="K30" s="18" t="n">
        <v>0</v>
      </c>
      <c r="L30" s="20" t="n">
        <v>0</v>
      </c>
      <c r="M30" s="18" t="n">
        <v>0</v>
      </c>
      <c r="N30" s="20" t="n">
        <v>0</v>
      </c>
      <c r="O30" s="18" t="n">
        <v>0</v>
      </c>
      <c r="P30" s="20" t="n">
        <v>0</v>
      </c>
      <c r="Q30" s="18" t="n">
        <v>0.99611552</v>
      </c>
      <c r="R30" s="20" t="n">
        <v>0.43193084</v>
      </c>
    </row>
    <row r="31" spans="1:18">
      <c r="A31" s="15" t="s">
        <v>373</v>
      </c>
      <c r="B31" s="17" t="n">
        <v>5456</v>
      </c>
      <c r="C31" s="18">
        <f>(4751.0/B31*100)</f>
        <v/>
      </c>
      <c r="D31" s="19" t="n">
        <v>705</v>
      </c>
      <c r="E31" s="18" t="n">
        <v>19.85711127</v>
      </c>
      <c r="F31" s="20" t="n">
        <v>1.59301249</v>
      </c>
      <c r="G31" s="18" t="n">
        <v>79.59300401</v>
      </c>
      <c r="H31" s="20" t="n">
        <v>1.60529326</v>
      </c>
      <c r="I31" s="18" t="s">
        <v>349</v>
      </c>
      <c r="J31" s="20" t="s">
        <v>349</v>
      </c>
      <c r="K31" s="18" t="n">
        <v>0.41833464</v>
      </c>
      <c r="L31" s="20" t="n">
        <v>0.13083436</v>
      </c>
      <c r="M31" s="18" t="n">
        <v>0</v>
      </c>
      <c r="N31" s="20" t="n">
        <v>0</v>
      </c>
      <c r="O31" s="18" t="n">
        <v>0</v>
      </c>
      <c r="P31" s="20" t="n">
        <v>0</v>
      </c>
      <c r="Q31" s="18" t="n">
        <v>0.13155007</v>
      </c>
      <c r="R31" s="20" t="n">
        <v>0.126793</v>
      </c>
    </row>
    <row r="32" spans="1:18">
      <c r="A32" s="15" t="s">
        <v>374</v>
      </c>
      <c r="B32" s="17" t="n">
        <v>4478</v>
      </c>
      <c r="C32" s="18">
        <f>(3725.0/B32*100)</f>
        <v/>
      </c>
      <c r="D32" s="19" t="n">
        <v>753</v>
      </c>
      <c r="E32" s="18" t="n">
        <v>25.09986233</v>
      </c>
      <c r="F32" s="20" t="n">
        <v>1.70673253</v>
      </c>
      <c r="G32" s="18" t="n">
        <v>74.08401954999999</v>
      </c>
      <c r="H32" s="20" t="n">
        <v>1.72499215</v>
      </c>
      <c r="I32" s="18" t="s">
        <v>349</v>
      </c>
      <c r="J32" s="20" t="s">
        <v>349</v>
      </c>
      <c r="K32" s="18" t="n">
        <v>0.39824046</v>
      </c>
      <c r="L32" s="20" t="n">
        <v>0.2203376</v>
      </c>
      <c r="M32" s="18" t="n">
        <v>0</v>
      </c>
      <c r="N32" s="20" t="n">
        <v>0</v>
      </c>
      <c r="O32" s="18" t="n">
        <v>0</v>
      </c>
      <c r="P32" s="20" t="n">
        <v>0</v>
      </c>
      <c r="Q32" s="18" t="n">
        <v>0.41787766</v>
      </c>
      <c r="R32" s="20" t="n">
        <v>0.286312</v>
      </c>
    </row>
    <row r="33" spans="1:18">
      <c r="A33" s="15" t="s">
        <v>375</v>
      </c>
      <c r="B33" s="17" t="n">
        <v>7325</v>
      </c>
      <c r="C33" s="18">
        <f>(6439.0/B33*100)</f>
        <v/>
      </c>
      <c r="D33" s="19" t="n">
        <v>886</v>
      </c>
      <c r="E33" s="18" t="n">
        <v>26.52339623</v>
      </c>
      <c r="F33" s="20" t="n">
        <v>1.7344676</v>
      </c>
      <c r="G33" s="18" t="n">
        <v>73.07920142</v>
      </c>
      <c r="H33" s="20" t="n">
        <v>1.72375032</v>
      </c>
      <c r="I33" s="18" t="s">
        <v>349</v>
      </c>
      <c r="J33" s="20" t="s">
        <v>349</v>
      </c>
      <c r="K33" s="18" t="n">
        <v>0</v>
      </c>
      <c r="L33" s="20" t="n">
        <v>0</v>
      </c>
      <c r="M33" s="18" t="n">
        <v>0</v>
      </c>
      <c r="N33" s="20" t="n">
        <v>0</v>
      </c>
      <c r="O33" s="18" t="n">
        <v>0</v>
      </c>
      <c r="P33" s="20" t="n">
        <v>0</v>
      </c>
      <c r="Q33" s="18" t="n">
        <v>0.39740236</v>
      </c>
      <c r="R33" s="20" t="n">
        <v>0.28029112</v>
      </c>
    </row>
    <row r="34" spans="1:18">
      <c r="A34" s="15" t="s">
        <v>376</v>
      </c>
      <c r="B34" s="17" t="n">
        <v>6350</v>
      </c>
      <c r="C34" s="18">
        <f>(5583.0/B34*100)</f>
        <v/>
      </c>
      <c r="D34" s="19" t="n">
        <v>767</v>
      </c>
      <c r="E34" s="18" t="n">
        <v>27.92111293</v>
      </c>
      <c r="F34" s="20" t="n">
        <v>1.70848017</v>
      </c>
      <c r="G34" s="18" t="n">
        <v>71.21902233</v>
      </c>
      <c r="H34" s="20" t="n">
        <v>1.73022802</v>
      </c>
      <c r="I34" s="18" t="s">
        <v>349</v>
      </c>
      <c r="J34" s="20" t="s">
        <v>349</v>
      </c>
      <c r="K34" s="18" t="n">
        <v>0.21753217</v>
      </c>
      <c r="L34" s="20" t="n">
        <v>0.15679577</v>
      </c>
      <c r="M34" s="18" t="n">
        <v>0</v>
      </c>
      <c r="N34" s="20" t="n">
        <v>0</v>
      </c>
      <c r="O34" s="18" t="n">
        <v>0</v>
      </c>
      <c r="P34" s="20" t="n">
        <v>0</v>
      </c>
      <c r="Q34" s="18" t="n">
        <v>0.6423325600000001</v>
      </c>
      <c r="R34" s="20" t="n">
        <v>0.35798695</v>
      </c>
    </row>
    <row r="35" spans="1:18">
      <c r="A35" s="15" t="s">
        <v>377</v>
      </c>
      <c r="B35" s="17" t="n">
        <v>6406</v>
      </c>
      <c r="C35" s="18">
        <f>(5607.0/B35*100)</f>
        <v/>
      </c>
      <c r="D35" s="19" t="n">
        <v>799</v>
      </c>
      <c r="E35" s="18" t="n">
        <v>21.95937038</v>
      </c>
      <c r="F35" s="20" t="n">
        <v>1.43757924</v>
      </c>
      <c r="G35" s="18" t="n">
        <v>77.66942407000001</v>
      </c>
      <c r="H35" s="20" t="n">
        <v>1.44974834</v>
      </c>
      <c r="I35" s="18" t="s">
        <v>349</v>
      </c>
      <c r="J35" s="20" t="s">
        <v>349</v>
      </c>
      <c r="K35" s="18" t="n">
        <v>0.05883644</v>
      </c>
      <c r="L35" s="20" t="n">
        <v>0.05942694</v>
      </c>
      <c r="M35" s="18" t="n">
        <v>0</v>
      </c>
      <c r="N35" s="20" t="n">
        <v>0</v>
      </c>
      <c r="O35" s="18" t="n">
        <v>0</v>
      </c>
      <c r="P35" s="20" t="n">
        <v>0</v>
      </c>
      <c r="Q35" s="18" t="n">
        <v>0.31236911</v>
      </c>
      <c r="R35" s="20" t="n">
        <v>0.14506388</v>
      </c>
    </row>
    <row r="36" spans="1:18">
      <c r="A36" s="15" t="s">
        <v>378</v>
      </c>
      <c r="B36" s="17" t="n">
        <v>6736</v>
      </c>
      <c r="C36" s="18">
        <f>(5917.0/B36*100)</f>
        <v/>
      </c>
      <c r="D36" s="19" t="n">
        <v>819</v>
      </c>
      <c r="E36" s="18" t="n">
        <v>20.8774449</v>
      </c>
      <c r="F36" s="20" t="n">
        <v>1.48431448</v>
      </c>
      <c r="G36" s="18" t="n">
        <v>78.29920165</v>
      </c>
      <c r="H36" s="20" t="n">
        <v>1.53630288</v>
      </c>
      <c r="I36" s="18" t="s">
        <v>349</v>
      </c>
      <c r="J36" s="20" t="s">
        <v>349</v>
      </c>
      <c r="K36" s="18" t="n">
        <v>0.18207922</v>
      </c>
      <c r="L36" s="20" t="n">
        <v>0.18611448</v>
      </c>
      <c r="M36" s="18" t="n">
        <v>0</v>
      </c>
      <c r="N36" s="20" t="n">
        <v>0</v>
      </c>
      <c r="O36" s="18" t="n">
        <v>0</v>
      </c>
      <c r="P36" s="20" t="n">
        <v>0</v>
      </c>
      <c r="Q36" s="18" t="n">
        <v>0.6412742299999999</v>
      </c>
      <c r="R36" s="20" t="n">
        <v>0.29032746</v>
      </c>
    </row>
    <row r="37" spans="1:18">
      <c r="A37" s="15" t="s">
        <v>379</v>
      </c>
      <c r="B37" s="17" t="n">
        <v>5458</v>
      </c>
      <c r="C37" s="18">
        <f>(4798.0/B37*100)</f>
        <v/>
      </c>
      <c r="D37" s="19" t="n">
        <v>660</v>
      </c>
      <c r="E37" s="18" t="n">
        <v>23.65155015</v>
      </c>
      <c r="F37" s="20" t="n">
        <v>1.68196957</v>
      </c>
      <c r="G37" s="18" t="n">
        <v>74.14790151</v>
      </c>
      <c r="H37" s="20" t="n">
        <v>1.66695363</v>
      </c>
      <c r="I37" s="18" t="s">
        <v>349</v>
      </c>
      <c r="J37" s="20" t="s">
        <v>349</v>
      </c>
      <c r="K37" s="18" t="n">
        <v>0.35550388</v>
      </c>
      <c r="L37" s="20" t="n">
        <v>0.27510596</v>
      </c>
      <c r="M37" s="18" t="n">
        <v>0</v>
      </c>
      <c r="N37" s="20" t="n">
        <v>0</v>
      </c>
      <c r="O37" s="18" t="n">
        <v>0</v>
      </c>
      <c r="P37" s="20" t="n">
        <v>0</v>
      </c>
      <c r="Q37" s="18" t="n">
        <v>1.84504446</v>
      </c>
      <c r="R37" s="20" t="n">
        <v>0.60386619</v>
      </c>
    </row>
    <row r="38" spans="1:18">
      <c r="A38" s="15" t="s">
        <v>380</v>
      </c>
      <c r="B38" s="17" t="n">
        <v>5860</v>
      </c>
      <c r="C38" s="18">
        <f>(4905.0/B38*100)</f>
        <v/>
      </c>
      <c r="D38" s="19" t="n">
        <v>955</v>
      </c>
      <c r="E38" s="18" t="n">
        <v>22.15283718</v>
      </c>
      <c r="F38" s="20" t="n">
        <v>1.49492249</v>
      </c>
      <c r="G38" s="18" t="n">
        <v>77.21235213</v>
      </c>
      <c r="H38" s="20" t="n">
        <v>1.48418368</v>
      </c>
      <c r="I38" s="18" t="s">
        <v>349</v>
      </c>
      <c r="J38" s="20" t="s">
        <v>349</v>
      </c>
      <c r="K38" s="18" t="n">
        <v>0.10517069</v>
      </c>
      <c r="L38" s="20" t="n">
        <v>0.09418057000000001</v>
      </c>
      <c r="M38" s="18" t="n">
        <v>0</v>
      </c>
      <c r="N38" s="20" t="n">
        <v>0</v>
      </c>
      <c r="O38" s="18" t="n">
        <v>0</v>
      </c>
      <c r="P38" s="20" t="n">
        <v>0</v>
      </c>
      <c r="Q38" s="18" t="n">
        <v>0.52964</v>
      </c>
      <c r="R38" s="20" t="n">
        <v>0.25094806</v>
      </c>
    </row>
    <row r="39" spans="1:18">
      <c r="A39" s="15" t="s">
        <v>381</v>
      </c>
      <c r="B39" s="17" t="n">
        <v>5895</v>
      </c>
      <c r="C39" s="18">
        <f>(5147.0/B39*100)</f>
        <v/>
      </c>
      <c r="D39" s="19" t="n">
        <v>748</v>
      </c>
      <c r="E39" s="18" t="n">
        <v>45.45092665</v>
      </c>
      <c r="F39" s="20" t="n">
        <v>2.16784596</v>
      </c>
      <c r="G39" s="18" t="n">
        <v>53.46861783</v>
      </c>
      <c r="H39" s="20" t="n">
        <v>2.1497111</v>
      </c>
      <c r="I39" s="18" t="s">
        <v>349</v>
      </c>
      <c r="J39" s="20" t="s">
        <v>349</v>
      </c>
      <c r="K39" s="18" t="n">
        <v>0</v>
      </c>
      <c r="L39" s="20" t="n">
        <v>0</v>
      </c>
      <c r="M39" s="18" t="n">
        <v>0</v>
      </c>
      <c r="N39" s="20" t="n">
        <v>0</v>
      </c>
      <c r="O39" s="18" t="n">
        <v>0</v>
      </c>
      <c r="P39" s="20" t="n">
        <v>0</v>
      </c>
      <c r="Q39" s="18" t="n">
        <v>1.08045552</v>
      </c>
      <c r="R39" s="20" t="n">
        <v>0.44266682</v>
      </c>
    </row>
    <row r="40" spans="1:18">
      <c r="A40" s="15" t="s">
        <v>382</v>
      </c>
      <c r="B40" s="17" t="n">
        <v>14157</v>
      </c>
      <c r="C40" s="18">
        <f>(12385.0/B40*100)</f>
        <v/>
      </c>
      <c r="D40" s="19" t="n">
        <v>1772</v>
      </c>
      <c r="E40" s="18" t="n">
        <v>25.92741124</v>
      </c>
      <c r="F40" s="20" t="n">
        <v>1.58189224</v>
      </c>
      <c r="G40" s="18" t="n">
        <v>73.73007119</v>
      </c>
      <c r="H40" s="20" t="n">
        <v>1.57901145</v>
      </c>
      <c r="I40" s="18" t="s">
        <v>349</v>
      </c>
      <c r="J40" s="20" t="s">
        <v>349</v>
      </c>
      <c r="K40" s="18" t="n">
        <v>0.1884583</v>
      </c>
      <c r="L40" s="20" t="n">
        <v>0.13610147</v>
      </c>
      <c r="M40" s="18" t="n">
        <v>0</v>
      </c>
      <c r="N40" s="20" t="n">
        <v>0</v>
      </c>
      <c r="O40" s="18" t="n">
        <v>0</v>
      </c>
      <c r="P40" s="20" t="n">
        <v>0</v>
      </c>
      <c r="Q40" s="18" t="n">
        <v>0.15405928</v>
      </c>
      <c r="R40" s="20" t="n">
        <v>0.05594712</v>
      </c>
    </row>
    <row r="41" spans="1:18">
      <c r="A41" s="15" t="s">
        <v>383</v>
      </c>
      <c r="B41" s="17" t="n">
        <v>5712</v>
      </c>
      <c r="C41" s="18">
        <f>(5021.0/B41*100)</f>
        <v/>
      </c>
      <c r="D41" s="19" t="n">
        <v>691</v>
      </c>
      <c r="E41" s="18" t="n">
        <v>25.78061963</v>
      </c>
      <c r="F41" s="20" t="n">
        <v>1.84815728</v>
      </c>
      <c r="G41" s="18" t="n">
        <v>73.81630963000001</v>
      </c>
      <c r="H41" s="20" t="n">
        <v>1.88618114</v>
      </c>
      <c r="I41" s="18" t="s">
        <v>349</v>
      </c>
      <c r="J41" s="20" t="s">
        <v>349</v>
      </c>
      <c r="K41" s="18" t="n">
        <v>0</v>
      </c>
      <c r="L41" s="20" t="n">
        <v>0</v>
      </c>
      <c r="M41" s="18" t="n">
        <v>0</v>
      </c>
      <c r="N41" s="20" t="n">
        <v>0</v>
      </c>
      <c r="O41" s="18" t="n">
        <v>0</v>
      </c>
      <c r="P41" s="20" t="n">
        <v>0</v>
      </c>
      <c r="Q41" s="18" t="n">
        <v>0.40307074</v>
      </c>
      <c r="R41" s="20" t="n">
        <v>0.21761365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(8617.0/B48*100)</f>
        <v/>
      </c>
      <c r="D48" s="19" t="n">
        <v>1224</v>
      </c>
      <c r="E48" s="18" t="n">
        <v>22.18833216</v>
      </c>
      <c r="F48" s="20" t="n">
        <v>1.49878336</v>
      </c>
      <c r="G48" s="18" t="n">
        <v>77.15080001</v>
      </c>
      <c r="H48" s="20" t="n">
        <v>1.48404445</v>
      </c>
      <c r="I48" s="18" t="s">
        <v>349</v>
      </c>
      <c r="J48" s="20" t="s">
        <v>349</v>
      </c>
      <c r="K48" s="18" t="n">
        <v>0.29489247</v>
      </c>
      <c r="L48" s="20" t="n">
        <v>0.18863044</v>
      </c>
      <c r="M48" s="18" t="n">
        <v>0</v>
      </c>
      <c r="N48" s="20" t="n">
        <v>0</v>
      </c>
      <c r="O48" s="18" t="n">
        <v>0</v>
      </c>
      <c r="P48" s="20" t="n">
        <v>0</v>
      </c>
      <c r="Q48" s="18" t="n">
        <v>0.36597536</v>
      </c>
      <c r="R48" s="20" t="n">
        <v>0.21259458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(5088.0/B52*100)</f>
        <v/>
      </c>
      <c r="D52" s="19" t="n">
        <v>721</v>
      </c>
      <c r="E52" s="18" t="n">
        <v>26.99324325</v>
      </c>
      <c r="F52" s="20" t="n">
        <v>1.59071228</v>
      </c>
      <c r="G52" s="18" t="n">
        <v>71.8368437</v>
      </c>
      <c r="H52" s="20" t="n">
        <v>1.68052555</v>
      </c>
      <c r="I52" s="18" t="s">
        <v>349</v>
      </c>
      <c r="J52" s="20" t="s">
        <v>349</v>
      </c>
      <c r="K52" s="18" t="n">
        <v>0.39868212</v>
      </c>
      <c r="L52" s="20" t="n">
        <v>0.22641991</v>
      </c>
      <c r="M52" s="18" t="n">
        <v>0</v>
      </c>
      <c r="N52" s="20" t="n">
        <v>0</v>
      </c>
      <c r="O52" s="18" t="n">
        <v>0</v>
      </c>
      <c r="P52" s="20" t="n">
        <v>0</v>
      </c>
      <c r="Q52" s="18" t="n">
        <v>0.77123093</v>
      </c>
      <c r="R52" s="20" t="n">
        <v>0.34602838</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21.97051228</v>
      </c>
      <c r="F56" s="20" t="n">
        <v>1.518295</v>
      </c>
      <c r="G56" s="18" t="n">
        <v>77.76545147</v>
      </c>
      <c r="H56" s="20" t="n">
        <v>1.56691993</v>
      </c>
      <c r="I56" s="18" t="s">
        <v>349</v>
      </c>
      <c r="J56" s="20" t="s">
        <v>349</v>
      </c>
      <c r="K56" s="18" t="n">
        <v>0</v>
      </c>
      <c r="L56" s="20" t="n">
        <v>0</v>
      </c>
      <c r="M56" s="18" t="n">
        <v>0</v>
      </c>
      <c r="N56" s="20" t="n">
        <v>0</v>
      </c>
      <c r="O56" s="18" t="n">
        <v>0</v>
      </c>
      <c r="P56" s="20" t="n">
        <v>0</v>
      </c>
      <c r="Q56" s="18" t="n">
        <v>0.26403625</v>
      </c>
      <c r="R56" s="20" t="n">
        <v>0.19959812</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27.48919774</v>
      </c>
      <c r="F61" s="20" t="n">
        <v>1.56388342</v>
      </c>
      <c r="G61" s="18" t="n">
        <v>72.34142351</v>
      </c>
      <c r="H61" s="20" t="n">
        <v>1.54193604</v>
      </c>
      <c r="I61" s="18" t="s">
        <v>349</v>
      </c>
      <c r="J61" s="20" t="s">
        <v>349</v>
      </c>
      <c r="K61" s="18" t="n">
        <v>0</v>
      </c>
      <c r="L61" s="20" t="n">
        <v>0</v>
      </c>
      <c r="M61" s="18" t="n">
        <v>0</v>
      </c>
      <c r="N61" s="20" t="n">
        <v>0</v>
      </c>
      <c r="O61" s="18" t="n">
        <v>0</v>
      </c>
      <c r="P61" s="20" t="n">
        <v>0</v>
      </c>
      <c r="Q61" s="18" t="n">
        <v>0.16937875</v>
      </c>
      <c r="R61" s="20" t="n">
        <v>0.16196446</v>
      </c>
    </row>
    <row r="62" spans="1:18">
      <c r="A62" s="15" t="s">
        <v>404</v>
      </c>
      <c r="B62" s="17" t="n">
        <v>4476</v>
      </c>
      <c r="C62" s="18">
        <f>(3918.0/B62*100)</f>
        <v/>
      </c>
      <c r="D62" s="19" t="n">
        <v>558</v>
      </c>
      <c r="E62" s="18" t="n">
        <v>21.22137522</v>
      </c>
      <c r="F62" s="20" t="n">
        <v>1.73458781</v>
      </c>
      <c r="G62" s="18" t="n">
        <v>78.77862478</v>
      </c>
      <c r="H62" s="20" t="n">
        <v>1.73458781</v>
      </c>
      <c r="I62" s="18" t="s">
        <v>349</v>
      </c>
      <c r="J62" s="20" t="s">
        <v>349</v>
      </c>
      <c r="K62" s="18" t="n">
        <v>0</v>
      </c>
      <c r="L62" s="20" t="n">
        <v>0</v>
      </c>
      <c r="M62" s="18" t="n">
        <v>0</v>
      </c>
      <c r="N62" s="20" t="n">
        <v>0</v>
      </c>
      <c r="O62" s="18" t="n">
        <v>0</v>
      </c>
      <c r="P62" s="20" t="n">
        <v>0</v>
      </c>
      <c r="Q62" s="18" t="n">
        <v>0</v>
      </c>
      <c r="R62" s="20" t="n">
        <v>0</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(4971.0/B66*100)</f>
        <v/>
      </c>
      <c r="D66" s="19" t="n">
        <v>694</v>
      </c>
      <c r="E66" s="18" t="n">
        <v>38.44306786</v>
      </c>
      <c r="F66" s="20" t="n">
        <v>1.93988977</v>
      </c>
      <c r="G66" s="18" t="n">
        <v>58.88010736</v>
      </c>
      <c r="H66" s="20" t="n">
        <v>1.99526048</v>
      </c>
      <c r="I66" s="18" t="s">
        <v>349</v>
      </c>
      <c r="J66" s="20" t="s">
        <v>349</v>
      </c>
      <c r="K66" s="18" t="n">
        <v>0.49819253</v>
      </c>
      <c r="L66" s="20" t="n">
        <v>0.25133241</v>
      </c>
      <c r="M66" s="18" t="n">
        <v>0</v>
      </c>
      <c r="N66" s="20" t="n">
        <v>0</v>
      </c>
      <c r="O66" s="18" t="n">
        <v>0</v>
      </c>
      <c r="P66" s="20" t="n">
        <v>0</v>
      </c>
      <c r="Q66" s="18" t="n">
        <v>2.17863226</v>
      </c>
      <c r="R66" s="20" t="n">
        <v>0.59224358</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(10055.0/B68*100)</f>
        <v/>
      </c>
      <c r="D68" s="19" t="n">
        <v>2028</v>
      </c>
      <c r="E68" s="18" t="n">
        <v>34.72016733</v>
      </c>
      <c r="F68" s="20" t="n">
        <v>1.15545535</v>
      </c>
      <c r="G68" s="18" t="n">
        <v>63.66485187</v>
      </c>
      <c r="H68" s="20" t="n">
        <v>1.15419542</v>
      </c>
      <c r="I68" s="18" t="s">
        <v>349</v>
      </c>
      <c r="J68" s="20" t="s">
        <v>349</v>
      </c>
      <c r="K68" s="18" t="n">
        <v>0.77877517</v>
      </c>
      <c r="L68" s="20" t="n">
        <v>0.16522606</v>
      </c>
      <c r="M68" s="18" t="n">
        <v>0</v>
      </c>
      <c r="N68" s="20" t="n">
        <v>0</v>
      </c>
      <c r="O68" s="18" t="n">
        <v>0</v>
      </c>
      <c r="P68" s="20" t="n">
        <v>0</v>
      </c>
      <c r="Q68" s="18" t="n">
        <v>0.83620564</v>
      </c>
      <c r="R68" s="20" t="n">
        <v>0.18712325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(5262.0/B70*100)</f>
        <v/>
      </c>
      <c r="D70" s="19" t="n">
        <v>774</v>
      </c>
      <c r="E70" s="18" t="n">
        <v>25.07229722</v>
      </c>
      <c r="F70" s="20" t="n">
        <v>2.00986983</v>
      </c>
      <c r="G70" s="18" t="n">
        <v>74.50154024</v>
      </c>
      <c r="H70" s="20" t="n">
        <v>2.12338149</v>
      </c>
      <c r="I70" s="18" t="s">
        <v>349</v>
      </c>
      <c r="J70" s="20" t="s">
        <v>349</v>
      </c>
      <c r="K70" s="18" t="n">
        <v>0</v>
      </c>
      <c r="L70" s="20" t="n">
        <v>0</v>
      </c>
      <c r="M70" s="18" t="n">
        <v>0</v>
      </c>
      <c r="N70" s="20" t="n">
        <v>0</v>
      </c>
      <c r="O70" s="18" t="n">
        <v>0</v>
      </c>
      <c r="P70" s="20" t="n">
        <v>0</v>
      </c>
      <c r="Q70" s="18" t="n">
        <v>0.42616254</v>
      </c>
      <c r="R70" s="20" t="n">
        <v>0.33165251</v>
      </c>
    </row>
    <row r="71" spans="1:18">
      <c r="A71" s="15" t="s">
        <v>413</v>
      </c>
      <c r="B71" s="17" t="n">
        <v>6115</v>
      </c>
      <c r="C71" s="18">
        <f>(5351.0/B71*100)</f>
        <v/>
      </c>
      <c r="D71" s="19" t="n">
        <v>764</v>
      </c>
      <c r="E71" s="18" t="n">
        <v>13.25208922</v>
      </c>
      <c r="F71" s="20" t="n">
        <v>1.14912728</v>
      </c>
      <c r="G71" s="18" t="n">
        <v>86.49494876999999</v>
      </c>
      <c r="H71" s="20" t="n">
        <v>1.16945746</v>
      </c>
      <c r="I71" s="18" t="s">
        <v>349</v>
      </c>
      <c r="J71" s="20" t="s">
        <v>349</v>
      </c>
      <c r="K71" s="18" t="n">
        <v>0.12377069</v>
      </c>
      <c r="L71" s="20" t="n">
        <v>0.12470485</v>
      </c>
      <c r="M71" s="18" t="n">
        <v>0</v>
      </c>
      <c r="N71" s="20" t="n">
        <v>0</v>
      </c>
      <c r="O71" s="18" t="n">
        <v>0</v>
      </c>
      <c r="P71" s="20" t="n">
        <v>0</v>
      </c>
      <c r="Q71" s="18" t="n">
        <v>0.12919131</v>
      </c>
      <c r="R71" s="20" t="n">
        <v>0.12923256</v>
      </c>
    </row>
    <row r="72" spans="1:18">
      <c r="A72" s="15" t="s">
        <v>414</v>
      </c>
      <c r="B72" s="17" t="n">
        <v>7708</v>
      </c>
      <c r="C72" s="18">
        <f>(6756.0/B72*100)</f>
        <v/>
      </c>
      <c r="D72" s="19" t="n">
        <v>952</v>
      </c>
      <c r="E72" s="18" t="n">
        <v>21.8932716</v>
      </c>
      <c r="F72" s="20" t="n">
        <v>1.44449528</v>
      </c>
      <c r="G72" s="18" t="n">
        <v>77.34710317</v>
      </c>
      <c r="H72" s="20" t="n">
        <v>1.40196965</v>
      </c>
      <c r="I72" s="18" t="s">
        <v>349</v>
      </c>
      <c r="J72" s="20" t="s">
        <v>349</v>
      </c>
      <c r="K72" s="18" t="n">
        <v>0.14331937</v>
      </c>
      <c r="L72" s="20" t="n">
        <v>0.143633</v>
      </c>
      <c r="M72" s="18" t="n">
        <v>0</v>
      </c>
      <c r="N72" s="20" t="n">
        <v>0</v>
      </c>
      <c r="O72" s="18" t="n">
        <v>0</v>
      </c>
      <c r="P72" s="20" t="n">
        <v>0</v>
      </c>
      <c r="Q72" s="18" t="n">
        <v>0.61630586</v>
      </c>
      <c r="R72" s="20" t="n">
        <v>0.24492569</v>
      </c>
    </row>
    <row r="73" spans="1:18">
      <c r="A73" s="15" t="s">
        <v>415</v>
      </c>
      <c r="B73" s="17" t="n">
        <v>8249</v>
      </c>
      <c r="C73" s="18">
        <f>(7225.0/B73*100)</f>
        <v/>
      </c>
      <c r="D73" s="19" t="n">
        <v>1024</v>
      </c>
      <c r="E73" s="18" t="n">
        <v>43.863816</v>
      </c>
      <c r="F73" s="20" t="n">
        <v>2.00632417</v>
      </c>
      <c r="G73" s="18" t="n">
        <v>55.869641</v>
      </c>
      <c r="H73" s="20" t="n">
        <v>2.03418204</v>
      </c>
      <c r="I73" s="18" t="s">
        <v>349</v>
      </c>
      <c r="J73" s="20" t="s">
        <v>349</v>
      </c>
      <c r="K73" s="18" t="n">
        <v>0</v>
      </c>
      <c r="L73" s="20" t="n">
        <v>0</v>
      </c>
      <c r="M73" s="18" t="n">
        <v>0</v>
      </c>
      <c r="N73" s="20" t="n">
        <v>0</v>
      </c>
      <c r="O73" s="18" t="n">
        <v>0</v>
      </c>
      <c r="P73" s="20" t="n">
        <v>0</v>
      </c>
      <c r="Q73" s="18" t="n">
        <v>0.266543</v>
      </c>
      <c r="R73" s="20" t="n">
        <v>0.18722109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(7749.0/B81*100)</f>
        <v/>
      </c>
      <c r="D81" s="19" t="n">
        <v>1112</v>
      </c>
      <c r="E81" s="18" t="n">
        <v>34.69704237</v>
      </c>
      <c r="F81" s="20" t="n">
        <v>1.67639914</v>
      </c>
      <c r="G81" s="18" t="n">
        <v>64.87749742</v>
      </c>
      <c r="H81" s="20" t="n">
        <v>1.72823287</v>
      </c>
      <c r="I81" s="18" t="s">
        <v>349</v>
      </c>
      <c r="J81" s="20" t="s">
        <v>349</v>
      </c>
      <c r="K81" s="18" t="n">
        <v>0.00917255</v>
      </c>
      <c r="L81" s="20" t="n">
        <v>0.31094147</v>
      </c>
      <c r="M81" s="18" t="n">
        <v>0</v>
      </c>
      <c r="N81" s="20" t="n">
        <v>0</v>
      </c>
      <c r="O81" s="18" t="n">
        <v>0</v>
      </c>
      <c r="P81" s="20" t="n">
        <v>0</v>
      </c>
      <c r="Q81" s="18" t="n">
        <v>0.41628767</v>
      </c>
      <c r="R81" s="20" t="n">
        <v>0.24267035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(12762.0/B7*100)</f>
        <v/>
      </c>
      <c r="D7" s="19" t="n">
        <v>1768</v>
      </c>
      <c r="E7" s="18" t="n">
        <v>55.5299086</v>
      </c>
      <c r="F7" s="20" t="n">
        <v>1.33540118</v>
      </c>
      <c r="G7" s="18" t="n">
        <v>35.98114284</v>
      </c>
      <c r="H7" s="20" t="n">
        <v>1.2519571</v>
      </c>
      <c r="I7" s="18" t="s">
        <v>349</v>
      </c>
      <c r="J7" s="20" t="s">
        <v>349</v>
      </c>
      <c r="K7" s="18" t="n">
        <v>0.3070799</v>
      </c>
      <c r="L7" s="20" t="n">
        <v>0.15426211</v>
      </c>
      <c r="M7" s="18" t="n">
        <v>0.22597154</v>
      </c>
      <c r="N7" s="20" t="n">
        <v>0.13545054</v>
      </c>
      <c r="O7" s="18" t="n">
        <v>0</v>
      </c>
      <c r="P7" s="20" t="n">
        <v>0</v>
      </c>
      <c r="Q7" s="18" t="n">
        <v>7.95589711</v>
      </c>
      <c r="R7" s="20" t="n">
        <v>0.84907305</v>
      </c>
    </row>
    <row r="8" spans="1:18">
      <c r="A8" s="15" t="s">
        <v>350</v>
      </c>
      <c r="B8" s="17" t="n">
        <v>7007</v>
      </c>
      <c r="C8" s="18">
        <f>(6169.0/B8*100)</f>
        <v/>
      </c>
      <c r="D8" s="19" t="n">
        <v>838</v>
      </c>
      <c r="E8" s="18" t="n">
        <v>57.73156576</v>
      </c>
      <c r="F8" s="20" t="n">
        <v>2.05293996</v>
      </c>
      <c r="G8" s="18" t="n">
        <v>31.27052208</v>
      </c>
      <c r="H8" s="20" t="n">
        <v>1.8562427</v>
      </c>
      <c r="I8" s="18" t="s">
        <v>349</v>
      </c>
      <c r="J8" s="20" t="s">
        <v>349</v>
      </c>
      <c r="K8" s="18" t="n">
        <v>0</v>
      </c>
      <c r="L8" s="20" t="n">
        <v>0</v>
      </c>
      <c r="M8" s="18" t="n">
        <v>0</v>
      </c>
      <c r="N8" s="20" t="n">
        <v>0</v>
      </c>
      <c r="O8" s="18" t="n">
        <v>0</v>
      </c>
      <c r="P8" s="20" t="n">
        <v>0</v>
      </c>
      <c r="Q8" s="18" t="n">
        <v>10.99791216</v>
      </c>
      <c r="R8" s="20" t="n">
        <v>1.26695204</v>
      </c>
    </row>
    <row r="9" spans="1:18">
      <c r="A9" s="15" t="s">
        <v>351</v>
      </c>
      <c r="B9" s="17" t="n">
        <v>9651</v>
      </c>
      <c r="C9" s="18">
        <f>(8475.0/B9*100)</f>
        <v/>
      </c>
      <c r="D9" s="19" t="n">
        <v>1176</v>
      </c>
      <c r="E9" s="18" t="n">
        <v>41.86054858</v>
      </c>
      <c r="F9" s="20" t="n">
        <v>1.41896786</v>
      </c>
      <c r="G9" s="18" t="n">
        <v>46.43953928</v>
      </c>
      <c r="H9" s="20" t="n">
        <v>1.42059924</v>
      </c>
      <c r="I9" s="18" t="s">
        <v>349</v>
      </c>
      <c r="J9" s="20" t="s">
        <v>349</v>
      </c>
      <c r="K9" s="18" t="n">
        <v>0.44053828</v>
      </c>
      <c r="L9" s="20" t="n">
        <v>0.20415534</v>
      </c>
      <c r="M9" s="18" t="n">
        <v>0.47614989</v>
      </c>
      <c r="N9" s="20" t="n">
        <v>0.22070751</v>
      </c>
      <c r="O9" s="18" t="n">
        <v>0</v>
      </c>
      <c r="P9" s="20" t="n">
        <v>0</v>
      </c>
      <c r="Q9" s="18" t="n">
        <v>10.78322397</v>
      </c>
      <c r="R9" s="20" t="n">
        <v>1.00525168</v>
      </c>
    </row>
    <row r="10" spans="1:18">
      <c r="A10" s="15" t="s">
        <v>352</v>
      </c>
      <c r="B10" s="17" t="n">
        <v>20058</v>
      </c>
      <c r="C10" s="18">
        <f>(17600.0/B10*100)</f>
        <v/>
      </c>
      <c r="D10" s="19" t="n">
        <v>2458</v>
      </c>
      <c r="E10" s="18" t="n">
        <v>45.78002264</v>
      </c>
      <c r="F10" s="20" t="n">
        <v>1.28153142</v>
      </c>
      <c r="G10" s="18" t="n">
        <v>47.2544125</v>
      </c>
      <c r="H10" s="20" t="n">
        <v>1.53698301</v>
      </c>
      <c r="I10" s="18" t="s">
        <v>349</v>
      </c>
      <c r="J10" s="20" t="s">
        <v>349</v>
      </c>
      <c r="K10" s="18" t="n">
        <v>0.30294312</v>
      </c>
      <c r="L10" s="20" t="n">
        <v>0.15521847</v>
      </c>
      <c r="M10" s="18" t="n">
        <v>0.29737387</v>
      </c>
      <c r="N10" s="20" t="n">
        <v>0.16631236</v>
      </c>
      <c r="O10" s="18" t="n">
        <v>0</v>
      </c>
      <c r="P10" s="20" t="n">
        <v>0</v>
      </c>
      <c r="Q10" s="18" t="n">
        <v>6.36524786</v>
      </c>
      <c r="R10" s="20" t="n">
        <v>0.79001537</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(6069.0/B12*100)</f>
        <v/>
      </c>
      <c r="D12" s="19" t="n">
        <v>825</v>
      </c>
      <c r="E12" s="18" t="n">
        <v>58.25174921</v>
      </c>
      <c r="F12" s="20" t="n">
        <v>2.26737266</v>
      </c>
      <c r="G12" s="18" t="n">
        <v>31.71261173</v>
      </c>
      <c r="H12" s="20" t="n">
        <v>1.91789856</v>
      </c>
      <c r="I12" s="18" t="s">
        <v>349</v>
      </c>
      <c r="J12" s="20" t="s">
        <v>349</v>
      </c>
      <c r="K12" s="18" t="n">
        <v>0</v>
      </c>
      <c r="L12" s="20" t="n">
        <v>0</v>
      </c>
      <c r="M12" s="18" t="n">
        <v>0.24003187</v>
      </c>
      <c r="N12" s="20" t="n">
        <v>0.23678883</v>
      </c>
      <c r="O12" s="18" t="n">
        <v>0</v>
      </c>
      <c r="P12" s="20" t="n">
        <v>0</v>
      </c>
      <c r="Q12" s="18" t="n">
        <v>9.79560719</v>
      </c>
      <c r="R12" s="20" t="n">
        <v>1.31399991</v>
      </c>
    </row>
    <row r="13" spans="1:18">
      <c r="A13" s="15" t="s">
        <v>355</v>
      </c>
      <c r="B13" s="17" t="n">
        <v>7161</v>
      </c>
      <c r="C13" s="18">
        <f>(6322.0/B13*100)</f>
        <v/>
      </c>
      <c r="D13" s="19" t="n">
        <v>839</v>
      </c>
      <c r="E13" s="18" t="n">
        <v>17.37386773</v>
      </c>
      <c r="F13" s="20" t="n">
        <v>1.70606009</v>
      </c>
      <c r="G13" s="18" t="n">
        <v>38.61771137</v>
      </c>
      <c r="H13" s="20" t="n">
        <v>2.04899947</v>
      </c>
      <c r="I13" s="18" t="s">
        <v>349</v>
      </c>
      <c r="J13" s="20" t="s">
        <v>349</v>
      </c>
      <c r="K13" s="18" t="n">
        <v>0</v>
      </c>
      <c r="L13" s="20" t="n">
        <v>0</v>
      </c>
      <c r="M13" s="18" t="n">
        <v>43.69629862</v>
      </c>
      <c r="N13" s="20" t="n">
        <v>2.17272661</v>
      </c>
      <c r="O13" s="18" t="n">
        <v>0</v>
      </c>
      <c r="P13" s="20" t="n">
        <v>0</v>
      </c>
      <c r="Q13" s="18" t="n">
        <v>0.31212228</v>
      </c>
      <c r="R13" s="20" t="n">
        <v>0.21165533</v>
      </c>
    </row>
    <row r="14" spans="1:18">
      <c r="A14" s="15" t="s">
        <v>356</v>
      </c>
      <c r="B14" s="17" t="n">
        <v>5587</v>
      </c>
      <c r="C14" s="18">
        <f>(4873.0/B14*100)</f>
        <v/>
      </c>
      <c r="D14" s="19" t="n">
        <v>714</v>
      </c>
      <c r="E14" s="18" t="n">
        <v>42.36421394</v>
      </c>
      <c r="F14" s="20" t="n">
        <v>2.10543826</v>
      </c>
      <c r="G14" s="18" t="n">
        <v>50.07206743</v>
      </c>
      <c r="H14" s="20" t="n">
        <v>2.02003631</v>
      </c>
      <c r="I14" s="18" t="s">
        <v>349</v>
      </c>
      <c r="J14" s="20" t="s">
        <v>349</v>
      </c>
      <c r="K14" s="18" t="n">
        <v>0.1112955</v>
      </c>
      <c r="L14" s="20" t="n">
        <v>0.11099872</v>
      </c>
      <c r="M14" s="18" t="n">
        <v>0</v>
      </c>
      <c r="N14" s="20" t="n">
        <v>0</v>
      </c>
      <c r="O14" s="18" t="n">
        <v>0</v>
      </c>
      <c r="P14" s="20" t="n">
        <v>0</v>
      </c>
      <c r="Q14" s="18" t="n">
        <v>7.45242313</v>
      </c>
      <c r="R14" s="20" t="n">
        <v>1.11682804</v>
      </c>
    </row>
    <row r="15" spans="1:18">
      <c r="A15" s="15" t="s">
        <v>357</v>
      </c>
      <c r="B15" s="17" t="n">
        <v>5882</v>
      </c>
      <c r="C15" s="18">
        <f>(5153.0/B15*100)</f>
        <v/>
      </c>
      <c r="D15" s="19" t="n">
        <v>729</v>
      </c>
      <c r="E15" s="18" t="n">
        <v>48.62007108</v>
      </c>
      <c r="F15" s="20" t="n">
        <v>1.67103227</v>
      </c>
      <c r="G15" s="18" t="n">
        <v>42.60663917</v>
      </c>
      <c r="H15" s="20" t="n">
        <v>1.86915396</v>
      </c>
      <c r="I15" s="18" t="s">
        <v>349</v>
      </c>
      <c r="J15" s="20" t="s">
        <v>349</v>
      </c>
      <c r="K15" s="18" t="n">
        <v>0.40754689</v>
      </c>
      <c r="L15" s="20" t="n">
        <v>0.2303061</v>
      </c>
      <c r="M15" s="18" t="n">
        <v>0</v>
      </c>
      <c r="N15" s="20" t="n">
        <v>0</v>
      </c>
      <c r="O15" s="18" t="n">
        <v>0</v>
      </c>
      <c r="P15" s="20" t="n">
        <v>0</v>
      </c>
      <c r="Q15" s="18" t="n">
        <v>8.36574285</v>
      </c>
      <c r="R15" s="20" t="n">
        <v>1.01158197</v>
      </c>
    </row>
    <row r="16" spans="1:18">
      <c r="A16" s="15" t="s">
        <v>358</v>
      </c>
      <c r="B16" s="17" t="n">
        <v>6108</v>
      </c>
      <c r="C16" s="18">
        <f>(5346.0/B16*100)</f>
        <v/>
      </c>
      <c r="D16" s="19" t="n">
        <v>762</v>
      </c>
      <c r="E16" s="18" t="n">
        <v>40.96842945</v>
      </c>
      <c r="F16" s="20" t="n">
        <v>1.67842257</v>
      </c>
      <c r="G16" s="18" t="n">
        <v>40.81388695</v>
      </c>
      <c r="H16" s="20" t="n">
        <v>1.54283603</v>
      </c>
      <c r="I16" s="18" t="s">
        <v>349</v>
      </c>
      <c r="J16" s="20" t="s">
        <v>349</v>
      </c>
      <c r="K16" s="18" t="n">
        <v>0.27522096</v>
      </c>
      <c r="L16" s="20" t="n">
        <v>0.20565882</v>
      </c>
      <c r="M16" s="18" t="n">
        <v>0</v>
      </c>
      <c r="N16" s="20" t="n">
        <v>0</v>
      </c>
      <c r="O16" s="18" t="n">
        <v>0</v>
      </c>
      <c r="P16" s="20" t="n">
        <v>0</v>
      </c>
      <c r="Q16" s="18" t="n">
        <v>17.94246264</v>
      </c>
      <c r="R16" s="20" t="n">
        <v>1.32537541</v>
      </c>
    </row>
    <row r="17" spans="1:18">
      <c r="A17" s="15" t="s">
        <v>359</v>
      </c>
      <c r="B17" s="17" t="n">
        <v>6504</v>
      </c>
      <c r="C17" s="18">
        <f>(5705.0/B17*100)</f>
        <v/>
      </c>
      <c r="D17" s="19" t="n">
        <v>799</v>
      </c>
      <c r="E17" s="18" t="n">
        <v>49.10229133</v>
      </c>
      <c r="F17" s="20" t="n">
        <v>1.66466145</v>
      </c>
      <c r="G17" s="18" t="n">
        <v>39.70443165</v>
      </c>
      <c r="H17" s="20" t="n">
        <v>1.67121997</v>
      </c>
      <c r="I17" s="18" t="s">
        <v>349</v>
      </c>
      <c r="J17" s="20" t="s">
        <v>349</v>
      </c>
      <c r="K17" s="18" t="n">
        <v>0.37316529</v>
      </c>
      <c r="L17" s="20" t="n">
        <v>0.21551681</v>
      </c>
      <c r="M17" s="18" t="n">
        <v>0</v>
      </c>
      <c r="N17" s="20" t="n">
        <v>0</v>
      </c>
      <c r="O17" s="18" t="n">
        <v>0</v>
      </c>
      <c r="P17" s="20" t="n">
        <v>0</v>
      </c>
      <c r="Q17" s="18" t="n">
        <v>10.82011172</v>
      </c>
      <c r="R17" s="20" t="n">
        <v>1.00592487</v>
      </c>
    </row>
    <row r="18" spans="1:18">
      <c r="A18" s="15" t="s">
        <v>360</v>
      </c>
      <c r="B18" s="17" t="n">
        <v>5532</v>
      </c>
      <c r="C18" s="18">
        <f>(4842.0/B18*100)</f>
        <v/>
      </c>
      <c r="D18" s="19" t="n">
        <v>690</v>
      </c>
      <c r="E18" s="18" t="n">
        <v>50.92732771</v>
      </c>
      <c r="F18" s="20" t="n">
        <v>2.31342192</v>
      </c>
      <c r="G18" s="18" t="n">
        <v>37.27732426</v>
      </c>
      <c r="H18" s="20" t="n">
        <v>2.1702035</v>
      </c>
      <c r="I18" s="18" t="s">
        <v>349</v>
      </c>
      <c r="J18" s="20" t="s">
        <v>349</v>
      </c>
      <c r="K18" s="18" t="n">
        <v>0.57642017</v>
      </c>
      <c r="L18" s="20" t="n">
        <v>0.41910274</v>
      </c>
      <c r="M18" s="18" t="n">
        <v>0.25183123</v>
      </c>
      <c r="N18" s="20" t="n">
        <v>0.15662766</v>
      </c>
      <c r="O18" s="18" t="n">
        <v>0</v>
      </c>
      <c r="P18" s="20" t="n">
        <v>0</v>
      </c>
      <c r="Q18" s="18" t="n">
        <v>10.96709663</v>
      </c>
      <c r="R18" s="20" t="n">
        <v>1.51974234</v>
      </c>
    </row>
    <row r="19" spans="1:18">
      <c r="A19" s="15" t="s">
        <v>361</v>
      </c>
      <c r="B19" s="17" t="n">
        <v>5658</v>
      </c>
      <c r="C19" s="18">
        <f>(4988.0/B19*100)</f>
        <v/>
      </c>
      <c r="D19" s="19" t="n">
        <v>670</v>
      </c>
      <c r="E19" s="18" t="n">
        <v>56.73076609</v>
      </c>
      <c r="F19" s="20" t="n">
        <v>1.80872464</v>
      </c>
      <c r="G19" s="18" t="n">
        <v>33.82184367</v>
      </c>
      <c r="H19" s="20" t="n">
        <v>1.70982176</v>
      </c>
      <c r="I19" s="18" t="s">
        <v>349</v>
      </c>
      <c r="J19" s="20" t="s">
        <v>349</v>
      </c>
      <c r="K19" s="18" t="n">
        <v>0</v>
      </c>
      <c r="L19" s="20" t="n">
        <v>0</v>
      </c>
      <c r="M19" s="18" t="n">
        <v>0</v>
      </c>
      <c r="N19" s="20" t="n">
        <v>0</v>
      </c>
      <c r="O19" s="18" t="n">
        <v>0</v>
      </c>
      <c r="P19" s="20" t="n">
        <v>0</v>
      </c>
      <c r="Q19" s="18" t="n">
        <v>9.44739023</v>
      </c>
      <c r="R19" s="20" t="n">
        <v>1.27228884</v>
      </c>
    </row>
    <row r="20" spans="1:18">
      <c r="A20" s="15" t="s">
        <v>362</v>
      </c>
      <c r="B20" s="17" t="n">
        <v>3371</v>
      </c>
      <c r="C20" s="18">
        <f>(2953.0/B20*100)</f>
        <v/>
      </c>
      <c r="D20" s="19" t="n">
        <v>418</v>
      </c>
      <c r="E20" s="18" t="n">
        <v>45.49678736</v>
      </c>
      <c r="F20" s="20" t="n">
        <v>2.61088904</v>
      </c>
      <c r="G20" s="18" t="n">
        <v>42.8356866</v>
      </c>
      <c r="H20" s="20" t="n">
        <v>2.65819612</v>
      </c>
      <c r="I20" s="18" t="s">
        <v>349</v>
      </c>
      <c r="J20" s="20" t="s">
        <v>349</v>
      </c>
      <c r="K20" s="18" t="n">
        <v>0.9617304</v>
      </c>
      <c r="L20" s="20" t="n">
        <v>0.47478049</v>
      </c>
      <c r="M20" s="18" t="n">
        <v>0</v>
      </c>
      <c r="N20" s="20" t="n">
        <v>0</v>
      </c>
      <c r="O20" s="18" t="n">
        <v>0</v>
      </c>
      <c r="P20" s="20" t="n">
        <v>0</v>
      </c>
      <c r="Q20" s="18" t="n">
        <v>10.70579565</v>
      </c>
      <c r="R20" s="20" t="n">
        <v>1.41737514</v>
      </c>
    </row>
    <row r="21" spans="1:18">
      <c r="A21" s="15" t="s">
        <v>363</v>
      </c>
      <c r="B21" s="17" t="n">
        <v>5741</v>
      </c>
      <c r="C21" s="18">
        <f>(4800.0/B21*100)</f>
        <v/>
      </c>
      <c r="D21" s="19" t="n">
        <v>941</v>
      </c>
      <c r="E21" s="18" t="n">
        <v>44.94750758</v>
      </c>
      <c r="F21" s="20" t="n">
        <v>1.56979508</v>
      </c>
      <c r="G21" s="18" t="n">
        <v>46.83095997</v>
      </c>
      <c r="H21" s="20" t="n">
        <v>1.67385509</v>
      </c>
      <c r="I21" s="18" t="s">
        <v>349</v>
      </c>
      <c r="J21" s="20" t="s">
        <v>349</v>
      </c>
      <c r="K21" s="18" t="n">
        <v>0.24781081</v>
      </c>
      <c r="L21" s="20" t="n">
        <v>0.1816582</v>
      </c>
      <c r="M21" s="18" t="n">
        <v>0</v>
      </c>
      <c r="N21" s="20" t="n">
        <v>0</v>
      </c>
      <c r="O21" s="18" t="n">
        <v>0</v>
      </c>
      <c r="P21" s="20" t="n">
        <v>0</v>
      </c>
      <c r="Q21" s="18" t="n">
        <v>7.97372164</v>
      </c>
      <c r="R21" s="20" t="n">
        <v>0.89469749</v>
      </c>
    </row>
    <row r="22" spans="1:18">
      <c r="A22" s="15" t="s">
        <v>364</v>
      </c>
      <c r="B22" s="17" t="n">
        <v>6598</v>
      </c>
      <c r="C22" s="18">
        <f>(5751.0/B22*100)</f>
        <v/>
      </c>
      <c r="D22" s="19" t="n">
        <v>847</v>
      </c>
      <c r="E22" s="18" t="n">
        <v>50.67906462</v>
      </c>
      <c r="F22" s="20" t="n">
        <v>1.74402071</v>
      </c>
      <c r="G22" s="18" t="n">
        <v>36.67832034</v>
      </c>
      <c r="H22" s="20" t="n">
        <v>1.78418075</v>
      </c>
      <c r="I22" s="18" t="s">
        <v>349</v>
      </c>
      <c r="J22" s="20" t="s">
        <v>349</v>
      </c>
      <c r="K22" s="18" t="n">
        <v>0.15803103</v>
      </c>
      <c r="L22" s="20" t="n">
        <v>0.13986305</v>
      </c>
      <c r="M22" s="18" t="n">
        <v>0</v>
      </c>
      <c r="N22" s="20" t="n">
        <v>0</v>
      </c>
      <c r="O22" s="18" t="n">
        <v>0</v>
      </c>
      <c r="P22" s="20" t="n">
        <v>0</v>
      </c>
      <c r="Q22" s="18" t="n">
        <v>12.48458401</v>
      </c>
      <c r="R22" s="20" t="n">
        <v>1.28940254</v>
      </c>
    </row>
    <row r="23" spans="1:18">
      <c r="A23" s="15" t="s">
        <v>365</v>
      </c>
      <c r="B23" s="17" t="n">
        <v>11583</v>
      </c>
      <c r="C23" s="18">
        <f>(10168.0/B23*100)</f>
        <v/>
      </c>
      <c r="D23" s="19" t="n">
        <v>1415</v>
      </c>
      <c r="E23" s="18" t="n">
        <v>48.53043791</v>
      </c>
      <c r="F23" s="20" t="n">
        <v>2.02938317</v>
      </c>
      <c r="G23" s="18" t="n">
        <v>33.76277149</v>
      </c>
      <c r="H23" s="20" t="n">
        <v>1.65631065</v>
      </c>
      <c r="I23" s="18" t="s">
        <v>349</v>
      </c>
      <c r="J23" s="20" t="s">
        <v>349</v>
      </c>
      <c r="K23" s="18" t="n">
        <v>0.21529776</v>
      </c>
      <c r="L23" s="20" t="n">
        <v>0.16444312</v>
      </c>
      <c r="M23" s="18" t="n">
        <v>0</v>
      </c>
      <c r="N23" s="20" t="n">
        <v>0</v>
      </c>
      <c r="O23" s="18" t="n">
        <v>0</v>
      </c>
      <c r="P23" s="20" t="n">
        <v>0</v>
      </c>
      <c r="Q23" s="18" t="n">
        <v>17.49149284</v>
      </c>
      <c r="R23" s="20" t="n">
        <v>1.47787807</v>
      </c>
    </row>
    <row r="24" spans="1:18">
      <c r="A24" s="15" t="s">
        <v>366</v>
      </c>
      <c r="B24" s="17" t="n">
        <v>6647</v>
      </c>
      <c r="C24" s="18">
        <f>(5847.0/B24*100)</f>
        <v/>
      </c>
      <c r="D24" s="19" t="n">
        <v>800</v>
      </c>
      <c r="E24" s="18" t="n">
        <v>57.72650879</v>
      </c>
      <c r="F24" s="20" t="n">
        <v>1.97246409</v>
      </c>
      <c r="G24" s="18" t="n">
        <v>33.1349058</v>
      </c>
      <c r="H24" s="20" t="n">
        <v>1.78834213</v>
      </c>
      <c r="I24" s="18" t="s">
        <v>349</v>
      </c>
      <c r="J24" s="20" t="s">
        <v>349</v>
      </c>
      <c r="K24" s="18" t="n">
        <v>0.22227537</v>
      </c>
      <c r="L24" s="20" t="n">
        <v>0.15877041</v>
      </c>
      <c r="M24" s="18" t="n">
        <v>0</v>
      </c>
      <c r="N24" s="20" t="n">
        <v>0</v>
      </c>
      <c r="O24" s="18" t="n">
        <v>0</v>
      </c>
      <c r="P24" s="20" t="n">
        <v>0</v>
      </c>
      <c r="Q24" s="18" t="n">
        <v>8.916310040000001</v>
      </c>
      <c r="R24" s="20" t="n">
        <v>1.03415523</v>
      </c>
    </row>
    <row r="25" spans="1:18">
      <c r="A25" s="15" t="s">
        <v>367</v>
      </c>
      <c r="B25" s="17" t="n">
        <v>5581</v>
      </c>
      <c r="C25" s="18">
        <f>(4902.0/B25*100)</f>
        <v/>
      </c>
      <c r="D25" s="19" t="n">
        <v>679</v>
      </c>
      <c r="E25" s="18" t="n">
        <v>56.55574915</v>
      </c>
      <c r="F25" s="20" t="n">
        <v>1.87865211</v>
      </c>
      <c r="G25" s="18" t="n">
        <v>36.56327448</v>
      </c>
      <c r="H25" s="20" t="n">
        <v>1.87718077</v>
      </c>
      <c r="I25" s="18" t="s">
        <v>349</v>
      </c>
      <c r="J25" s="20" t="s">
        <v>349</v>
      </c>
      <c r="K25" s="18" t="n">
        <v>0</v>
      </c>
      <c r="L25" s="20" t="n">
        <v>0</v>
      </c>
      <c r="M25" s="18" t="n">
        <v>0</v>
      </c>
      <c r="N25" s="20" t="n">
        <v>0</v>
      </c>
      <c r="O25" s="18" t="n">
        <v>0</v>
      </c>
      <c r="P25" s="20" t="n">
        <v>0</v>
      </c>
      <c r="Q25" s="18" t="n">
        <v>6.88097637</v>
      </c>
      <c r="R25" s="20" t="n">
        <v>1.10735915</v>
      </c>
    </row>
    <row r="26" spans="1:18">
      <c r="A26" s="15" t="s">
        <v>368</v>
      </c>
      <c r="B26" s="17" t="n">
        <v>4869</v>
      </c>
      <c r="C26" s="18">
        <f>(4270.0/B26*100)</f>
        <v/>
      </c>
      <c r="D26" s="19" t="n">
        <v>599</v>
      </c>
      <c r="E26" s="18" t="n">
        <v>60.49968938</v>
      </c>
      <c r="F26" s="20" t="n">
        <v>2.27954281</v>
      </c>
      <c r="G26" s="18" t="n">
        <v>32.29501504</v>
      </c>
      <c r="H26" s="20" t="n">
        <v>2.17891686</v>
      </c>
      <c r="I26" s="18" t="s">
        <v>349</v>
      </c>
      <c r="J26" s="20" t="s">
        <v>349</v>
      </c>
      <c r="K26" s="18" t="n">
        <v>0</v>
      </c>
      <c r="L26" s="20" t="n">
        <v>0</v>
      </c>
      <c r="M26" s="18" t="n">
        <v>0.42284378</v>
      </c>
      <c r="N26" s="20" t="n">
        <v>0.24284022</v>
      </c>
      <c r="O26" s="18" t="n">
        <v>0</v>
      </c>
      <c r="P26" s="20" t="n">
        <v>0</v>
      </c>
      <c r="Q26" s="18" t="n">
        <v>6.7824518</v>
      </c>
      <c r="R26" s="20" t="n">
        <v>0.91132771</v>
      </c>
    </row>
    <row r="27" spans="1:18">
      <c r="A27" s="15" t="s">
        <v>369</v>
      </c>
      <c r="B27" s="17" t="n">
        <v>5299</v>
      </c>
      <c r="C27" s="18">
        <f>(4647.0/B27*100)</f>
        <v/>
      </c>
      <c r="D27" s="19" t="n">
        <v>652</v>
      </c>
      <c r="E27" s="18" t="n">
        <v>47.99845896</v>
      </c>
      <c r="F27" s="20" t="n">
        <v>1.85886371</v>
      </c>
      <c r="G27" s="18" t="n">
        <v>39.57585094</v>
      </c>
      <c r="H27" s="20" t="n">
        <v>1.8705603</v>
      </c>
      <c r="I27" s="18" t="s">
        <v>349</v>
      </c>
      <c r="J27" s="20" t="s">
        <v>349</v>
      </c>
      <c r="K27" s="18" t="n">
        <v>0.15736309</v>
      </c>
      <c r="L27" s="20" t="n">
        <v>0.15797955</v>
      </c>
      <c r="M27" s="18" t="n">
        <v>0</v>
      </c>
      <c r="N27" s="20" t="n">
        <v>0</v>
      </c>
      <c r="O27" s="18" t="n">
        <v>0</v>
      </c>
      <c r="P27" s="20" t="n">
        <v>0</v>
      </c>
      <c r="Q27" s="18" t="n">
        <v>12.26832701</v>
      </c>
      <c r="R27" s="20" t="n">
        <v>1.27260854</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44.75492812</v>
      </c>
      <c r="F29" s="20" t="n">
        <v>2.03817011</v>
      </c>
      <c r="G29" s="18" t="n">
        <v>49.93623782</v>
      </c>
      <c r="H29" s="20" t="n">
        <v>1.90964196</v>
      </c>
      <c r="I29" s="18" t="s">
        <v>349</v>
      </c>
      <c r="J29" s="20" t="s">
        <v>349</v>
      </c>
      <c r="K29" s="18" t="n">
        <v>0.7479467400000001</v>
      </c>
      <c r="L29" s="20" t="n">
        <v>0.33025805</v>
      </c>
      <c r="M29" s="18" t="n">
        <v>0</v>
      </c>
      <c r="N29" s="20" t="n">
        <v>0</v>
      </c>
      <c r="O29" s="18" t="n">
        <v>0</v>
      </c>
      <c r="P29" s="20" t="n">
        <v>0</v>
      </c>
      <c r="Q29" s="18" t="n">
        <v>4.56088733</v>
      </c>
      <c r="R29" s="20" t="n">
        <v>0.75753715</v>
      </c>
    </row>
    <row r="30" spans="1:18">
      <c r="A30" s="15" t="s">
        <v>372</v>
      </c>
      <c r="B30" s="17" t="n">
        <v>4520</v>
      </c>
      <c r="C30" s="18">
        <f>(3983.0/B30*100)</f>
        <v/>
      </c>
      <c r="D30" s="19" t="n">
        <v>537</v>
      </c>
      <c r="E30" s="18" t="n">
        <v>40.78027842</v>
      </c>
      <c r="F30" s="20" t="n">
        <v>2.07220249</v>
      </c>
      <c r="G30" s="18" t="n">
        <v>48.47325791</v>
      </c>
      <c r="H30" s="20" t="n">
        <v>2.21706348</v>
      </c>
      <c r="I30" s="18" t="s">
        <v>349</v>
      </c>
      <c r="J30" s="20" t="s">
        <v>349</v>
      </c>
      <c r="K30" s="18" t="n">
        <v>0</v>
      </c>
      <c r="L30" s="20" t="n">
        <v>0</v>
      </c>
      <c r="M30" s="18" t="n">
        <v>0</v>
      </c>
      <c r="N30" s="20" t="n">
        <v>0</v>
      </c>
      <c r="O30" s="18" t="n">
        <v>0</v>
      </c>
      <c r="P30" s="20" t="n">
        <v>0</v>
      </c>
      <c r="Q30" s="18" t="n">
        <v>10.74646367</v>
      </c>
      <c r="R30" s="20" t="n">
        <v>1.4641637</v>
      </c>
    </row>
    <row r="31" spans="1:18">
      <c r="A31" s="15" t="s">
        <v>373</v>
      </c>
      <c r="B31" s="17" t="n">
        <v>5456</v>
      </c>
      <c r="C31" s="18">
        <f>(4752.0/B31*100)</f>
        <v/>
      </c>
      <c r="D31" s="19" t="n">
        <v>704</v>
      </c>
      <c r="E31" s="18" t="n">
        <v>47.9340777</v>
      </c>
      <c r="F31" s="20" t="n">
        <v>2.06944584</v>
      </c>
      <c r="G31" s="18" t="n">
        <v>41.96117483</v>
      </c>
      <c r="H31" s="20" t="n">
        <v>2.28424567</v>
      </c>
      <c r="I31" s="18" t="s">
        <v>349</v>
      </c>
      <c r="J31" s="20" t="s">
        <v>349</v>
      </c>
      <c r="K31" s="18" t="n">
        <v>0.41888483</v>
      </c>
      <c r="L31" s="20" t="n">
        <v>0.13101758</v>
      </c>
      <c r="M31" s="18" t="n">
        <v>0</v>
      </c>
      <c r="N31" s="20" t="n">
        <v>0</v>
      </c>
      <c r="O31" s="18" t="n">
        <v>0</v>
      </c>
      <c r="P31" s="20" t="n">
        <v>0</v>
      </c>
      <c r="Q31" s="18" t="n">
        <v>9.68586264</v>
      </c>
      <c r="R31" s="20" t="n">
        <v>1.10289935</v>
      </c>
    </row>
    <row r="32" spans="1:18">
      <c r="A32" s="15" t="s">
        <v>374</v>
      </c>
      <c r="B32" s="17" t="n">
        <v>4478</v>
      </c>
      <c r="C32" s="18">
        <f>(3725.0/B32*100)</f>
        <v/>
      </c>
      <c r="D32" s="19" t="n">
        <v>753</v>
      </c>
      <c r="E32" s="18" t="n">
        <v>51.62019511</v>
      </c>
      <c r="F32" s="20" t="n">
        <v>1.80171402</v>
      </c>
      <c r="G32" s="18" t="n">
        <v>40.83328925</v>
      </c>
      <c r="H32" s="20" t="n">
        <v>1.85062698</v>
      </c>
      <c r="I32" s="18" t="s">
        <v>349</v>
      </c>
      <c r="J32" s="20" t="s">
        <v>349</v>
      </c>
      <c r="K32" s="18" t="n">
        <v>0.51391907</v>
      </c>
      <c r="L32" s="20" t="n">
        <v>0.24963953</v>
      </c>
      <c r="M32" s="18" t="n">
        <v>0.11567863</v>
      </c>
      <c r="N32" s="20" t="n">
        <v>0.11655456</v>
      </c>
      <c r="O32" s="18" t="n">
        <v>0</v>
      </c>
      <c r="P32" s="20" t="n">
        <v>0</v>
      </c>
      <c r="Q32" s="18" t="n">
        <v>6.91691793</v>
      </c>
      <c r="R32" s="20" t="n">
        <v>1.0807784</v>
      </c>
    </row>
    <row r="33" spans="1:18">
      <c r="A33" s="15" t="s">
        <v>375</v>
      </c>
      <c r="B33" s="17" t="n">
        <v>7325</v>
      </c>
      <c r="C33" s="18">
        <f>(6439.0/B33*100)</f>
        <v/>
      </c>
      <c r="D33" s="19" t="n">
        <v>886</v>
      </c>
      <c r="E33" s="18" t="n">
        <v>49.13609951</v>
      </c>
      <c r="F33" s="20" t="n">
        <v>2.16933473</v>
      </c>
      <c r="G33" s="18" t="n">
        <v>36.04929502</v>
      </c>
      <c r="H33" s="20" t="n">
        <v>2.21361568</v>
      </c>
      <c r="I33" s="18" t="s">
        <v>349</v>
      </c>
      <c r="J33" s="20" t="s">
        <v>349</v>
      </c>
      <c r="K33" s="18" t="n">
        <v>0.00860872</v>
      </c>
      <c r="L33" s="20" t="n">
        <v>0.008597270000000001</v>
      </c>
      <c r="M33" s="18" t="n">
        <v>0</v>
      </c>
      <c r="N33" s="20" t="n">
        <v>0</v>
      </c>
      <c r="O33" s="18" t="n">
        <v>0</v>
      </c>
      <c r="P33" s="20" t="n">
        <v>0</v>
      </c>
      <c r="Q33" s="18" t="n">
        <v>14.80599675</v>
      </c>
      <c r="R33" s="20" t="n">
        <v>1.64995329</v>
      </c>
    </row>
    <row r="34" spans="1:18">
      <c r="A34" s="15" t="s">
        <v>376</v>
      </c>
      <c r="B34" s="17" t="n">
        <v>6350</v>
      </c>
      <c r="C34" s="18">
        <f>(5583.0/B34*100)</f>
        <v/>
      </c>
      <c r="D34" s="19" t="n">
        <v>767</v>
      </c>
      <c r="E34" s="18" t="n">
        <v>68.79230554</v>
      </c>
      <c r="F34" s="20" t="n">
        <v>1.96963622</v>
      </c>
      <c r="G34" s="18" t="n">
        <v>25.14027256</v>
      </c>
      <c r="H34" s="20" t="n">
        <v>1.67714605</v>
      </c>
      <c r="I34" s="18" t="s">
        <v>349</v>
      </c>
      <c r="J34" s="20" t="s">
        <v>349</v>
      </c>
      <c r="K34" s="18" t="n">
        <v>0.21753217</v>
      </c>
      <c r="L34" s="20" t="n">
        <v>0.15679577</v>
      </c>
      <c r="M34" s="18" t="n">
        <v>0</v>
      </c>
      <c r="N34" s="20" t="n">
        <v>0</v>
      </c>
      <c r="O34" s="18" t="n">
        <v>0</v>
      </c>
      <c r="P34" s="20" t="n">
        <v>0</v>
      </c>
      <c r="Q34" s="18" t="n">
        <v>5.84988973</v>
      </c>
      <c r="R34" s="20" t="n">
        <v>1.02803291</v>
      </c>
    </row>
    <row r="35" spans="1:18">
      <c r="A35" s="15" t="s">
        <v>377</v>
      </c>
      <c r="B35" s="17" t="n">
        <v>6406</v>
      </c>
      <c r="C35" s="18">
        <f>(5607.0/B35*100)</f>
        <v/>
      </c>
      <c r="D35" s="19" t="n">
        <v>799</v>
      </c>
      <c r="E35" s="18" t="n">
        <v>54.64617044</v>
      </c>
      <c r="F35" s="20" t="n">
        <v>1.98778115</v>
      </c>
      <c r="G35" s="18" t="n">
        <v>35.72380316</v>
      </c>
      <c r="H35" s="20" t="n">
        <v>1.88751223</v>
      </c>
      <c r="I35" s="18" t="s">
        <v>349</v>
      </c>
      <c r="J35" s="20" t="s">
        <v>349</v>
      </c>
      <c r="K35" s="18" t="n">
        <v>0.05883644</v>
      </c>
      <c r="L35" s="20" t="n">
        <v>0.05942694</v>
      </c>
      <c r="M35" s="18" t="n">
        <v>0.20742733</v>
      </c>
      <c r="N35" s="20" t="n">
        <v>0.20716328</v>
      </c>
      <c r="O35" s="18" t="n">
        <v>0</v>
      </c>
      <c r="P35" s="20" t="n">
        <v>0</v>
      </c>
      <c r="Q35" s="18" t="n">
        <v>9.36376263</v>
      </c>
      <c r="R35" s="20" t="n">
        <v>1.10028683</v>
      </c>
    </row>
    <row r="36" spans="1:18">
      <c r="A36" s="15" t="s">
        <v>378</v>
      </c>
      <c r="B36" s="17" t="n">
        <v>6736</v>
      </c>
      <c r="C36" s="18">
        <f>(5917.0/B36*100)</f>
        <v/>
      </c>
      <c r="D36" s="19" t="n">
        <v>819</v>
      </c>
      <c r="E36" s="18" t="n">
        <v>39.66039552</v>
      </c>
      <c r="F36" s="20" t="n">
        <v>1.74289202</v>
      </c>
      <c r="G36" s="18" t="n">
        <v>46.67054389</v>
      </c>
      <c r="H36" s="20" t="n">
        <v>1.64403739</v>
      </c>
      <c r="I36" s="18" t="s">
        <v>349</v>
      </c>
      <c r="J36" s="20" t="s">
        <v>349</v>
      </c>
      <c r="K36" s="18" t="n">
        <v>0.49872989</v>
      </c>
      <c r="L36" s="20" t="n">
        <v>0.27075182</v>
      </c>
      <c r="M36" s="18" t="n">
        <v>0</v>
      </c>
      <c r="N36" s="20" t="n">
        <v>0</v>
      </c>
      <c r="O36" s="18" t="n">
        <v>0</v>
      </c>
      <c r="P36" s="20" t="n">
        <v>0</v>
      </c>
      <c r="Q36" s="18" t="n">
        <v>13.17033071</v>
      </c>
      <c r="R36" s="20" t="n">
        <v>1.11617241</v>
      </c>
    </row>
    <row r="37" spans="1:18">
      <c r="A37" s="15" t="s">
        <v>379</v>
      </c>
      <c r="B37" s="17" t="n">
        <v>5458</v>
      </c>
      <c r="C37" s="18">
        <f>(4797.0/B37*100)</f>
        <v/>
      </c>
      <c r="D37" s="19" t="n">
        <v>661</v>
      </c>
      <c r="E37" s="18" t="n">
        <v>38.93252969</v>
      </c>
      <c r="F37" s="20" t="n">
        <v>1.70834395</v>
      </c>
      <c r="G37" s="18" t="n">
        <v>45.06014416</v>
      </c>
      <c r="H37" s="20" t="n">
        <v>2.34992722</v>
      </c>
      <c r="I37" s="18" t="s">
        <v>349</v>
      </c>
      <c r="J37" s="20" t="s">
        <v>349</v>
      </c>
      <c r="K37" s="18" t="n">
        <v>0.35509495</v>
      </c>
      <c r="L37" s="20" t="n">
        <v>0.27478741</v>
      </c>
      <c r="M37" s="18" t="n">
        <v>0</v>
      </c>
      <c r="N37" s="20" t="n">
        <v>0</v>
      </c>
      <c r="O37" s="18" t="n">
        <v>0</v>
      </c>
      <c r="P37" s="20" t="n">
        <v>0</v>
      </c>
      <c r="Q37" s="18" t="n">
        <v>15.6522312</v>
      </c>
      <c r="R37" s="20" t="n">
        <v>1.71559548</v>
      </c>
    </row>
    <row r="38" spans="1:18">
      <c r="A38" s="15" t="s">
        <v>380</v>
      </c>
      <c r="B38" s="17" t="n">
        <v>5860</v>
      </c>
      <c r="C38" s="18">
        <f>(4905.0/B38*100)</f>
        <v/>
      </c>
      <c r="D38" s="19" t="n">
        <v>955</v>
      </c>
      <c r="E38" s="18" t="n">
        <v>47.66663695</v>
      </c>
      <c r="F38" s="20" t="n">
        <v>2.00173273</v>
      </c>
      <c r="G38" s="18" t="n">
        <v>44.91418949</v>
      </c>
      <c r="H38" s="20" t="n">
        <v>1.78061802</v>
      </c>
      <c r="I38" s="18" t="s">
        <v>349</v>
      </c>
      <c r="J38" s="20" t="s">
        <v>349</v>
      </c>
      <c r="K38" s="18" t="n">
        <v>0.11919892</v>
      </c>
      <c r="L38" s="20" t="n">
        <v>0.09494033</v>
      </c>
      <c r="M38" s="18" t="n">
        <v>0.28044352</v>
      </c>
      <c r="N38" s="20" t="n">
        <v>0.19942174</v>
      </c>
      <c r="O38" s="18" t="n">
        <v>0</v>
      </c>
      <c r="P38" s="20" t="n">
        <v>0</v>
      </c>
      <c r="Q38" s="18" t="n">
        <v>7.01953112</v>
      </c>
      <c r="R38" s="20" t="n">
        <v>1.04983794</v>
      </c>
    </row>
    <row r="39" spans="1:18">
      <c r="A39" s="15" t="s">
        <v>381</v>
      </c>
      <c r="B39" s="17" t="n">
        <v>5895</v>
      </c>
      <c r="C39" s="18">
        <f>(5147.0/B39*100)</f>
        <v/>
      </c>
      <c r="D39" s="19" t="n">
        <v>748</v>
      </c>
      <c r="E39" s="18" t="n">
        <v>71.63344929</v>
      </c>
      <c r="F39" s="20" t="n">
        <v>1.8955725</v>
      </c>
      <c r="G39" s="18" t="n">
        <v>18.13908411</v>
      </c>
      <c r="H39" s="20" t="n">
        <v>1.92237536</v>
      </c>
      <c r="I39" s="18" t="s">
        <v>349</v>
      </c>
      <c r="J39" s="20" t="s">
        <v>349</v>
      </c>
      <c r="K39" s="18" t="n">
        <v>0</v>
      </c>
      <c r="L39" s="20" t="n">
        <v>0</v>
      </c>
      <c r="M39" s="18" t="n">
        <v>0</v>
      </c>
      <c r="N39" s="20" t="n">
        <v>0</v>
      </c>
      <c r="O39" s="18" t="n">
        <v>0</v>
      </c>
      <c r="P39" s="20" t="n">
        <v>0</v>
      </c>
      <c r="Q39" s="18" t="n">
        <v>10.22746661</v>
      </c>
      <c r="R39" s="20" t="n">
        <v>1.156088</v>
      </c>
    </row>
    <row r="40" spans="1:18">
      <c r="A40" s="15" t="s">
        <v>382</v>
      </c>
      <c r="B40" s="17" t="n">
        <v>14157</v>
      </c>
      <c r="C40" s="18">
        <f>(12385.0/B40*100)</f>
        <v/>
      </c>
      <c r="D40" s="19" t="n">
        <v>1772</v>
      </c>
      <c r="E40" s="18" t="n">
        <v>43.52671019</v>
      </c>
      <c r="F40" s="20" t="n">
        <v>1.74570755</v>
      </c>
      <c r="G40" s="18" t="n">
        <v>44.50546977</v>
      </c>
      <c r="H40" s="20" t="n">
        <v>1.71515536</v>
      </c>
      <c r="I40" s="18" t="s">
        <v>349</v>
      </c>
      <c r="J40" s="20" t="s">
        <v>349</v>
      </c>
      <c r="K40" s="18" t="n">
        <v>0.22452692</v>
      </c>
      <c r="L40" s="20" t="n">
        <v>0.13943239</v>
      </c>
      <c r="M40" s="18" t="n">
        <v>0</v>
      </c>
      <c r="N40" s="20" t="n">
        <v>0</v>
      </c>
      <c r="O40" s="18" t="n">
        <v>0</v>
      </c>
      <c r="P40" s="20" t="n">
        <v>0</v>
      </c>
      <c r="Q40" s="18" t="n">
        <v>11.74329313</v>
      </c>
      <c r="R40" s="20" t="n">
        <v>1.25297118</v>
      </c>
    </row>
    <row r="41" spans="1:18">
      <c r="A41" s="15" t="s">
        <v>383</v>
      </c>
      <c r="B41" s="17" t="n">
        <v>5712</v>
      </c>
      <c r="C41" s="18">
        <f>(5021.0/B41*100)</f>
        <v/>
      </c>
      <c r="D41" s="19" t="n">
        <v>691</v>
      </c>
      <c r="E41" s="18" t="n">
        <v>69.26849550999999</v>
      </c>
      <c r="F41" s="20" t="n">
        <v>1.85956471</v>
      </c>
      <c r="G41" s="18" t="n">
        <v>26.35177657</v>
      </c>
      <c r="H41" s="20" t="n">
        <v>1.73868195</v>
      </c>
      <c r="I41" s="18" t="s">
        <v>349</v>
      </c>
      <c r="J41" s="20" t="s">
        <v>349</v>
      </c>
      <c r="K41" s="18" t="n">
        <v>0</v>
      </c>
      <c r="L41" s="20" t="n">
        <v>0</v>
      </c>
      <c r="M41" s="18" t="n">
        <v>0</v>
      </c>
      <c r="N41" s="20" t="n">
        <v>0</v>
      </c>
      <c r="O41" s="18" t="n">
        <v>0</v>
      </c>
      <c r="P41" s="20" t="n">
        <v>0</v>
      </c>
      <c r="Q41" s="18" t="n">
        <v>4.37972792</v>
      </c>
      <c r="R41" s="20" t="n">
        <v>0.93297666</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(8617.0/B48*100)</f>
        <v/>
      </c>
      <c r="D48" s="19" t="n">
        <v>1224</v>
      </c>
      <c r="E48" s="18" t="n">
        <v>52.38929825</v>
      </c>
      <c r="F48" s="20" t="n">
        <v>1.98382038</v>
      </c>
      <c r="G48" s="18" t="n">
        <v>44.11466374</v>
      </c>
      <c r="H48" s="20" t="n">
        <v>2.04305046</v>
      </c>
      <c r="I48" s="18" t="s">
        <v>349</v>
      </c>
      <c r="J48" s="20" t="s">
        <v>349</v>
      </c>
      <c r="K48" s="18" t="n">
        <v>0.29489247</v>
      </c>
      <c r="L48" s="20" t="n">
        <v>0.18863044</v>
      </c>
      <c r="M48" s="18" t="n">
        <v>0.21886829</v>
      </c>
      <c r="N48" s="20" t="n">
        <v>0.16325401</v>
      </c>
      <c r="O48" s="18" t="n">
        <v>0</v>
      </c>
      <c r="P48" s="20" t="n">
        <v>0</v>
      </c>
      <c r="Q48" s="18" t="n">
        <v>2.98227725</v>
      </c>
      <c r="R48" s="20" t="n">
        <v>0.65951855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(5088.0/B52*100)</f>
        <v/>
      </c>
      <c r="D52" s="19" t="n">
        <v>721</v>
      </c>
      <c r="E52" s="18" t="n">
        <v>52.62312618</v>
      </c>
      <c r="F52" s="20" t="n">
        <v>1.80068911</v>
      </c>
      <c r="G52" s="18" t="n">
        <v>24.99395695</v>
      </c>
      <c r="H52" s="20" t="n">
        <v>1.57044522</v>
      </c>
      <c r="I52" s="18" t="s">
        <v>349</v>
      </c>
      <c r="J52" s="20" t="s">
        <v>349</v>
      </c>
      <c r="K52" s="18" t="n">
        <v>0.67429404</v>
      </c>
      <c r="L52" s="20" t="n">
        <v>0.29714028</v>
      </c>
      <c r="M52" s="18" t="n">
        <v>0</v>
      </c>
      <c r="N52" s="20" t="n">
        <v>0</v>
      </c>
      <c r="O52" s="18" t="n">
        <v>0</v>
      </c>
      <c r="P52" s="20" t="n">
        <v>0</v>
      </c>
      <c r="Q52" s="18" t="n">
        <v>21.70862282</v>
      </c>
      <c r="R52" s="20" t="n">
        <v>1.72325827</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39.55595287</v>
      </c>
      <c r="F56" s="20" t="n">
        <v>2.13263997</v>
      </c>
      <c r="G56" s="18" t="n">
        <v>55.76762045</v>
      </c>
      <c r="H56" s="20" t="n">
        <v>2.45178063</v>
      </c>
      <c r="I56" s="18" t="s">
        <v>349</v>
      </c>
      <c r="J56" s="20" t="s">
        <v>349</v>
      </c>
      <c r="K56" s="18" t="n">
        <v>0.27646964</v>
      </c>
      <c r="L56" s="20" t="n">
        <v>0.30854574</v>
      </c>
      <c r="M56" s="18" t="n">
        <v>0</v>
      </c>
      <c r="N56" s="20" t="n">
        <v>0</v>
      </c>
      <c r="O56" s="18" t="n">
        <v>0</v>
      </c>
      <c r="P56" s="20" t="n">
        <v>0</v>
      </c>
      <c r="Q56" s="18" t="n">
        <v>4.39995704</v>
      </c>
      <c r="R56" s="20" t="n">
        <v>0.78779069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66.96675209</v>
      </c>
      <c r="F61" s="20" t="n">
        <v>1.74279597</v>
      </c>
      <c r="G61" s="18" t="n">
        <v>23.21192799</v>
      </c>
      <c r="H61" s="20" t="n">
        <v>1.61233252</v>
      </c>
      <c r="I61" s="18" t="s">
        <v>349</v>
      </c>
      <c r="J61" s="20" t="s">
        <v>349</v>
      </c>
      <c r="K61" s="18" t="n">
        <v>0.12348309</v>
      </c>
      <c r="L61" s="20" t="n">
        <v>0.11937207</v>
      </c>
      <c r="M61" s="18" t="n">
        <v>0</v>
      </c>
      <c r="N61" s="20" t="n">
        <v>0</v>
      </c>
      <c r="O61" s="18" t="n">
        <v>0</v>
      </c>
      <c r="P61" s="20" t="n">
        <v>0</v>
      </c>
      <c r="Q61" s="18" t="n">
        <v>9.69783683</v>
      </c>
      <c r="R61" s="20" t="n">
        <v>1.19336907</v>
      </c>
    </row>
    <row r="62" spans="1:18">
      <c r="A62" s="15" t="s">
        <v>404</v>
      </c>
      <c r="B62" s="17" t="n">
        <v>4476</v>
      </c>
      <c r="C62" s="18">
        <f>(3918.0/B62*100)</f>
        <v/>
      </c>
      <c r="D62" s="19" t="n">
        <v>558</v>
      </c>
      <c r="E62" s="18" t="n">
        <v>52.09448522</v>
      </c>
      <c r="F62" s="20" t="n">
        <v>1.93450763</v>
      </c>
      <c r="G62" s="18" t="n">
        <v>44.47638341</v>
      </c>
      <c r="H62" s="20" t="n">
        <v>2.00861342</v>
      </c>
      <c r="I62" s="18" t="s">
        <v>349</v>
      </c>
      <c r="J62" s="20" t="s">
        <v>349</v>
      </c>
      <c r="K62" s="18" t="n">
        <v>0</v>
      </c>
      <c r="L62" s="20" t="n">
        <v>0</v>
      </c>
      <c r="M62" s="18" t="n">
        <v>0</v>
      </c>
      <c r="N62" s="20" t="n">
        <v>0</v>
      </c>
      <c r="O62" s="18" t="n">
        <v>0</v>
      </c>
      <c r="P62" s="20" t="n">
        <v>0</v>
      </c>
      <c r="Q62" s="18" t="n">
        <v>3.42913137</v>
      </c>
      <c r="R62" s="20" t="n">
        <v>0.74362614</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(4970.0/B66*100)</f>
        <v/>
      </c>
      <c r="D66" s="19" t="n">
        <v>695</v>
      </c>
      <c r="E66" s="18" t="n">
        <v>60.04813569</v>
      </c>
      <c r="F66" s="20" t="n">
        <v>1.98808434</v>
      </c>
      <c r="G66" s="18" t="n">
        <v>15.97401024</v>
      </c>
      <c r="H66" s="20" t="n">
        <v>1.61484018</v>
      </c>
      <c r="I66" s="18" t="s">
        <v>349</v>
      </c>
      <c r="J66" s="20" t="s">
        <v>349</v>
      </c>
      <c r="K66" s="18" t="n">
        <v>0.49755427</v>
      </c>
      <c r="L66" s="20" t="n">
        <v>0.25098849</v>
      </c>
      <c r="M66" s="18" t="n">
        <v>0.25284116</v>
      </c>
      <c r="N66" s="20" t="n">
        <v>0.18104405</v>
      </c>
      <c r="O66" s="18" t="n">
        <v>0</v>
      </c>
      <c r="P66" s="20" t="n">
        <v>0</v>
      </c>
      <c r="Q66" s="18" t="n">
        <v>23.22745865</v>
      </c>
      <c r="R66" s="20" t="n">
        <v>1.61318469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(10054.0/B68*100)</f>
        <v/>
      </c>
      <c r="D68" s="19" t="n">
        <v>2029</v>
      </c>
      <c r="E68" s="18" t="n">
        <v>67.96843738</v>
      </c>
      <c r="F68" s="20" t="n">
        <v>0.88081469</v>
      </c>
      <c r="G68" s="18" t="n">
        <v>18.17402025</v>
      </c>
      <c r="H68" s="20" t="n">
        <v>0.82165176</v>
      </c>
      <c r="I68" s="18" t="s">
        <v>349</v>
      </c>
      <c r="J68" s="20" t="s">
        <v>349</v>
      </c>
      <c r="K68" s="18" t="n">
        <v>1.12430015</v>
      </c>
      <c r="L68" s="20" t="n">
        <v>0.19606257</v>
      </c>
      <c r="M68" s="18" t="n">
        <v>0.04682627</v>
      </c>
      <c r="N68" s="20" t="n">
        <v>0.0469138</v>
      </c>
      <c r="O68" s="18" t="n">
        <v>0</v>
      </c>
      <c r="P68" s="20" t="n">
        <v>0</v>
      </c>
      <c r="Q68" s="18" t="n">
        <v>12.68641595</v>
      </c>
      <c r="R68" s="20" t="n">
        <v>0.64796051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(5263.0/B70*100)</f>
        <v/>
      </c>
      <c r="D70" s="19" t="n">
        <v>773</v>
      </c>
      <c r="E70" s="18" t="n">
        <v>53.43107347</v>
      </c>
      <c r="F70" s="20" t="n">
        <v>2.55981563</v>
      </c>
      <c r="G70" s="18" t="n">
        <v>37.48682572</v>
      </c>
      <c r="H70" s="20" t="n">
        <v>2.30791638</v>
      </c>
      <c r="I70" s="18" t="s">
        <v>349</v>
      </c>
      <c r="J70" s="20" t="s">
        <v>349</v>
      </c>
      <c r="K70" s="18" t="n">
        <v>0.13908179</v>
      </c>
      <c r="L70" s="20" t="n">
        <v>0.13776177</v>
      </c>
      <c r="M70" s="18" t="n">
        <v>1.51764217</v>
      </c>
      <c r="N70" s="20" t="n">
        <v>0.36758235</v>
      </c>
      <c r="O70" s="18" t="n">
        <v>0</v>
      </c>
      <c r="P70" s="20" t="n">
        <v>0</v>
      </c>
      <c r="Q70" s="18" t="n">
        <v>7.42537685</v>
      </c>
      <c r="R70" s="20" t="n">
        <v>1.22341273</v>
      </c>
    </row>
    <row r="71" spans="1:18">
      <c r="A71" s="15" t="s">
        <v>413</v>
      </c>
      <c r="B71" s="17" t="n">
        <v>6115</v>
      </c>
      <c r="C71" s="18">
        <f>(5351.0/B71*100)</f>
        <v/>
      </c>
      <c r="D71" s="19" t="n">
        <v>764</v>
      </c>
      <c r="E71" s="18" t="n">
        <v>28.69669544</v>
      </c>
      <c r="F71" s="20" t="n">
        <v>1.61514365</v>
      </c>
      <c r="G71" s="18" t="n">
        <v>67.40839257</v>
      </c>
      <c r="H71" s="20" t="n">
        <v>1.62233699</v>
      </c>
      <c r="I71" s="18" t="s">
        <v>349</v>
      </c>
      <c r="J71" s="20" t="s">
        <v>349</v>
      </c>
      <c r="K71" s="18" t="n">
        <v>0.12377069</v>
      </c>
      <c r="L71" s="20" t="n">
        <v>0.12470485</v>
      </c>
      <c r="M71" s="18" t="n">
        <v>0</v>
      </c>
      <c r="N71" s="20" t="n">
        <v>0</v>
      </c>
      <c r="O71" s="18" t="n">
        <v>0</v>
      </c>
      <c r="P71" s="20" t="n">
        <v>0</v>
      </c>
      <c r="Q71" s="18" t="n">
        <v>3.7711413</v>
      </c>
      <c r="R71" s="20" t="n">
        <v>0.61346485</v>
      </c>
    </row>
    <row r="72" spans="1:18">
      <c r="A72" s="15" t="s">
        <v>414</v>
      </c>
      <c r="B72" s="17" t="n">
        <v>7708</v>
      </c>
      <c r="C72" s="18">
        <f>(6756.0/B72*100)</f>
        <v/>
      </c>
      <c r="D72" s="19" t="n">
        <v>952</v>
      </c>
      <c r="E72" s="18" t="n">
        <v>36.88161505</v>
      </c>
      <c r="F72" s="20" t="n">
        <v>1.5852444</v>
      </c>
      <c r="G72" s="18" t="n">
        <v>58.70565409</v>
      </c>
      <c r="H72" s="20" t="n">
        <v>1.73850607</v>
      </c>
      <c r="I72" s="18" t="s">
        <v>349</v>
      </c>
      <c r="J72" s="20" t="s">
        <v>349</v>
      </c>
      <c r="K72" s="18" t="n">
        <v>0.14331937</v>
      </c>
      <c r="L72" s="20" t="n">
        <v>0.143633</v>
      </c>
      <c r="M72" s="18" t="n">
        <v>0</v>
      </c>
      <c r="N72" s="20" t="n">
        <v>0</v>
      </c>
      <c r="O72" s="18" t="n">
        <v>0</v>
      </c>
      <c r="P72" s="20" t="n">
        <v>0</v>
      </c>
      <c r="Q72" s="18" t="n">
        <v>4.26941149</v>
      </c>
      <c r="R72" s="20" t="n">
        <v>0.69988401</v>
      </c>
    </row>
    <row r="73" spans="1:18">
      <c r="A73" s="15" t="s">
        <v>415</v>
      </c>
      <c r="B73" s="17" t="n">
        <v>8249</v>
      </c>
      <c r="C73" s="18">
        <f>(7224.0/B73*100)</f>
        <v/>
      </c>
      <c r="D73" s="19" t="n">
        <v>1025</v>
      </c>
      <c r="E73" s="18" t="n">
        <v>79.95273634</v>
      </c>
      <c r="F73" s="20" t="n">
        <v>1.87063854</v>
      </c>
      <c r="G73" s="18" t="n">
        <v>15.51729254</v>
      </c>
      <c r="H73" s="20" t="n">
        <v>1.75953754</v>
      </c>
      <c r="I73" s="18" t="s">
        <v>349</v>
      </c>
      <c r="J73" s="20" t="s">
        <v>349</v>
      </c>
      <c r="K73" s="18" t="n">
        <v>0</v>
      </c>
      <c r="L73" s="20" t="n">
        <v>0</v>
      </c>
      <c r="M73" s="18" t="n">
        <v>0.19352539</v>
      </c>
      <c r="N73" s="20" t="n">
        <v>0.20240276</v>
      </c>
      <c r="O73" s="18" t="n">
        <v>0</v>
      </c>
      <c r="P73" s="20" t="n">
        <v>0</v>
      </c>
      <c r="Q73" s="18" t="n">
        <v>4.33644572</v>
      </c>
      <c r="R73" s="20" t="n">
        <v>0.97962391</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(7749.0/B81*100)</f>
        <v/>
      </c>
      <c r="D81" s="19" t="n">
        <v>1112</v>
      </c>
      <c r="E81" s="18" t="n">
        <v>54.03262803</v>
      </c>
      <c r="F81" s="20" t="n">
        <v>2.23819344</v>
      </c>
      <c r="G81" s="18" t="n">
        <v>41.99131953</v>
      </c>
      <c r="H81" s="20" t="n">
        <v>2.09139767</v>
      </c>
      <c r="I81" s="18" t="s">
        <v>349</v>
      </c>
      <c r="J81" s="20" t="s">
        <v>349</v>
      </c>
      <c r="K81" s="18" t="n">
        <v>0.00917255</v>
      </c>
      <c r="L81" s="20" t="n">
        <v>0.31094147</v>
      </c>
      <c r="M81" s="18" t="n">
        <v>0</v>
      </c>
      <c r="N81" s="20" t="n">
        <v>0</v>
      </c>
      <c r="O81" s="18" t="n">
        <v>0</v>
      </c>
      <c r="P81" s="20" t="n">
        <v>0</v>
      </c>
      <c r="Q81" s="18" t="n">
        <v>3.96687989</v>
      </c>
      <c r="R81" s="20" t="n">
        <v>0.78946045</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(12767.0/B7*100)</f>
        <v/>
      </c>
      <c r="D7" s="19" t="n">
        <v>1763</v>
      </c>
      <c r="E7" s="18" t="n">
        <v>18.31566677</v>
      </c>
      <c r="F7" s="20" t="n">
        <v>1.01205393</v>
      </c>
      <c r="G7" s="18" t="n">
        <v>79.75236922000001</v>
      </c>
      <c r="H7" s="20" t="n">
        <v>1.08952814</v>
      </c>
      <c r="I7" s="18" t="s">
        <v>349</v>
      </c>
      <c r="J7" s="20" t="s">
        <v>349</v>
      </c>
      <c r="K7" s="18" t="n">
        <v>0.40318157</v>
      </c>
      <c r="L7" s="20" t="n">
        <v>0.17920638</v>
      </c>
      <c r="M7" s="18" t="n">
        <v>0</v>
      </c>
      <c r="N7" s="20" t="n">
        <v>0</v>
      </c>
      <c r="O7" s="18" t="n">
        <v>0</v>
      </c>
      <c r="P7" s="20" t="n">
        <v>0</v>
      </c>
      <c r="Q7" s="18" t="n">
        <v>1.52878243</v>
      </c>
      <c r="R7" s="20" t="n">
        <v>0.33841539</v>
      </c>
    </row>
    <row r="8" spans="1:18">
      <c r="A8" s="15" t="s">
        <v>350</v>
      </c>
      <c r="B8" s="17" t="n">
        <v>7007</v>
      </c>
      <c r="C8" s="18">
        <f>(6170.0/B8*100)</f>
        <v/>
      </c>
      <c r="D8" s="19" t="n">
        <v>837</v>
      </c>
      <c r="E8" s="18" t="n">
        <v>11.91743158</v>
      </c>
      <c r="F8" s="20" t="n">
        <v>1.36912185</v>
      </c>
      <c r="G8" s="18" t="n">
        <v>85.78759742</v>
      </c>
      <c r="H8" s="20" t="n">
        <v>1.52177182</v>
      </c>
      <c r="I8" s="18" t="s">
        <v>349</v>
      </c>
      <c r="J8" s="20" t="s">
        <v>349</v>
      </c>
      <c r="K8" s="18" t="n">
        <v>0</v>
      </c>
      <c r="L8" s="20" t="n">
        <v>0</v>
      </c>
      <c r="M8" s="18" t="n">
        <v>0</v>
      </c>
      <c r="N8" s="20" t="n">
        <v>0</v>
      </c>
      <c r="O8" s="18" t="n">
        <v>0</v>
      </c>
      <c r="P8" s="20" t="n">
        <v>0</v>
      </c>
      <c r="Q8" s="18" t="n">
        <v>2.29497099</v>
      </c>
      <c r="R8" s="20" t="n">
        <v>0.72645561</v>
      </c>
    </row>
    <row r="9" spans="1:18">
      <c r="A9" s="15" t="s">
        <v>351</v>
      </c>
      <c r="B9" s="17" t="n">
        <v>9651</v>
      </c>
      <c r="C9" s="18">
        <f>(8474.0/B9*100)</f>
        <v/>
      </c>
      <c r="D9" s="19" t="n">
        <v>1177</v>
      </c>
      <c r="E9" s="18" t="n">
        <v>17.41935038</v>
      </c>
      <c r="F9" s="20" t="n">
        <v>1.18352188</v>
      </c>
      <c r="G9" s="18" t="n">
        <v>80.85973165</v>
      </c>
      <c r="H9" s="20" t="n">
        <v>1.12678544</v>
      </c>
      <c r="I9" s="18" t="s">
        <v>349</v>
      </c>
      <c r="J9" s="20" t="s">
        <v>349</v>
      </c>
      <c r="K9" s="18" t="n">
        <v>0.44017165</v>
      </c>
      <c r="L9" s="20" t="n">
        <v>0.20400474</v>
      </c>
      <c r="M9" s="18" t="n">
        <v>0</v>
      </c>
      <c r="N9" s="20" t="n">
        <v>0</v>
      </c>
      <c r="O9" s="18" t="n">
        <v>0</v>
      </c>
      <c r="P9" s="20" t="n">
        <v>0</v>
      </c>
      <c r="Q9" s="18" t="n">
        <v>1.28074633</v>
      </c>
      <c r="R9" s="20" t="n">
        <v>0.42256253</v>
      </c>
    </row>
    <row r="10" spans="1:18">
      <c r="A10" s="15" t="s">
        <v>352</v>
      </c>
      <c r="B10" s="17" t="n">
        <v>20058</v>
      </c>
      <c r="C10" s="18">
        <f>(17602.0/B10*100)</f>
        <v/>
      </c>
      <c r="D10" s="19" t="n">
        <v>2456</v>
      </c>
      <c r="E10" s="18" t="n">
        <v>13.46801043</v>
      </c>
      <c r="F10" s="20" t="n">
        <v>0.93419274</v>
      </c>
      <c r="G10" s="18" t="n">
        <v>85.45265249000001</v>
      </c>
      <c r="H10" s="20" t="n">
        <v>1.00839719</v>
      </c>
      <c r="I10" s="18" t="s">
        <v>349</v>
      </c>
      <c r="J10" s="20" t="s">
        <v>349</v>
      </c>
      <c r="K10" s="18" t="n">
        <v>0.31273996</v>
      </c>
      <c r="L10" s="20" t="n">
        <v>0.15590722</v>
      </c>
      <c r="M10" s="18" t="n">
        <v>0</v>
      </c>
      <c r="N10" s="20" t="n">
        <v>0</v>
      </c>
      <c r="O10" s="18" t="n">
        <v>0</v>
      </c>
      <c r="P10" s="20" t="n">
        <v>0</v>
      </c>
      <c r="Q10" s="18" t="n">
        <v>0.76659712</v>
      </c>
      <c r="R10" s="20" t="n">
        <v>0.26401656</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(6069.0/B12*100)</f>
        <v/>
      </c>
      <c r="D12" s="19" t="n">
        <v>825</v>
      </c>
      <c r="E12" s="18" t="n">
        <v>16.86958215</v>
      </c>
      <c r="F12" s="20" t="n">
        <v>1.58985099</v>
      </c>
      <c r="G12" s="18" t="n">
        <v>82.40243787999999</v>
      </c>
      <c r="H12" s="20" t="n">
        <v>1.59909565</v>
      </c>
      <c r="I12" s="18" t="s">
        <v>349</v>
      </c>
      <c r="J12" s="20" t="s">
        <v>349</v>
      </c>
      <c r="K12" s="18" t="n">
        <v>0</v>
      </c>
      <c r="L12" s="20" t="n">
        <v>0</v>
      </c>
      <c r="M12" s="18" t="n">
        <v>0</v>
      </c>
      <c r="N12" s="20" t="n">
        <v>0</v>
      </c>
      <c r="O12" s="18" t="n">
        <v>0</v>
      </c>
      <c r="P12" s="20" t="n">
        <v>0</v>
      </c>
      <c r="Q12" s="18" t="n">
        <v>0.72797997</v>
      </c>
      <c r="R12" s="20" t="n">
        <v>0.36708503</v>
      </c>
    </row>
    <row r="13" spans="1:18">
      <c r="A13" s="15" t="s">
        <v>355</v>
      </c>
      <c r="B13" s="17" t="n">
        <v>7161</v>
      </c>
      <c r="C13" s="18">
        <f>(6322.0/B13*100)</f>
        <v/>
      </c>
      <c r="D13" s="19" t="n">
        <v>839</v>
      </c>
      <c r="E13" s="18" t="n">
        <v>10.02486574</v>
      </c>
      <c r="F13" s="20" t="n">
        <v>1.03979518</v>
      </c>
      <c r="G13" s="18" t="n">
        <v>89.22466815999999</v>
      </c>
      <c r="H13" s="20" t="n">
        <v>1.06890346</v>
      </c>
      <c r="I13" s="18" t="s">
        <v>349</v>
      </c>
      <c r="J13" s="20" t="s">
        <v>349</v>
      </c>
      <c r="K13" s="18" t="n">
        <v>0.23960896</v>
      </c>
      <c r="L13" s="20" t="n">
        <v>0.12418556</v>
      </c>
      <c r="M13" s="18" t="n">
        <v>0</v>
      </c>
      <c r="N13" s="20" t="n">
        <v>0</v>
      </c>
      <c r="O13" s="18" t="n">
        <v>0</v>
      </c>
      <c r="P13" s="20" t="n">
        <v>0</v>
      </c>
      <c r="Q13" s="18" t="n">
        <v>0.51085713</v>
      </c>
      <c r="R13" s="20" t="n">
        <v>0.28720798</v>
      </c>
    </row>
    <row r="14" spans="1:18">
      <c r="A14" s="15" t="s">
        <v>356</v>
      </c>
      <c r="B14" s="17" t="n">
        <v>5587</v>
      </c>
      <c r="C14" s="18">
        <f>(4873.0/B14*100)</f>
        <v/>
      </c>
      <c r="D14" s="19" t="n">
        <v>714</v>
      </c>
      <c r="E14" s="18" t="n">
        <v>11.90375445</v>
      </c>
      <c r="F14" s="20" t="n">
        <v>1.27590148</v>
      </c>
      <c r="G14" s="18" t="n">
        <v>87.54079863</v>
      </c>
      <c r="H14" s="20" t="n">
        <v>1.29738421</v>
      </c>
      <c r="I14" s="18" t="s">
        <v>349</v>
      </c>
      <c r="J14" s="20" t="s">
        <v>349</v>
      </c>
      <c r="K14" s="18" t="n">
        <v>0.1112955</v>
      </c>
      <c r="L14" s="20" t="n">
        <v>0.11099872</v>
      </c>
      <c r="M14" s="18" t="n">
        <v>0</v>
      </c>
      <c r="N14" s="20" t="n">
        <v>0</v>
      </c>
      <c r="O14" s="18" t="n">
        <v>0</v>
      </c>
      <c r="P14" s="20" t="n">
        <v>0</v>
      </c>
      <c r="Q14" s="18" t="n">
        <v>0.44415142</v>
      </c>
      <c r="R14" s="20" t="n">
        <v>0.2760826</v>
      </c>
    </row>
    <row r="15" spans="1:18">
      <c r="A15" s="15" t="s">
        <v>357</v>
      </c>
      <c r="B15" s="17" t="n">
        <v>5882</v>
      </c>
      <c r="C15" s="18">
        <f>(5153.0/B15*100)</f>
        <v/>
      </c>
      <c r="D15" s="19" t="n">
        <v>729</v>
      </c>
      <c r="E15" s="18" t="n">
        <v>10.61080901</v>
      </c>
      <c r="F15" s="20" t="n">
        <v>1.21521313</v>
      </c>
      <c r="G15" s="18" t="n">
        <v>87.71172281</v>
      </c>
      <c r="H15" s="20" t="n">
        <v>1.28213161</v>
      </c>
      <c r="I15" s="18" t="s">
        <v>349</v>
      </c>
      <c r="J15" s="20" t="s">
        <v>349</v>
      </c>
      <c r="K15" s="18" t="n">
        <v>0.40754689</v>
      </c>
      <c r="L15" s="20" t="n">
        <v>0.2303061</v>
      </c>
      <c r="M15" s="18" t="n">
        <v>0</v>
      </c>
      <c r="N15" s="20" t="n">
        <v>0</v>
      </c>
      <c r="O15" s="18" t="n">
        <v>0</v>
      </c>
      <c r="P15" s="20" t="n">
        <v>0</v>
      </c>
      <c r="Q15" s="18" t="n">
        <v>1.2699213</v>
      </c>
      <c r="R15" s="20" t="n">
        <v>0.43329747</v>
      </c>
    </row>
    <row r="16" spans="1:18">
      <c r="A16" s="15" t="s">
        <v>358</v>
      </c>
      <c r="B16" s="17" t="n">
        <v>6108</v>
      </c>
      <c r="C16" s="18">
        <f>(5346.0/B16*100)</f>
        <v/>
      </c>
      <c r="D16" s="19" t="n">
        <v>762</v>
      </c>
      <c r="E16" s="18" t="n">
        <v>17.58953899</v>
      </c>
      <c r="F16" s="20" t="n">
        <v>1.23966697</v>
      </c>
      <c r="G16" s="18" t="n">
        <v>80.05544903000001</v>
      </c>
      <c r="H16" s="20" t="n">
        <v>1.38495676</v>
      </c>
      <c r="I16" s="18" t="s">
        <v>349</v>
      </c>
      <c r="J16" s="20" t="s">
        <v>349</v>
      </c>
      <c r="K16" s="18" t="n">
        <v>0.4328224</v>
      </c>
      <c r="L16" s="20" t="n">
        <v>0.25876929</v>
      </c>
      <c r="M16" s="18" t="n">
        <v>0</v>
      </c>
      <c r="N16" s="20" t="n">
        <v>0</v>
      </c>
      <c r="O16" s="18" t="n">
        <v>0</v>
      </c>
      <c r="P16" s="20" t="n">
        <v>0</v>
      </c>
      <c r="Q16" s="18" t="n">
        <v>1.92218957</v>
      </c>
      <c r="R16" s="20" t="n">
        <v>0.48248911</v>
      </c>
    </row>
    <row r="17" spans="1:18">
      <c r="A17" s="15" t="s">
        <v>359</v>
      </c>
      <c r="B17" s="17" t="n">
        <v>6504</v>
      </c>
      <c r="C17" s="18">
        <f>(5706.0/B17*100)</f>
        <v/>
      </c>
      <c r="D17" s="19" t="n">
        <v>798</v>
      </c>
      <c r="E17" s="18" t="n">
        <v>9.134238760000001</v>
      </c>
      <c r="F17" s="20" t="n">
        <v>1.06692357</v>
      </c>
      <c r="G17" s="18" t="n">
        <v>89.48351565999999</v>
      </c>
      <c r="H17" s="20" t="n">
        <v>1.07936568</v>
      </c>
      <c r="I17" s="18" t="s">
        <v>349</v>
      </c>
      <c r="J17" s="20" t="s">
        <v>349</v>
      </c>
      <c r="K17" s="18" t="n">
        <v>0.37363091</v>
      </c>
      <c r="L17" s="20" t="n">
        <v>0.21578424</v>
      </c>
      <c r="M17" s="18" t="n">
        <v>0</v>
      </c>
      <c r="N17" s="20" t="n">
        <v>0</v>
      </c>
      <c r="O17" s="18" t="n">
        <v>0</v>
      </c>
      <c r="P17" s="20" t="n">
        <v>0</v>
      </c>
      <c r="Q17" s="18" t="n">
        <v>1.00861467</v>
      </c>
      <c r="R17" s="20" t="n">
        <v>0.34521259</v>
      </c>
    </row>
    <row r="18" spans="1:18">
      <c r="A18" s="15" t="s">
        <v>360</v>
      </c>
      <c r="B18" s="17" t="n">
        <v>5532</v>
      </c>
      <c r="C18" s="18">
        <f>(4841.0/B18*100)</f>
        <v/>
      </c>
      <c r="D18" s="19" t="n">
        <v>691</v>
      </c>
      <c r="E18" s="18" t="n">
        <v>26.5077229</v>
      </c>
      <c r="F18" s="20" t="n">
        <v>2.04143062</v>
      </c>
      <c r="G18" s="18" t="n">
        <v>71.19901437</v>
      </c>
      <c r="H18" s="20" t="n">
        <v>2.23269392</v>
      </c>
      <c r="I18" s="18" t="s">
        <v>349</v>
      </c>
      <c r="J18" s="20" t="s">
        <v>349</v>
      </c>
      <c r="K18" s="18" t="n">
        <v>0.57556064</v>
      </c>
      <c r="L18" s="20" t="n">
        <v>0.4184655</v>
      </c>
      <c r="M18" s="18" t="n">
        <v>0</v>
      </c>
      <c r="N18" s="20" t="n">
        <v>0</v>
      </c>
      <c r="O18" s="18" t="n">
        <v>0</v>
      </c>
      <c r="P18" s="20" t="n">
        <v>0</v>
      </c>
      <c r="Q18" s="18" t="n">
        <v>1.71770208</v>
      </c>
      <c r="R18" s="20" t="n">
        <v>0.58961947</v>
      </c>
    </row>
    <row r="19" spans="1:18">
      <c r="A19" s="15" t="s">
        <v>361</v>
      </c>
      <c r="B19" s="17" t="n">
        <v>5658</v>
      </c>
      <c r="C19" s="18">
        <f>(4989.0/B19*100)</f>
        <v/>
      </c>
      <c r="D19" s="19" t="n">
        <v>669</v>
      </c>
      <c r="E19" s="18" t="n">
        <v>20.84975939</v>
      </c>
      <c r="F19" s="20" t="n">
        <v>1.563219</v>
      </c>
      <c r="G19" s="18" t="n">
        <v>78.08513496</v>
      </c>
      <c r="H19" s="20" t="n">
        <v>1.63584472</v>
      </c>
      <c r="I19" s="18" t="s">
        <v>349</v>
      </c>
      <c r="J19" s="20" t="s">
        <v>349</v>
      </c>
      <c r="K19" s="18" t="n">
        <v>0</v>
      </c>
      <c r="L19" s="20" t="n">
        <v>0</v>
      </c>
      <c r="M19" s="18" t="n">
        <v>0</v>
      </c>
      <c r="N19" s="20" t="n">
        <v>0</v>
      </c>
      <c r="O19" s="18" t="n">
        <v>0</v>
      </c>
      <c r="P19" s="20" t="n">
        <v>0</v>
      </c>
      <c r="Q19" s="18" t="n">
        <v>1.06510565</v>
      </c>
      <c r="R19" s="20" t="n">
        <v>0.40084698</v>
      </c>
    </row>
    <row r="20" spans="1:18">
      <c r="A20" s="15" t="s">
        <v>362</v>
      </c>
      <c r="B20" s="17" t="n">
        <v>3371</v>
      </c>
      <c r="C20" s="18">
        <f>(2953.0/B20*100)</f>
        <v/>
      </c>
      <c r="D20" s="19" t="n">
        <v>418</v>
      </c>
      <c r="E20" s="18" t="n">
        <v>13.34709117</v>
      </c>
      <c r="F20" s="20" t="n">
        <v>1.65623589</v>
      </c>
      <c r="G20" s="18" t="n">
        <v>84.04096231</v>
      </c>
      <c r="H20" s="20" t="n">
        <v>1.78640349</v>
      </c>
      <c r="I20" s="18" t="s">
        <v>349</v>
      </c>
      <c r="J20" s="20" t="s">
        <v>349</v>
      </c>
      <c r="K20" s="18" t="n">
        <v>1.2212586</v>
      </c>
      <c r="L20" s="20" t="n">
        <v>0.53297933</v>
      </c>
      <c r="M20" s="18" t="n">
        <v>0</v>
      </c>
      <c r="N20" s="20" t="n">
        <v>0</v>
      </c>
      <c r="O20" s="18" t="n">
        <v>0</v>
      </c>
      <c r="P20" s="20" t="n">
        <v>0</v>
      </c>
      <c r="Q20" s="18" t="n">
        <v>1.39068793</v>
      </c>
      <c r="R20" s="20" t="n">
        <v>0.48020952</v>
      </c>
    </row>
    <row r="21" spans="1:18">
      <c r="A21" s="15" t="s">
        <v>363</v>
      </c>
      <c r="B21" s="17" t="n">
        <v>5741</v>
      </c>
      <c r="C21" s="18">
        <f>(4800.0/B21*100)</f>
        <v/>
      </c>
      <c r="D21" s="19" t="n">
        <v>941</v>
      </c>
      <c r="E21" s="18" t="n">
        <v>13.20593237</v>
      </c>
      <c r="F21" s="20" t="n">
        <v>1.1422781</v>
      </c>
      <c r="G21" s="18" t="n">
        <v>85.60702067</v>
      </c>
      <c r="H21" s="20" t="n">
        <v>1.18732129</v>
      </c>
      <c r="I21" s="18" t="s">
        <v>349</v>
      </c>
      <c r="J21" s="20" t="s">
        <v>349</v>
      </c>
      <c r="K21" s="18" t="n">
        <v>0.24781081</v>
      </c>
      <c r="L21" s="20" t="n">
        <v>0.1816582</v>
      </c>
      <c r="M21" s="18" t="n">
        <v>0</v>
      </c>
      <c r="N21" s="20" t="n">
        <v>0</v>
      </c>
      <c r="O21" s="18" t="n">
        <v>0</v>
      </c>
      <c r="P21" s="20" t="n">
        <v>0</v>
      </c>
      <c r="Q21" s="18" t="n">
        <v>0.93923616</v>
      </c>
      <c r="R21" s="20" t="n">
        <v>0.34558522</v>
      </c>
    </row>
    <row r="22" spans="1:18">
      <c r="A22" s="15" t="s">
        <v>364</v>
      </c>
      <c r="B22" s="17" t="n">
        <v>6598</v>
      </c>
      <c r="C22" s="18">
        <f>(5855.0/B22*100)</f>
        <v/>
      </c>
      <c r="D22" s="19" t="n">
        <v>743</v>
      </c>
      <c r="E22" s="18" t="n">
        <v>28.29977355</v>
      </c>
      <c r="F22" s="20" t="n">
        <v>2.33376959</v>
      </c>
      <c r="G22" s="18" t="n">
        <v>70.46301072</v>
      </c>
      <c r="H22" s="20" t="n">
        <v>2.32842613</v>
      </c>
      <c r="I22" s="18" t="s">
        <v>349</v>
      </c>
      <c r="J22" s="20" t="s">
        <v>349</v>
      </c>
      <c r="K22" s="18" t="n">
        <v>0.30001561</v>
      </c>
      <c r="L22" s="20" t="n">
        <v>0.19919108</v>
      </c>
      <c r="M22" s="18" t="n">
        <v>0</v>
      </c>
      <c r="N22" s="20" t="n">
        <v>0</v>
      </c>
      <c r="O22" s="18" t="n">
        <v>0</v>
      </c>
      <c r="P22" s="20" t="n">
        <v>0</v>
      </c>
      <c r="Q22" s="18" t="n">
        <v>0.93720012</v>
      </c>
      <c r="R22" s="20" t="n">
        <v>0.28471941</v>
      </c>
    </row>
    <row r="23" spans="1:18">
      <c r="A23" s="15" t="s">
        <v>365</v>
      </c>
      <c r="B23" s="17" t="n">
        <v>11583</v>
      </c>
      <c r="C23" s="18">
        <f>(10168.0/B23*100)</f>
        <v/>
      </c>
      <c r="D23" s="19" t="n">
        <v>1415</v>
      </c>
      <c r="E23" s="18" t="n">
        <v>13.82283144</v>
      </c>
      <c r="F23" s="20" t="n">
        <v>1.1981429</v>
      </c>
      <c r="G23" s="18" t="n">
        <v>85.00193034999999</v>
      </c>
      <c r="H23" s="20" t="n">
        <v>1.23814951</v>
      </c>
      <c r="I23" s="18" t="s">
        <v>349</v>
      </c>
      <c r="J23" s="20" t="s">
        <v>349</v>
      </c>
      <c r="K23" s="18" t="n">
        <v>0.25165324</v>
      </c>
      <c r="L23" s="20" t="n">
        <v>0.16840146</v>
      </c>
      <c r="M23" s="18" t="n">
        <v>0</v>
      </c>
      <c r="N23" s="20" t="n">
        <v>0</v>
      </c>
      <c r="O23" s="18" t="n">
        <v>0</v>
      </c>
      <c r="P23" s="20" t="n">
        <v>0</v>
      </c>
      <c r="Q23" s="18" t="n">
        <v>0.9235849699999999</v>
      </c>
      <c r="R23" s="20" t="n">
        <v>0.34879552</v>
      </c>
    </row>
    <row r="24" spans="1:18">
      <c r="A24" s="15" t="s">
        <v>366</v>
      </c>
      <c r="B24" s="17" t="n">
        <v>6647</v>
      </c>
      <c r="C24" s="18">
        <f>(5847.0/B24*100)</f>
        <v/>
      </c>
      <c r="D24" s="19" t="n">
        <v>800</v>
      </c>
      <c r="E24" s="18" t="n">
        <v>12.87554725</v>
      </c>
      <c r="F24" s="20" t="n">
        <v>1.0646125</v>
      </c>
      <c r="G24" s="18" t="n">
        <v>85.70563393</v>
      </c>
      <c r="H24" s="20" t="n">
        <v>1.08304236</v>
      </c>
      <c r="I24" s="18" t="s">
        <v>349</v>
      </c>
      <c r="J24" s="20" t="s">
        <v>349</v>
      </c>
      <c r="K24" s="18" t="n">
        <v>0.22227537</v>
      </c>
      <c r="L24" s="20" t="n">
        <v>0.15877041</v>
      </c>
      <c r="M24" s="18" t="n">
        <v>0</v>
      </c>
      <c r="N24" s="20" t="n">
        <v>0</v>
      </c>
      <c r="O24" s="18" t="n">
        <v>0</v>
      </c>
      <c r="P24" s="20" t="n">
        <v>0</v>
      </c>
      <c r="Q24" s="18" t="n">
        <v>1.19654344</v>
      </c>
      <c r="R24" s="20" t="n">
        <v>0.37749832</v>
      </c>
    </row>
    <row r="25" spans="1:18">
      <c r="A25" s="15" t="s">
        <v>367</v>
      </c>
      <c r="B25" s="17" t="n">
        <v>5581</v>
      </c>
      <c r="C25" s="18">
        <f>(4902.0/B25*100)</f>
        <v/>
      </c>
      <c r="D25" s="19" t="n">
        <v>679</v>
      </c>
      <c r="E25" s="18" t="n">
        <v>16.30539351</v>
      </c>
      <c r="F25" s="20" t="n">
        <v>1.43877226</v>
      </c>
      <c r="G25" s="18" t="n">
        <v>82.39964842000001</v>
      </c>
      <c r="H25" s="20" t="n">
        <v>1.49861368</v>
      </c>
      <c r="I25" s="18" t="s">
        <v>349</v>
      </c>
      <c r="J25" s="20" t="s">
        <v>349</v>
      </c>
      <c r="K25" s="18" t="n">
        <v>0</v>
      </c>
      <c r="L25" s="20" t="n">
        <v>0</v>
      </c>
      <c r="M25" s="18" t="n">
        <v>0</v>
      </c>
      <c r="N25" s="20" t="n">
        <v>0</v>
      </c>
      <c r="O25" s="18" t="n">
        <v>0</v>
      </c>
      <c r="P25" s="20" t="n">
        <v>0</v>
      </c>
      <c r="Q25" s="18" t="n">
        <v>1.29495806</v>
      </c>
      <c r="R25" s="20" t="n">
        <v>0.46740468</v>
      </c>
    </row>
    <row r="26" spans="1:18">
      <c r="A26" s="15" t="s">
        <v>368</v>
      </c>
      <c r="B26" s="17" t="n">
        <v>4869</v>
      </c>
      <c r="C26" s="18">
        <f>(4270.0/B26*100)</f>
        <v/>
      </c>
      <c r="D26" s="19" t="n">
        <v>599</v>
      </c>
      <c r="E26" s="18" t="n">
        <v>18.34558125</v>
      </c>
      <c r="F26" s="20" t="n">
        <v>1.64280043</v>
      </c>
      <c r="G26" s="18" t="n">
        <v>80.96813947</v>
      </c>
      <c r="H26" s="20" t="n">
        <v>1.6937031</v>
      </c>
      <c r="I26" s="18" t="s">
        <v>349</v>
      </c>
      <c r="J26" s="20" t="s">
        <v>349</v>
      </c>
      <c r="K26" s="18" t="n">
        <v>0.12709778</v>
      </c>
      <c r="L26" s="20" t="n">
        <v>0.12739222</v>
      </c>
      <c r="M26" s="18" t="n">
        <v>0</v>
      </c>
      <c r="N26" s="20" t="n">
        <v>0</v>
      </c>
      <c r="O26" s="18" t="n">
        <v>0</v>
      </c>
      <c r="P26" s="20" t="n">
        <v>0</v>
      </c>
      <c r="Q26" s="18" t="n">
        <v>0.55918151</v>
      </c>
      <c r="R26" s="20" t="n">
        <v>0.28106183</v>
      </c>
    </row>
    <row r="27" spans="1:18">
      <c r="A27" s="15" t="s">
        <v>369</v>
      </c>
      <c r="B27" s="17" t="n">
        <v>5299</v>
      </c>
      <c r="C27" s="18">
        <f>(4647.0/B27*100)</f>
        <v/>
      </c>
      <c r="D27" s="19" t="n">
        <v>652</v>
      </c>
      <c r="E27" s="18" t="n">
        <v>18.78619441</v>
      </c>
      <c r="F27" s="20" t="n">
        <v>1.60614081</v>
      </c>
      <c r="G27" s="18" t="n">
        <v>79.97123012</v>
      </c>
      <c r="H27" s="20" t="n">
        <v>1.62627498</v>
      </c>
      <c r="I27" s="18" t="s">
        <v>349</v>
      </c>
      <c r="J27" s="20" t="s">
        <v>349</v>
      </c>
      <c r="K27" s="18" t="n">
        <v>0.15736309</v>
      </c>
      <c r="L27" s="20" t="n">
        <v>0.15797955</v>
      </c>
      <c r="M27" s="18" t="n">
        <v>0</v>
      </c>
      <c r="N27" s="20" t="n">
        <v>0</v>
      </c>
      <c r="O27" s="18" t="n">
        <v>0</v>
      </c>
      <c r="P27" s="20" t="n">
        <v>0</v>
      </c>
      <c r="Q27" s="18" t="n">
        <v>1.08521238</v>
      </c>
      <c r="R27" s="20" t="n">
        <v>0.51643782</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(4722.0/B29*100)</f>
        <v/>
      </c>
      <c r="D29" s="19" t="n">
        <v>663</v>
      </c>
      <c r="E29" s="18" t="n">
        <v>12.10439188</v>
      </c>
      <c r="F29" s="20" t="n">
        <v>1.24815331</v>
      </c>
      <c r="G29" s="18" t="n">
        <v>86.33046231</v>
      </c>
      <c r="H29" s="20" t="n">
        <v>1.37286545</v>
      </c>
      <c r="I29" s="18" t="s">
        <v>349</v>
      </c>
      <c r="J29" s="20" t="s">
        <v>349</v>
      </c>
      <c r="K29" s="18" t="n">
        <v>0.74925254</v>
      </c>
      <c r="L29" s="20" t="n">
        <v>0.33077711</v>
      </c>
      <c r="M29" s="18" t="n">
        <v>0</v>
      </c>
      <c r="N29" s="20" t="n">
        <v>0</v>
      </c>
      <c r="O29" s="18" t="n">
        <v>0</v>
      </c>
      <c r="P29" s="20" t="n">
        <v>0</v>
      </c>
      <c r="Q29" s="18" t="n">
        <v>0.81589327</v>
      </c>
      <c r="R29" s="20" t="n">
        <v>0.41046523</v>
      </c>
    </row>
    <row r="30" spans="1:18">
      <c r="A30" s="15" t="s">
        <v>372</v>
      </c>
      <c r="B30" s="17" t="n">
        <v>4520</v>
      </c>
      <c r="C30" s="18">
        <f>(3983.0/B30*100)</f>
        <v/>
      </c>
      <c r="D30" s="19" t="n">
        <v>537</v>
      </c>
      <c r="E30" s="18" t="n">
        <v>15.18398002</v>
      </c>
      <c r="F30" s="20" t="n">
        <v>1.43137843</v>
      </c>
      <c r="G30" s="18" t="n">
        <v>83.42641728</v>
      </c>
      <c r="H30" s="20" t="n">
        <v>1.45927281</v>
      </c>
      <c r="I30" s="18" t="s">
        <v>349</v>
      </c>
      <c r="J30" s="20" t="s">
        <v>349</v>
      </c>
      <c r="K30" s="18" t="n">
        <v>0</v>
      </c>
      <c r="L30" s="20" t="n">
        <v>0</v>
      </c>
      <c r="M30" s="18" t="n">
        <v>0</v>
      </c>
      <c r="N30" s="20" t="n">
        <v>0</v>
      </c>
      <c r="O30" s="18" t="n">
        <v>0</v>
      </c>
      <c r="P30" s="20" t="n">
        <v>0</v>
      </c>
      <c r="Q30" s="18" t="n">
        <v>1.3896027</v>
      </c>
      <c r="R30" s="20" t="n">
        <v>0.55996125</v>
      </c>
    </row>
    <row r="31" spans="1:18">
      <c r="A31" s="15" t="s">
        <v>373</v>
      </c>
      <c r="B31" s="17" t="n">
        <v>5456</v>
      </c>
      <c r="C31" s="18">
        <f>(4753.0/B31*100)</f>
        <v/>
      </c>
      <c r="D31" s="19" t="n">
        <v>703</v>
      </c>
      <c r="E31" s="18" t="n">
        <v>11.70320086</v>
      </c>
      <c r="F31" s="20" t="n">
        <v>1.13095027</v>
      </c>
      <c r="G31" s="18" t="n">
        <v>87.04567806999999</v>
      </c>
      <c r="H31" s="20" t="n">
        <v>1.16692255</v>
      </c>
      <c r="I31" s="18" t="s">
        <v>349</v>
      </c>
      <c r="J31" s="20" t="s">
        <v>349</v>
      </c>
      <c r="K31" s="18" t="n">
        <v>0.41953058</v>
      </c>
      <c r="L31" s="20" t="n">
        <v>0.13122443</v>
      </c>
      <c r="M31" s="18" t="n">
        <v>0</v>
      </c>
      <c r="N31" s="20" t="n">
        <v>0</v>
      </c>
      <c r="O31" s="18" t="n">
        <v>0</v>
      </c>
      <c r="P31" s="20" t="n">
        <v>0</v>
      </c>
      <c r="Q31" s="18" t="n">
        <v>0.83159048</v>
      </c>
      <c r="R31" s="20" t="n">
        <v>0.3401155</v>
      </c>
    </row>
    <row r="32" spans="1:18">
      <c r="A32" s="15" t="s">
        <v>374</v>
      </c>
      <c r="B32" s="17" t="n">
        <v>4478</v>
      </c>
      <c r="C32" s="18">
        <f>(3725.0/B32*100)</f>
        <v/>
      </c>
      <c r="D32" s="19" t="n">
        <v>753</v>
      </c>
      <c r="E32" s="18" t="n">
        <v>12.0311991</v>
      </c>
      <c r="F32" s="20" t="n">
        <v>1.10157277</v>
      </c>
      <c r="G32" s="18" t="n">
        <v>86.18682989</v>
      </c>
      <c r="H32" s="20" t="n">
        <v>1.23833005</v>
      </c>
      <c r="I32" s="18" t="s">
        <v>349</v>
      </c>
      <c r="J32" s="20" t="s">
        <v>349</v>
      </c>
      <c r="K32" s="18" t="n">
        <v>0.51391907</v>
      </c>
      <c r="L32" s="20" t="n">
        <v>0.24963953</v>
      </c>
      <c r="M32" s="18" t="n">
        <v>0</v>
      </c>
      <c r="N32" s="20" t="n">
        <v>0</v>
      </c>
      <c r="O32" s="18" t="n">
        <v>0</v>
      </c>
      <c r="P32" s="20" t="n">
        <v>0</v>
      </c>
      <c r="Q32" s="18" t="n">
        <v>1.26805194</v>
      </c>
      <c r="R32" s="20" t="n">
        <v>0.44720124</v>
      </c>
    </row>
    <row r="33" spans="1:18">
      <c r="A33" s="15" t="s">
        <v>375</v>
      </c>
      <c r="B33" s="17" t="n">
        <v>7325</v>
      </c>
      <c r="C33" s="18">
        <f>(6441.0/B33*100)</f>
        <v/>
      </c>
      <c r="D33" s="19" t="n">
        <v>884</v>
      </c>
      <c r="E33" s="18" t="n">
        <v>16.01074756</v>
      </c>
      <c r="F33" s="20" t="n">
        <v>1.55967988</v>
      </c>
      <c r="G33" s="18" t="n">
        <v>82.05798188</v>
      </c>
      <c r="H33" s="20" t="n">
        <v>1.66552653</v>
      </c>
      <c r="I33" s="18" t="s">
        <v>349</v>
      </c>
      <c r="J33" s="20" t="s">
        <v>349</v>
      </c>
      <c r="K33" s="18" t="n">
        <v>0.18382116</v>
      </c>
      <c r="L33" s="20" t="n">
        <v>0.17726293</v>
      </c>
      <c r="M33" s="18" t="n">
        <v>0</v>
      </c>
      <c r="N33" s="20" t="n">
        <v>0</v>
      </c>
      <c r="O33" s="18" t="n">
        <v>0</v>
      </c>
      <c r="P33" s="20" t="n">
        <v>0</v>
      </c>
      <c r="Q33" s="18" t="n">
        <v>1.7474494</v>
      </c>
      <c r="R33" s="20" t="n">
        <v>0.63528613</v>
      </c>
    </row>
    <row r="34" spans="1:18">
      <c r="A34" s="15" t="s">
        <v>376</v>
      </c>
      <c r="B34" s="17" t="n">
        <v>6350</v>
      </c>
      <c r="C34" s="18">
        <f>(5584.0/B34*100)</f>
        <v/>
      </c>
      <c r="D34" s="19" t="n">
        <v>766</v>
      </c>
      <c r="E34" s="18" t="n">
        <v>22.49961836</v>
      </c>
      <c r="F34" s="20" t="n">
        <v>1.61560589</v>
      </c>
      <c r="G34" s="18" t="n">
        <v>74.66492418999999</v>
      </c>
      <c r="H34" s="20" t="n">
        <v>1.54660849</v>
      </c>
      <c r="I34" s="18" t="s">
        <v>349</v>
      </c>
      <c r="J34" s="20" t="s">
        <v>349</v>
      </c>
      <c r="K34" s="18" t="n">
        <v>0.21773168</v>
      </c>
      <c r="L34" s="20" t="n">
        <v>0.15694153</v>
      </c>
      <c r="M34" s="18" t="n">
        <v>0</v>
      </c>
      <c r="N34" s="20" t="n">
        <v>0</v>
      </c>
      <c r="O34" s="18" t="n">
        <v>0</v>
      </c>
      <c r="P34" s="20" t="n">
        <v>0</v>
      </c>
      <c r="Q34" s="18" t="n">
        <v>2.61772578</v>
      </c>
      <c r="R34" s="20" t="n">
        <v>0.55431378</v>
      </c>
    </row>
    <row r="35" spans="1:18">
      <c r="A35" s="15" t="s">
        <v>377</v>
      </c>
      <c r="B35" s="17" t="n">
        <v>6406</v>
      </c>
      <c r="C35" s="18">
        <f>(5608.0/B35*100)</f>
        <v/>
      </c>
      <c r="D35" s="19" t="n">
        <v>798</v>
      </c>
      <c r="E35" s="18" t="n">
        <v>13.55700724</v>
      </c>
      <c r="F35" s="20" t="n">
        <v>1.30833417</v>
      </c>
      <c r="G35" s="18" t="n">
        <v>85.78113333</v>
      </c>
      <c r="H35" s="20" t="n">
        <v>1.30600335</v>
      </c>
      <c r="I35" s="18" t="s">
        <v>349</v>
      </c>
      <c r="J35" s="20" t="s">
        <v>349</v>
      </c>
      <c r="K35" s="18" t="n">
        <v>0.05886575</v>
      </c>
      <c r="L35" s="20" t="n">
        <v>0.05945667</v>
      </c>
      <c r="M35" s="18" t="n">
        <v>0</v>
      </c>
      <c r="N35" s="20" t="n">
        <v>0</v>
      </c>
      <c r="O35" s="18" t="n">
        <v>0</v>
      </c>
      <c r="P35" s="20" t="n">
        <v>0</v>
      </c>
      <c r="Q35" s="18" t="n">
        <v>0.60299368</v>
      </c>
      <c r="R35" s="20" t="n">
        <v>0.17187934</v>
      </c>
    </row>
    <row r="36" spans="1:18">
      <c r="A36" s="15" t="s">
        <v>378</v>
      </c>
      <c r="B36" s="17" t="n">
        <v>6736</v>
      </c>
      <c r="C36" s="18">
        <f>(5917.0/B36*100)</f>
        <v/>
      </c>
      <c r="D36" s="19" t="n">
        <v>819</v>
      </c>
      <c r="E36" s="18" t="n">
        <v>17.73992783</v>
      </c>
      <c r="F36" s="20" t="n">
        <v>1.16311544</v>
      </c>
      <c r="G36" s="18" t="n">
        <v>80.63040761000001</v>
      </c>
      <c r="H36" s="20" t="n">
        <v>1.28299433</v>
      </c>
      <c r="I36" s="18" t="s">
        <v>349</v>
      </c>
      <c r="J36" s="20" t="s">
        <v>349</v>
      </c>
      <c r="K36" s="18" t="n">
        <v>0.49872989</v>
      </c>
      <c r="L36" s="20" t="n">
        <v>0.27075182</v>
      </c>
      <c r="M36" s="18" t="n">
        <v>0</v>
      </c>
      <c r="N36" s="20" t="n">
        <v>0</v>
      </c>
      <c r="O36" s="18" t="n">
        <v>0</v>
      </c>
      <c r="P36" s="20" t="n">
        <v>0</v>
      </c>
      <c r="Q36" s="18" t="n">
        <v>1.13093467</v>
      </c>
      <c r="R36" s="20" t="n">
        <v>0.38641769</v>
      </c>
    </row>
    <row r="37" spans="1:18">
      <c r="A37" s="15" t="s">
        <v>379</v>
      </c>
      <c r="B37" s="17" t="n">
        <v>5458</v>
      </c>
      <c r="C37" s="18">
        <f>(4799.0/B37*100)</f>
        <v/>
      </c>
      <c r="D37" s="19" t="n">
        <v>659</v>
      </c>
      <c r="E37" s="18" t="n">
        <v>12.61571946</v>
      </c>
      <c r="F37" s="20" t="n">
        <v>1.27372899</v>
      </c>
      <c r="G37" s="18" t="n">
        <v>84.28959308</v>
      </c>
      <c r="H37" s="20" t="n">
        <v>1.47588341</v>
      </c>
      <c r="I37" s="18" t="s">
        <v>349</v>
      </c>
      <c r="J37" s="20" t="s">
        <v>349</v>
      </c>
      <c r="K37" s="18" t="n">
        <v>0.48141587</v>
      </c>
      <c r="L37" s="20" t="n">
        <v>0.30325356</v>
      </c>
      <c r="M37" s="18" t="n">
        <v>0</v>
      </c>
      <c r="N37" s="20" t="n">
        <v>0</v>
      </c>
      <c r="O37" s="18" t="n">
        <v>0</v>
      </c>
      <c r="P37" s="20" t="n">
        <v>0</v>
      </c>
      <c r="Q37" s="18" t="n">
        <v>2.61327158</v>
      </c>
      <c r="R37" s="20" t="n">
        <v>0.73184043</v>
      </c>
    </row>
    <row r="38" spans="1:18">
      <c r="A38" s="15" t="s">
        <v>380</v>
      </c>
      <c r="B38" s="17" t="n">
        <v>5860</v>
      </c>
      <c r="C38" s="18">
        <f>(4906.0/B38*100)</f>
        <v/>
      </c>
      <c r="D38" s="19" t="n">
        <v>954</v>
      </c>
      <c r="E38" s="18" t="n">
        <v>11.83141666</v>
      </c>
      <c r="F38" s="20" t="n">
        <v>1.29635865</v>
      </c>
      <c r="G38" s="18" t="n">
        <v>86.54835297</v>
      </c>
      <c r="H38" s="20" t="n">
        <v>1.26410286</v>
      </c>
      <c r="I38" s="18" t="s">
        <v>349</v>
      </c>
      <c r="J38" s="20" t="s">
        <v>349</v>
      </c>
      <c r="K38" s="18" t="n">
        <v>0.24319877</v>
      </c>
      <c r="L38" s="20" t="n">
        <v>0.1569225</v>
      </c>
      <c r="M38" s="18" t="n">
        <v>0</v>
      </c>
      <c r="N38" s="20" t="n">
        <v>0</v>
      </c>
      <c r="O38" s="18" t="n">
        <v>0</v>
      </c>
      <c r="P38" s="20" t="n">
        <v>0</v>
      </c>
      <c r="Q38" s="18" t="n">
        <v>1.37703159</v>
      </c>
      <c r="R38" s="20" t="n">
        <v>0.46229885</v>
      </c>
    </row>
    <row r="39" spans="1:18">
      <c r="A39" s="15" t="s">
        <v>381</v>
      </c>
      <c r="B39" s="17" t="n">
        <v>5895</v>
      </c>
      <c r="C39" s="18">
        <f>(5147.0/B39*100)</f>
        <v/>
      </c>
      <c r="D39" s="19" t="n">
        <v>748</v>
      </c>
      <c r="E39" s="18" t="n">
        <v>30.27224988</v>
      </c>
      <c r="F39" s="20" t="n">
        <v>1.7169073</v>
      </c>
      <c r="G39" s="18" t="n">
        <v>67.8994862</v>
      </c>
      <c r="H39" s="20" t="n">
        <v>1.71842524</v>
      </c>
      <c r="I39" s="18" t="s">
        <v>349</v>
      </c>
      <c r="J39" s="20" t="s">
        <v>349</v>
      </c>
      <c r="K39" s="18" t="n">
        <v>0</v>
      </c>
      <c r="L39" s="20" t="n">
        <v>0</v>
      </c>
      <c r="M39" s="18" t="n">
        <v>0</v>
      </c>
      <c r="N39" s="20" t="n">
        <v>0</v>
      </c>
      <c r="O39" s="18" t="n">
        <v>0</v>
      </c>
      <c r="P39" s="20" t="n">
        <v>0</v>
      </c>
      <c r="Q39" s="18" t="n">
        <v>1.82826392</v>
      </c>
      <c r="R39" s="20" t="n">
        <v>0.48064474</v>
      </c>
    </row>
    <row r="40" spans="1:18">
      <c r="A40" s="15" t="s">
        <v>382</v>
      </c>
      <c r="B40" s="17" t="n">
        <v>14157</v>
      </c>
      <c r="C40" s="18">
        <f>(12383.0/B40*100)</f>
        <v/>
      </c>
      <c r="D40" s="19" t="n">
        <v>1774</v>
      </c>
      <c r="E40" s="18" t="n">
        <v>18.69925393</v>
      </c>
      <c r="F40" s="20" t="n">
        <v>1.34217634</v>
      </c>
      <c r="G40" s="18" t="n">
        <v>80.48062901</v>
      </c>
      <c r="H40" s="20" t="n">
        <v>1.3513752</v>
      </c>
      <c r="I40" s="18" t="s">
        <v>349</v>
      </c>
      <c r="J40" s="20" t="s">
        <v>349</v>
      </c>
      <c r="K40" s="18" t="n">
        <v>0.24239802</v>
      </c>
      <c r="L40" s="20" t="n">
        <v>0.13990844</v>
      </c>
      <c r="M40" s="18" t="n">
        <v>0</v>
      </c>
      <c r="N40" s="20" t="n">
        <v>0</v>
      </c>
      <c r="O40" s="18" t="n">
        <v>0</v>
      </c>
      <c r="P40" s="20" t="n">
        <v>0</v>
      </c>
      <c r="Q40" s="18" t="n">
        <v>0.57771904</v>
      </c>
      <c r="R40" s="20" t="n">
        <v>0.19396871</v>
      </c>
    </row>
    <row r="41" spans="1:18">
      <c r="A41" s="15" t="s">
        <v>383</v>
      </c>
      <c r="B41" s="17" t="n">
        <v>5712</v>
      </c>
      <c r="C41" s="18">
        <f>(5022.0/B41*100)</f>
        <v/>
      </c>
      <c r="D41" s="19" t="n">
        <v>690</v>
      </c>
      <c r="E41" s="18" t="n">
        <v>23.57921971</v>
      </c>
      <c r="F41" s="20" t="n">
        <v>1.66762296</v>
      </c>
      <c r="G41" s="18" t="n">
        <v>76.29306898999999</v>
      </c>
      <c r="H41" s="20" t="n">
        <v>1.66469316</v>
      </c>
      <c r="I41" s="18" t="s">
        <v>349</v>
      </c>
      <c r="J41" s="20" t="s">
        <v>349</v>
      </c>
      <c r="K41" s="18" t="n">
        <v>0</v>
      </c>
      <c r="L41" s="20" t="n">
        <v>0</v>
      </c>
      <c r="M41" s="18" t="n">
        <v>0</v>
      </c>
      <c r="N41" s="20" t="n">
        <v>0</v>
      </c>
      <c r="O41" s="18" t="n">
        <v>0</v>
      </c>
      <c r="P41" s="20" t="n">
        <v>0</v>
      </c>
      <c r="Q41" s="18" t="n">
        <v>0.1277113</v>
      </c>
      <c r="R41" s="20" t="n">
        <v>0.12862785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(8618.0/B48*100)</f>
        <v/>
      </c>
      <c r="D48" s="19" t="n">
        <v>1223</v>
      </c>
      <c r="E48" s="18" t="n">
        <v>16.47861548</v>
      </c>
      <c r="F48" s="20" t="n">
        <v>1.57875685</v>
      </c>
      <c r="G48" s="18" t="n">
        <v>82.67554217999999</v>
      </c>
      <c r="H48" s="20" t="n">
        <v>1.66020594</v>
      </c>
      <c r="I48" s="18" t="s">
        <v>349</v>
      </c>
      <c r="J48" s="20" t="s">
        <v>349</v>
      </c>
      <c r="K48" s="18" t="n">
        <v>0.2953569</v>
      </c>
      <c r="L48" s="20" t="n">
        <v>0.18896383</v>
      </c>
      <c r="M48" s="18" t="n">
        <v>0</v>
      </c>
      <c r="N48" s="20" t="n">
        <v>0</v>
      </c>
      <c r="O48" s="18" t="n">
        <v>0</v>
      </c>
      <c r="P48" s="20" t="n">
        <v>0</v>
      </c>
      <c r="Q48" s="18" t="n">
        <v>0.55048544</v>
      </c>
      <c r="R48" s="20" t="n">
        <v>0.25439168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(5088.0/B52*100)</f>
        <v/>
      </c>
      <c r="D52" s="19" t="n">
        <v>721</v>
      </c>
      <c r="E52" s="18" t="n">
        <v>14.89926282</v>
      </c>
      <c r="F52" s="20" t="n">
        <v>1.28460057</v>
      </c>
      <c r="G52" s="18" t="n">
        <v>81.4089783</v>
      </c>
      <c r="H52" s="20" t="n">
        <v>1.64233059</v>
      </c>
      <c r="I52" s="18" t="s">
        <v>349</v>
      </c>
      <c r="J52" s="20" t="s">
        <v>349</v>
      </c>
      <c r="K52" s="18" t="n">
        <v>0.84848855</v>
      </c>
      <c r="L52" s="20" t="n">
        <v>0.26692963</v>
      </c>
      <c r="M52" s="18" t="n">
        <v>0</v>
      </c>
      <c r="N52" s="20" t="n">
        <v>0</v>
      </c>
      <c r="O52" s="18" t="n">
        <v>0</v>
      </c>
      <c r="P52" s="20" t="n">
        <v>0</v>
      </c>
      <c r="Q52" s="18" t="n">
        <v>2.84327033</v>
      </c>
      <c r="R52" s="20" t="n">
        <v>0.70577459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(4694.0/B56*100)</f>
        <v/>
      </c>
      <c r="D56" s="19" t="n">
        <v>665</v>
      </c>
      <c r="E56" s="18" t="n">
        <v>6.50745563</v>
      </c>
      <c r="F56" s="20" t="n">
        <v>0.96358719</v>
      </c>
      <c r="G56" s="18" t="n">
        <v>92.36496325</v>
      </c>
      <c r="H56" s="20" t="n">
        <v>0.9699688400000001</v>
      </c>
      <c r="I56" s="18" t="s">
        <v>349</v>
      </c>
      <c r="J56" s="20" t="s">
        <v>349</v>
      </c>
      <c r="K56" s="18" t="n">
        <v>0.27689862</v>
      </c>
      <c r="L56" s="20" t="n">
        <v>0.30902442</v>
      </c>
      <c r="M56" s="18" t="n">
        <v>0</v>
      </c>
      <c r="N56" s="20" t="n">
        <v>0</v>
      </c>
      <c r="O56" s="18" t="n">
        <v>0</v>
      </c>
      <c r="P56" s="20" t="n">
        <v>0</v>
      </c>
      <c r="Q56" s="18" t="n">
        <v>0.8506825</v>
      </c>
      <c r="R56" s="20" t="n">
        <v>0.35838434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20.47070615</v>
      </c>
      <c r="F61" s="20" t="n">
        <v>1.84321792</v>
      </c>
      <c r="G61" s="18" t="n">
        <v>78.14802252</v>
      </c>
      <c r="H61" s="20" t="n">
        <v>1.83736707</v>
      </c>
      <c r="I61" s="18" t="s">
        <v>349</v>
      </c>
      <c r="J61" s="20" t="s">
        <v>349</v>
      </c>
      <c r="K61" s="18" t="n">
        <v>0.12348309</v>
      </c>
      <c r="L61" s="20" t="n">
        <v>0.11937207</v>
      </c>
      <c r="M61" s="18" t="n">
        <v>0</v>
      </c>
      <c r="N61" s="20" t="n">
        <v>0</v>
      </c>
      <c r="O61" s="18" t="n">
        <v>0</v>
      </c>
      <c r="P61" s="20" t="n">
        <v>0</v>
      </c>
      <c r="Q61" s="18" t="n">
        <v>1.25778824</v>
      </c>
      <c r="R61" s="20" t="n">
        <v>0.45546676</v>
      </c>
    </row>
    <row r="62" spans="1:18">
      <c r="A62" s="15" t="s">
        <v>404</v>
      </c>
      <c r="B62" s="17" t="n">
        <v>4476</v>
      </c>
      <c r="C62" s="18">
        <f>(3918.0/B62*100)</f>
        <v/>
      </c>
      <c r="D62" s="19" t="n">
        <v>558</v>
      </c>
      <c r="E62" s="18" t="n">
        <v>13.9839946</v>
      </c>
      <c r="F62" s="20" t="n">
        <v>1.35280058</v>
      </c>
      <c r="G62" s="18" t="n">
        <v>85.83805923</v>
      </c>
      <c r="H62" s="20" t="n">
        <v>1.35521012</v>
      </c>
      <c r="I62" s="18" t="s">
        <v>349</v>
      </c>
      <c r="J62" s="20" t="s">
        <v>349</v>
      </c>
      <c r="K62" s="18" t="n">
        <v>0</v>
      </c>
      <c r="L62" s="20" t="n">
        <v>0</v>
      </c>
      <c r="M62" s="18" t="n">
        <v>0</v>
      </c>
      <c r="N62" s="20" t="n">
        <v>0</v>
      </c>
      <c r="O62" s="18" t="n">
        <v>0</v>
      </c>
      <c r="P62" s="20" t="n">
        <v>0</v>
      </c>
      <c r="Q62" s="18" t="n">
        <v>0.17794618</v>
      </c>
      <c r="R62" s="20" t="n">
        <v>0.17676727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(4970.0/B66*100)</f>
        <v/>
      </c>
      <c r="D66" s="19" t="n">
        <v>695</v>
      </c>
      <c r="E66" s="18" t="n">
        <v>29.88214207</v>
      </c>
      <c r="F66" s="20" t="n">
        <v>1.84033036</v>
      </c>
      <c r="G66" s="18" t="n">
        <v>63.86133361</v>
      </c>
      <c r="H66" s="20" t="n">
        <v>1.86194548</v>
      </c>
      <c r="I66" s="18" t="s">
        <v>349</v>
      </c>
      <c r="J66" s="20" t="s">
        <v>349</v>
      </c>
      <c r="K66" s="18" t="n">
        <v>0.49755427</v>
      </c>
      <c r="L66" s="20" t="n">
        <v>0.25098849</v>
      </c>
      <c r="M66" s="18" t="n">
        <v>0</v>
      </c>
      <c r="N66" s="20" t="n">
        <v>0</v>
      </c>
      <c r="O66" s="18" t="n">
        <v>0</v>
      </c>
      <c r="P66" s="20" t="n">
        <v>0</v>
      </c>
      <c r="Q66" s="18" t="n">
        <v>5.75897005</v>
      </c>
      <c r="R66" s="20" t="n">
        <v>0.84644938</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(10055.0/B68*100)</f>
        <v/>
      </c>
      <c r="D68" s="19" t="n">
        <v>2028</v>
      </c>
      <c r="E68" s="18" t="n">
        <v>45.82918104</v>
      </c>
      <c r="F68" s="20" t="n">
        <v>0.96640325</v>
      </c>
      <c r="G68" s="18" t="n">
        <v>49.89730754</v>
      </c>
      <c r="H68" s="20" t="n">
        <v>0.98906665</v>
      </c>
      <c r="I68" s="18" t="s">
        <v>349</v>
      </c>
      <c r="J68" s="20" t="s">
        <v>349</v>
      </c>
      <c r="K68" s="18" t="n">
        <v>1.22309829</v>
      </c>
      <c r="L68" s="20" t="n">
        <v>0.220303</v>
      </c>
      <c r="M68" s="18" t="n">
        <v>0</v>
      </c>
      <c r="N68" s="20" t="n">
        <v>0</v>
      </c>
      <c r="O68" s="18" t="n">
        <v>0</v>
      </c>
      <c r="P68" s="20" t="n">
        <v>0</v>
      </c>
      <c r="Q68" s="18" t="n">
        <v>3.05041313</v>
      </c>
      <c r="R68" s="20" t="n">
        <v>0.35872545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(5265.0/B70*100)</f>
        <v/>
      </c>
      <c r="D70" s="19" t="n">
        <v>771</v>
      </c>
      <c r="E70" s="18" t="n">
        <v>18.9789365</v>
      </c>
      <c r="F70" s="20" t="n">
        <v>1.40720261</v>
      </c>
      <c r="G70" s="18" t="n">
        <v>79.92010145</v>
      </c>
      <c r="H70" s="20" t="n">
        <v>1.58866563</v>
      </c>
      <c r="I70" s="18" t="s">
        <v>349</v>
      </c>
      <c r="J70" s="20" t="s">
        <v>349</v>
      </c>
      <c r="K70" s="18" t="n">
        <v>0.13935791</v>
      </c>
      <c r="L70" s="20" t="n">
        <v>0.13803278</v>
      </c>
      <c r="M70" s="18" t="n">
        <v>0</v>
      </c>
      <c r="N70" s="20" t="n">
        <v>0</v>
      </c>
      <c r="O70" s="18" t="n">
        <v>0</v>
      </c>
      <c r="P70" s="20" t="n">
        <v>0</v>
      </c>
      <c r="Q70" s="18" t="n">
        <v>0.9616041400000001</v>
      </c>
      <c r="R70" s="20" t="n">
        <v>0.41609227</v>
      </c>
    </row>
    <row r="71" spans="1:18">
      <c r="A71" s="15" t="s">
        <v>413</v>
      </c>
      <c r="B71" s="17" t="n">
        <v>6115</v>
      </c>
      <c r="C71" s="18">
        <f>(5352.0/B71*100)</f>
        <v/>
      </c>
      <c r="D71" s="19" t="n">
        <v>763</v>
      </c>
      <c r="E71" s="18" t="n">
        <v>10.80639074</v>
      </c>
      <c r="F71" s="20" t="n">
        <v>1.07391386</v>
      </c>
      <c r="G71" s="18" t="n">
        <v>88.92603260999999</v>
      </c>
      <c r="H71" s="20" t="n">
        <v>1.08008152</v>
      </c>
      <c r="I71" s="18" t="s">
        <v>349</v>
      </c>
      <c r="J71" s="20" t="s">
        <v>349</v>
      </c>
      <c r="K71" s="18" t="n">
        <v>0.12390278</v>
      </c>
      <c r="L71" s="20" t="n">
        <v>0.12483969</v>
      </c>
      <c r="M71" s="18" t="n">
        <v>0</v>
      </c>
      <c r="N71" s="20" t="n">
        <v>0</v>
      </c>
      <c r="O71" s="18" t="n">
        <v>0</v>
      </c>
      <c r="P71" s="20" t="n">
        <v>0</v>
      </c>
      <c r="Q71" s="18" t="n">
        <v>0.14367387</v>
      </c>
      <c r="R71" s="20" t="n">
        <v>0.1439666</v>
      </c>
    </row>
    <row r="72" spans="1:18">
      <c r="A72" s="15" t="s">
        <v>414</v>
      </c>
      <c r="B72" s="17" t="n">
        <v>7708</v>
      </c>
      <c r="C72" s="18">
        <f>(6756.0/B72*100)</f>
        <v/>
      </c>
      <c r="D72" s="19" t="n">
        <v>952</v>
      </c>
      <c r="E72" s="18" t="n">
        <v>13.11940122</v>
      </c>
      <c r="F72" s="20" t="n">
        <v>1.13175007</v>
      </c>
      <c r="G72" s="18" t="n">
        <v>85.83364872999999</v>
      </c>
      <c r="H72" s="20" t="n">
        <v>1.23269877</v>
      </c>
      <c r="I72" s="18" t="s">
        <v>349</v>
      </c>
      <c r="J72" s="20" t="s">
        <v>349</v>
      </c>
      <c r="K72" s="18" t="n">
        <v>0.247881</v>
      </c>
      <c r="L72" s="20" t="n">
        <v>0.16168085</v>
      </c>
      <c r="M72" s="18" t="n">
        <v>0</v>
      </c>
      <c r="N72" s="20" t="n">
        <v>0</v>
      </c>
      <c r="O72" s="18" t="n">
        <v>0</v>
      </c>
      <c r="P72" s="20" t="n">
        <v>0</v>
      </c>
      <c r="Q72" s="18" t="n">
        <v>0.79906906</v>
      </c>
      <c r="R72" s="20" t="n">
        <v>0.29384267</v>
      </c>
    </row>
    <row r="73" spans="1:18">
      <c r="A73" s="15" t="s">
        <v>415</v>
      </c>
      <c r="B73" s="17" t="n">
        <v>8249</v>
      </c>
      <c r="C73" s="18">
        <f>(7226.0/B73*100)</f>
        <v/>
      </c>
      <c r="D73" s="19" t="n">
        <v>1023</v>
      </c>
      <c r="E73" s="18" t="n">
        <v>49.20223774</v>
      </c>
      <c r="F73" s="20" t="n">
        <v>2.01027678</v>
      </c>
      <c r="G73" s="18" t="n">
        <v>50.03423206</v>
      </c>
      <c r="H73" s="20" t="n">
        <v>1.97722848</v>
      </c>
      <c r="I73" s="18" t="s">
        <v>349</v>
      </c>
      <c r="J73" s="20" t="s">
        <v>349</v>
      </c>
      <c r="K73" s="18" t="n">
        <v>0</v>
      </c>
      <c r="L73" s="20" t="n">
        <v>0</v>
      </c>
      <c r="M73" s="18" t="n">
        <v>0</v>
      </c>
      <c r="N73" s="20" t="n">
        <v>0</v>
      </c>
      <c r="O73" s="18" t="n">
        <v>0</v>
      </c>
      <c r="P73" s="20" t="n">
        <v>0</v>
      </c>
      <c r="Q73" s="18" t="n">
        <v>0.7635302</v>
      </c>
      <c r="R73" s="20" t="n">
        <v>0.44391902</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(7749.0/B81*100)</f>
        <v/>
      </c>
      <c r="D81" s="19" t="n">
        <v>1112</v>
      </c>
      <c r="E81" s="18" t="n">
        <v>24.95558128</v>
      </c>
      <c r="F81" s="20" t="n">
        <v>1.6488841</v>
      </c>
      <c r="G81" s="18" t="n">
        <v>74.70495814</v>
      </c>
      <c r="H81" s="20" t="n">
        <v>1.73318402</v>
      </c>
      <c r="I81" s="18" t="s">
        <v>349</v>
      </c>
      <c r="J81" s="20" t="s">
        <v>349</v>
      </c>
      <c r="K81" s="18" t="n">
        <v>0.009187290000000001</v>
      </c>
      <c r="L81" s="20" t="n">
        <v>0.31121872</v>
      </c>
      <c r="M81" s="18" t="n">
        <v>0</v>
      </c>
      <c r="N81" s="20" t="n">
        <v>0</v>
      </c>
      <c r="O81" s="18" t="n">
        <v>0</v>
      </c>
      <c r="P81" s="20" t="n">
        <v>0</v>
      </c>
      <c r="Q81" s="18" t="n">
        <v>0.33027329</v>
      </c>
      <c r="R81" s="20" t="n">
        <v>0.18931951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(12766.0/B7*100)</f>
        <v/>
      </c>
      <c r="D7" s="19" t="n">
        <v>1764</v>
      </c>
      <c r="E7" s="18" t="n">
        <v>50.35327219</v>
      </c>
      <c r="F7" s="20" t="n">
        <v>1.46301362</v>
      </c>
      <c r="G7" s="18" t="n">
        <v>46.31911186</v>
      </c>
      <c r="H7" s="20" t="n">
        <v>1.432045</v>
      </c>
      <c r="I7" s="18" t="s">
        <v>349</v>
      </c>
      <c r="J7" s="20" t="s">
        <v>349</v>
      </c>
      <c r="K7" s="18" t="n">
        <v>0.49467256</v>
      </c>
      <c r="L7" s="20" t="n">
        <v>0.18990939</v>
      </c>
      <c r="M7" s="18" t="n">
        <v>0</v>
      </c>
      <c r="N7" s="20" t="n">
        <v>0</v>
      </c>
      <c r="O7" s="18" t="n">
        <v>0</v>
      </c>
      <c r="P7" s="20" t="n">
        <v>0</v>
      </c>
      <c r="Q7" s="18" t="n">
        <v>2.8329434</v>
      </c>
      <c r="R7" s="20" t="n">
        <v>0.42720026</v>
      </c>
    </row>
    <row r="8" spans="1:18">
      <c r="A8" s="15" t="s">
        <v>350</v>
      </c>
      <c r="B8" s="17" t="n">
        <v>7007</v>
      </c>
      <c r="C8" s="18">
        <f>(6169.0/B8*100)</f>
        <v/>
      </c>
      <c r="D8" s="19" t="n">
        <v>838</v>
      </c>
      <c r="E8" s="18" t="n">
        <v>50.57839904</v>
      </c>
      <c r="F8" s="20" t="n">
        <v>2.04654344</v>
      </c>
      <c r="G8" s="18" t="n">
        <v>46.44587358</v>
      </c>
      <c r="H8" s="20" t="n">
        <v>2.04688471</v>
      </c>
      <c r="I8" s="18" t="s">
        <v>349</v>
      </c>
      <c r="J8" s="20" t="s">
        <v>349</v>
      </c>
      <c r="K8" s="18" t="n">
        <v>0</v>
      </c>
      <c r="L8" s="20" t="n">
        <v>0</v>
      </c>
      <c r="M8" s="18" t="n">
        <v>0</v>
      </c>
      <c r="N8" s="20" t="n">
        <v>0</v>
      </c>
      <c r="O8" s="18" t="n">
        <v>0</v>
      </c>
      <c r="P8" s="20" t="n">
        <v>0</v>
      </c>
      <c r="Q8" s="18" t="n">
        <v>2.97572738</v>
      </c>
      <c r="R8" s="20" t="n">
        <v>0.58920176</v>
      </c>
    </row>
    <row r="9" spans="1:18">
      <c r="A9" s="15" t="s">
        <v>351</v>
      </c>
      <c r="B9" s="17" t="n">
        <v>9651</v>
      </c>
      <c r="C9" s="18">
        <f>(8474.0/B9*100)</f>
        <v/>
      </c>
      <c r="D9" s="19" t="n">
        <v>1177</v>
      </c>
      <c r="E9" s="18" t="n">
        <v>46.49092694</v>
      </c>
      <c r="F9" s="20" t="n">
        <v>1.51265217</v>
      </c>
      <c r="G9" s="18" t="n">
        <v>50.85600849</v>
      </c>
      <c r="H9" s="20" t="n">
        <v>1.56001395</v>
      </c>
      <c r="I9" s="18" t="s">
        <v>349</v>
      </c>
      <c r="J9" s="20" t="s">
        <v>349</v>
      </c>
      <c r="K9" s="18" t="n">
        <v>0.45602691</v>
      </c>
      <c r="L9" s="20" t="n">
        <v>0.20451356</v>
      </c>
      <c r="M9" s="18" t="n">
        <v>0</v>
      </c>
      <c r="N9" s="20" t="n">
        <v>0</v>
      </c>
      <c r="O9" s="18" t="n">
        <v>0</v>
      </c>
      <c r="P9" s="20" t="n">
        <v>0</v>
      </c>
      <c r="Q9" s="18" t="n">
        <v>2.19703766</v>
      </c>
      <c r="R9" s="20" t="n">
        <v>0.48530827</v>
      </c>
    </row>
    <row r="10" spans="1:18">
      <c r="A10" s="15" t="s">
        <v>352</v>
      </c>
      <c r="B10" s="17" t="n">
        <v>20058</v>
      </c>
      <c r="C10" s="18">
        <f>(17602.0/B10*100)</f>
        <v/>
      </c>
      <c r="D10" s="19" t="n">
        <v>2456</v>
      </c>
      <c r="E10" s="18" t="n">
        <v>48.24485194</v>
      </c>
      <c r="F10" s="20" t="n">
        <v>1.47677974</v>
      </c>
      <c r="G10" s="18" t="n">
        <v>50.28628341</v>
      </c>
      <c r="H10" s="20" t="n">
        <v>1.6233453</v>
      </c>
      <c r="I10" s="18" t="s">
        <v>349</v>
      </c>
      <c r="J10" s="20" t="s">
        <v>349</v>
      </c>
      <c r="K10" s="18" t="n">
        <v>0.33287011</v>
      </c>
      <c r="L10" s="20" t="n">
        <v>0.15684959</v>
      </c>
      <c r="M10" s="18" t="n">
        <v>0</v>
      </c>
      <c r="N10" s="20" t="n">
        <v>0</v>
      </c>
      <c r="O10" s="18" t="n">
        <v>0</v>
      </c>
      <c r="P10" s="20" t="n">
        <v>0</v>
      </c>
      <c r="Q10" s="18" t="n">
        <v>1.13599453</v>
      </c>
      <c r="R10" s="20" t="n">
        <v>0.35507769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(6069.0/B12*100)</f>
        <v/>
      </c>
      <c r="D12" s="19" t="n">
        <v>825</v>
      </c>
      <c r="E12" s="18" t="n">
        <v>49.05703788</v>
      </c>
      <c r="F12" s="20" t="n">
        <v>1.76283312</v>
      </c>
      <c r="G12" s="18" t="n">
        <v>47.97895617</v>
      </c>
      <c r="H12" s="20" t="n">
        <v>1.79941162</v>
      </c>
      <c r="I12" s="18" t="s">
        <v>349</v>
      </c>
      <c r="J12" s="20" t="s">
        <v>349</v>
      </c>
      <c r="K12" s="18" t="n">
        <v>0</v>
      </c>
      <c r="L12" s="20" t="n">
        <v>0</v>
      </c>
      <c r="M12" s="18" t="n">
        <v>0</v>
      </c>
      <c r="N12" s="20" t="n">
        <v>0</v>
      </c>
      <c r="O12" s="18" t="n">
        <v>0</v>
      </c>
      <c r="P12" s="20" t="n">
        <v>0</v>
      </c>
      <c r="Q12" s="18" t="n">
        <v>2.96400595</v>
      </c>
      <c r="R12" s="20" t="n">
        <v>0.66604178</v>
      </c>
    </row>
    <row r="13" spans="1:18">
      <c r="A13" s="15" t="s">
        <v>355</v>
      </c>
      <c r="B13" s="17" t="n">
        <v>7161</v>
      </c>
      <c r="C13" s="18">
        <f>(6322.0/B13*100)</f>
        <v/>
      </c>
      <c r="D13" s="19" t="n">
        <v>839</v>
      </c>
      <c r="E13" s="18" t="n">
        <v>44.98461956</v>
      </c>
      <c r="F13" s="20" t="n">
        <v>2.07715371</v>
      </c>
      <c r="G13" s="18" t="n">
        <v>52.24723485</v>
      </c>
      <c r="H13" s="20" t="n">
        <v>2.23954946</v>
      </c>
      <c r="I13" s="18" t="s">
        <v>349</v>
      </c>
      <c r="J13" s="20" t="s">
        <v>349</v>
      </c>
      <c r="K13" s="18" t="n">
        <v>0.5532114</v>
      </c>
      <c r="L13" s="20" t="n">
        <v>0.29688347</v>
      </c>
      <c r="M13" s="18" t="n">
        <v>0</v>
      </c>
      <c r="N13" s="20" t="n">
        <v>0</v>
      </c>
      <c r="O13" s="18" t="n">
        <v>0</v>
      </c>
      <c r="P13" s="20" t="n">
        <v>0</v>
      </c>
      <c r="Q13" s="18" t="n">
        <v>2.21493419</v>
      </c>
      <c r="R13" s="20" t="n">
        <v>0.6204341799999999</v>
      </c>
    </row>
    <row r="14" spans="1:18">
      <c r="A14" s="15" t="s">
        <v>356</v>
      </c>
      <c r="B14" s="17" t="n">
        <v>5587</v>
      </c>
      <c r="C14" s="18">
        <f>(4873.0/B14*100)</f>
        <v/>
      </c>
      <c r="D14" s="19" t="n">
        <v>714</v>
      </c>
      <c r="E14" s="18" t="n">
        <v>44.65403857</v>
      </c>
      <c r="F14" s="20" t="n">
        <v>2.07877511</v>
      </c>
      <c r="G14" s="18" t="n">
        <v>53.71215867</v>
      </c>
      <c r="H14" s="20" t="n">
        <v>2.05633387</v>
      </c>
      <c r="I14" s="18" t="s">
        <v>349</v>
      </c>
      <c r="J14" s="20" t="s">
        <v>349</v>
      </c>
      <c r="K14" s="18" t="n">
        <v>0.21753246</v>
      </c>
      <c r="L14" s="20" t="n">
        <v>0.15312875</v>
      </c>
      <c r="M14" s="18" t="n">
        <v>0</v>
      </c>
      <c r="N14" s="20" t="n">
        <v>0</v>
      </c>
      <c r="O14" s="18" t="n">
        <v>0</v>
      </c>
      <c r="P14" s="20" t="n">
        <v>0</v>
      </c>
      <c r="Q14" s="18" t="n">
        <v>1.4162703</v>
      </c>
      <c r="R14" s="20" t="n">
        <v>0.45381666</v>
      </c>
    </row>
    <row r="15" spans="1:18">
      <c r="A15" s="15" t="s">
        <v>357</v>
      </c>
      <c r="B15" s="17" t="n">
        <v>5882</v>
      </c>
      <c r="C15" s="18">
        <f>(5154.0/B15*100)</f>
        <v/>
      </c>
      <c r="D15" s="19" t="n">
        <v>728</v>
      </c>
      <c r="E15" s="18" t="n">
        <v>43.63321256</v>
      </c>
      <c r="F15" s="20" t="n">
        <v>1.86262314</v>
      </c>
      <c r="G15" s="18" t="n">
        <v>53.38532122</v>
      </c>
      <c r="H15" s="20" t="n">
        <v>1.90589128</v>
      </c>
      <c r="I15" s="18" t="s">
        <v>349</v>
      </c>
      <c r="J15" s="20" t="s">
        <v>349</v>
      </c>
      <c r="K15" s="18" t="n">
        <v>0.53090024</v>
      </c>
      <c r="L15" s="20" t="n">
        <v>0.26102214</v>
      </c>
      <c r="M15" s="18" t="n">
        <v>0</v>
      </c>
      <c r="N15" s="20" t="n">
        <v>0</v>
      </c>
      <c r="O15" s="18" t="n">
        <v>0</v>
      </c>
      <c r="P15" s="20" t="n">
        <v>0</v>
      </c>
      <c r="Q15" s="18" t="n">
        <v>2.45056597</v>
      </c>
      <c r="R15" s="20" t="n">
        <v>0.55002314</v>
      </c>
    </row>
    <row r="16" spans="1:18">
      <c r="A16" s="15" t="s">
        <v>358</v>
      </c>
      <c r="B16" s="17" t="n">
        <v>6108</v>
      </c>
      <c r="C16" s="18">
        <f>(5347.0/B16*100)</f>
        <v/>
      </c>
      <c r="D16" s="19" t="n">
        <v>761</v>
      </c>
      <c r="E16" s="18" t="n">
        <v>49.75443227</v>
      </c>
      <c r="F16" s="20" t="n">
        <v>1.92635667</v>
      </c>
      <c r="G16" s="18" t="n">
        <v>45.08337275</v>
      </c>
      <c r="H16" s="20" t="n">
        <v>1.81019197</v>
      </c>
      <c r="I16" s="18" t="s">
        <v>349</v>
      </c>
      <c r="J16" s="20" t="s">
        <v>349</v>
      </c>
      <c r="K16" s="18" t="n">
        <v>0.83370069</v>
      </c>
      <c r="L16" s="20" t="n">
        <v>0.3438406</v>
      </c>
      <c r="M16" s="18" t="n">
        <v>0</v>
      </c>
      <c r="N16" s="20" t="n">
        <v>0</v>
      </c>
      <c r="O16" s="18" t="n">
        <v>0</v>
      </c>
      <c r="P16" s="20" t="n">
        <v>0</v>
      </c>
      <c r="Q16" s="18" t="n">
        <v>4.32849429</v>
      </c>
      <c r="R16" s="20" t="n">
        <v>0.73809569</v>
      </c>
    </row>
    <row r="17" spans="1:18">
      <c r="A17" s="15" t="s">
        <v>359</v>
      </c>
      <c r="B17" s="17" t="n">
        <v>6504</v>
      </c>
      <c r="C17" s="18">
        <f>(5707.0/B17*100)</f>
        <v/>
      </c>
      <c r="D17" s="19" t="n">
        <v>797</v>
      </c>
      <c r="E17" s="18" t="n">
        <v>48.53483883</v>
      </c>
      <c r="F17" s="20" t="n">
        <v>1.75039267</v>
      </c>
      <c r="G17" s="18" t="n">
        <v>49.40216033</v>
      </c>
      <c r="H17" s="20" t="n">
        <v>1.76495407</v>
      </c>
      <c r="I17" s="18" t="s">
        <v>349</v>
      </c>
      <c r="J17" s="20" t="s">
        <v>349</v>
      </c>
      <c r="K17" s="18" t="n">
        <v>0.5149241</v>
      </c>
      <c r="L17" s="20" t="n">
        <v>0.237934</v>
      </c>
      <c r="M17" s="18" t="n">
        <v>0</v>
      </c>
      <c r="N17" s="20" t="n">
        <v>0</v>
      </c>
      <c r="O17" s="18" t="n">
        <v>0</v>
      </c>
      <c r="P17" s="20" t="n">
        <v>0</v>
      </c>
      <c r="Q17" s="18" t="n">
        <v>1.54807674</v>
      </c>
      <c r="R17" s="20" t="n">
        <v>0.51815539</v>
      </c>
    </row>
    <row r="18" spans="1:18">
      <c r="A18" s="15" t="s">
        <v>360</v>
      </c>
      <c r="B18" s="17" t="n">
        <v>5532</v>
      </c>
      <c r="C18" s="18">
        <f>(4841.0/B18*100)</f>
        <v/>
      </c>
      <c r="D18" s="19" t="n">
        <v>691</v>
      </c>
      <c r="E18" s="18" t="n">
        <v>55.51337596</v>
      </c>
      <c r="F18" s="20" t="n">
        <v>2.18216064</v>
      </c>
      <c r="G18" s="18" t="n">
        <v>39.73528692</v>
      </c>
      <c r="H18" s="20" t="n">
        <v>2.17332579</v>
      </c>
      <c r="I18" s="18" t="s">
        <v>349</v>
      </c>
      <c r="J18" s="20" t="s">
        <v>349</v>
      </c>
      <c r="K18" s="18" t="n">
        <v>0.57556064</v>
      </c>
      <c r="L18" s="20" t="n">
        <v>0.4184655</v>
      </c>
      <c r="M18" s="18" t="n">
        <v>0</v>
      </c>
      <c r="N18" s="20" t="n">
        <v>0</v>
      </c>
      <c r="O18" s="18" t="n">
        <v>0</v>
      </c>
      <c r="P18" s="20" t="n">
        <v>0</v>
      </c>
      <c r="Q18" s="18" t="n">
        <v>4.17577647</v>
      </c>
      <c r="R18" s="20" t="n">
        <v>0.92351757</v>
      </c>
    </row>
    <row r="19" spans="1:18">
      <c r="A19" s="15" t="s">
        <v>361</v>
      </c>
      <c r="B19" s="17" t="n">
        <v>5658</v>
      </c>
      <c r="C19" s="18">
        <f>(4989.0/B19*100)</f>
        <v/>
      </c>
      <c r="D19" s="19" t="n">
        <v>669</v>
      </c>
      <c r="E19" s="18" t="n">
        <v>55.83975345</v>
      </c>
      <c r="F19" s="20" t="n">
        <v>1.88677025</v>
      </c>
      <c r="G19" s="18" t="n">
        <v>40.41754103</v>
      </c>
      <c r="H19" s="20" t="n">
        <v>2.0000767</v>
      </c>
      <c r="I19" s="18" t="s">
        <v>349</v>
      </c>
      <c r="J19" s="20" t="s">
        <v>349</v>
      </c>
      <c r="K19" s="18" t="n">
        <v>0</v>
      </c>
      <c r="L19" s="20" t="n">
        <v>0</v>
      </c>
      <c r="M19" s="18" t="n">
        <v>0</v>
      </c>
      <c r="N19" s="20" t="n">
        <v>0</v>
      </c>
      <c r="O19" s="18" t="n">
        <v>0</v>
      </c>
      <c r="P19" s="20" t="n">
        <v>0</v>
      </c>
      <c r="Q19" s="18" t="n">
        <v>3.74270551</v>
      </c>
      <c r="R19" s="20" t="n">
        <v>0.73075835</v>
      </c>
    </row>
    <row r="20" spans="1:18">
      <c r="A20" s="15" t="s">
        <v>362</v>
      </c>
      <c r="B20" s="17" t="n">
        <v>3371</v>
      </c>
      <c r="C20" s="18">
        <f>(2953.0/B20*100)</f>
        <v/>
      </c>
      <c r="D20" s="19" t="n">
        <v>418</v>
      </c>
      <c r="E20" s="18" t="n">
        <v>48.92669985</v>
      </c>
      <c r="F20" s="20" t="n">
        <v>2.70187328</v>
      </c>
      <c r="G20" s="18" t="n">
        <v>45.14991575</v>
      </c>
      <c r="H20" s="20" t="n">
        <v>2.62412906</v>
      </c>
      <c r="I20" s="18" t="s">
        <v>349</v>
      </c>
      <c r="J20" s="20" t="s">
        <v>349</v>
      </c>
      <c r="K20" s="18" t="n">
        <v>1.2212586</v>
      </c>
      <c r="L20" s="20" t="n">
        <v>0.53297933</v>
      </c>
      <c r="M20" s="18" t="n">
        <v>0</v>
      </c>
      <c r="N20" s="20" t="n">
        <v>0</v>
      </c>
      <c r="O20" s="18" t="n">
        <v>0</v>
      </c>
      <c r="P20" s="20" t="n">
        <v>0</v>
      </c>
      <c r="Q20" s="18" t="n">
        <v>4.7021258</v>
      </c>
      <c r="R20" s="20" t="n">
        <v>1.12448935</v>
      </c>
    </row>
    <row r="21" spans="1:18">
      <c r="A21" s="15" t="s">
        <v>363</v>
      </c>
      <c r="B21" s="17" t="n">
        <v>5741</v>
      </c>
      <c r="C21" s="18">
        <f>(4800.0/B21*100)</f>
        <v/>
      </c>
      <c r="D21" s="19" t="n">
        <v>941</v>
      </c>
      <c r="E21" s="18" t="n">
        <v>50.80951952</v>
      </c>
      <c r="F21" s="20" t="n">
        <v>1.77111412</v>
      </c>
      <c r="G21" s="18" t="n">
        <v>47.41404498</v>
      </c>
      <c r="H21" s="20" t="n">
        <v>1.76234206</v>
      </c>
      <c r="I21" s="18" t="s">
        <v>349</v>
      </c>
      <c r="J21" s="20" t="s">
        <v>349</v>
      </c>
      <c r="K21" s="18" t="n">
        <v>0.24781081</v>
      </c>
      <c r="L21" s="20" t="n">
        <v>0.1816582</v>
      </c>
      <c r="M21" s="18" t="n">
        <v>0</v>
      </c>
      <c r="N21" s="20" t="n">
        <v>0</v>
      </c>
      <c r="O21" s="18" t="n">
        <v>0</v>
      </c>
      <c r="P21" s="20" t="n">
        <v>0</v>
      </c>
      <c r="Q21" s="18" t="n">
        <v>1.52862469</v>
      </c>
      <c r="R21" s="20" t="n">
        <v>0.41802597</v>
      </c>
    </row>
    <row r="22" spans="1:18">
      <c r="A22" s="15" t="s">
        <v>364</v>
      </c>
      <c r="B22" s="17" t="n">
        <v>6598</v>
      </c>
      <c r="C22" s="18">
        <f>(5855.0/B22*100)</f>
        <v/>
      </c>
      <c r="D22" s="19" t="n">
        <v>743</v>
      </c>
      <c r="E22" s="18" t="n">
        <v>58.53734131</v>
      </c>
      <c r="F22" s="20" t="n">
        <v>1.89194268</v>
      </c>
      <c r="G22" s="18" t="n">
        <v>38.57771895</v>
      </c>
      <c r="H22" s="20" t="n">
        <v>1.91019269</v>
      </c>
      <c r="I22" s="18" t="s">
        <v>349</v>
      </c>
      <c r="J22" s="20" t="s">
        <v>349</v>
      </c>
      <c r="K22" s="18" t="n">
        <v>0.68728416</v>
      </c>
      <c r="L22" s="20" t="n">
        <v>0.30270095</v>
      </c>
      <c r="M22" s="18" t="n">
        <v>0</v>
      </c>
      <c r="N22" s="20" t="n">
        <v>0</v>
      </c>
      <c r="O22" s="18" t="n">
        <v>0</v>
      </c>
      <c r="P22" s="20" t="n">
        <v>0</v>
      </c>
      <c r="Q22" s="18" t="n">
        <v>2.19765559</v>
      </c>
      <c r="R22" s="20" t="n">
        <v>0.51196648</v>
      </c>
    </row>
    <row r="23" spans="1:18">
      <c r="A23" s="15" t="s">
        <v>365</v>
      </c>
      <c r="B23" s="17" t="n">
        <v>11583</v>
      </c>
      <c r="C23" s="18">
        <f>(10168.0/B23*100)</f>
        <v/>
      </c>
      <c r="D23" s="19" t="n">
        <v>1415</v>
      </c>
      <c r="E23" s="18" t="n">
        <v>56.71757675</v>
      </c>
      <c r="F23" s="20" t="n">
        <v>1.60489348</v>
      </c>
      <c r="G23" s="18" t="n">
        <v>39.07122379</v>
      </c>
      <c r="H23" s="20" t="n">
        <v>1.54497964</v>
      </c>
      <c r="I23" s="18" t="s">
        <v>349</v>
      </c>
      <c r="J23" s="20" t="s">
        <v>349</v>
      </c>
      <c r="K23" s="18" t="n">
        <v>0.42452131</v>
      </c>
      <c r="L23" s="20" t="n">
        <v>0.19185742</v>
      </c>
      <c r="M23" s="18" t="n">
        <v>0</v>
      </c>
      <c r="N23" s="20" t="n">
        <v>0</v>
      </c>
      <c r="O23" s="18" t="n">
        <v>0</v>
      </c>
      <c r="P23" s="20" t="n">
        <v>0</v>
      </c>
      <c r="Q23" s="18" t="n">
        <v>3.78667815</v>
      </c>
      <c r="R23" s="20" t="n">
        <v>0.78450149</v>
      </c>
    </row>
    <row r="24" spans="1:18">
      <c r="A24" s="15" t="s">
        <v>366</v>
      </c>
      <c r="B24" s="17" t="n">
        <v>6647</v>
      </c>
      <c r="C24" s="18">
        <f>(5848.0/B24*100)</f>
        <v/>
      </c>
      <c r="D24" s="19" t="n">
        <v>799</v>
      </c>
      <c r="E24" s="18" t="n">
        <v>64.04985408</v>
      </c>
      <c r="F24" s="20" t="n">
        <v>1.76348682</v>
      </c>
      <c r="G24" s="18" t="n">
        <v>33.80100713</v>
      </c>
      <c r="H24" s="20" t="n">
        <v>1.69674572</v>
      </c>
      <c r="I24" s="18" t="s">
        <v>349</v>
      </c>
      <c r="J24" s="20" t="s">
        <v>349</v>
      </c>
      <c r="K24" s="18" t="n">
        <v>0.34521454</v>
      </c>
      <c r="L24" s="20" t="n">
        <v>0.20099921</v>
      </c>
      <c r="M24" s="18" t="n">
        <v>0</v>
      </c>
      <c r="N24" s="20" t="n">
        <v>0</v>
      </c>
      <c r="O24" s="18" t="n">
        <v>0</v>
      </c>
      <c r="P24" s="20" t="n">
        <v>0</v>
      </c>
      <c r="Q24" s="18" t="n">
        <v>1.80392425</v>
      </c>
      <c r="R24" s="20" t="n">
        <v>0.55509525</v>
      </c>
    </row>
    <row r="25" spans="1:18">
      <c r="A25" s="15" t="s">
        <v>367</v>
      </c>
      <c r="B25" s="17" t="n">
        <v>5581</v>
      </c>
      <c r="C25" s="18">
        <f>(4903.0/B25*100)</f>
        <v/>
      </c>
      <c r="D25" s="19" t="n">
        <v>678</v>
      </c>
      <c r="E25" s="18" t="n">
        <v>65.98580135</v>
      </c>
      <c r="F25" s="20" t="n">
        <v>1.89861435</v>
      </c>
      <c r="G25" s="18" t="n">
        <v>32.457257</v>
      </c>
      <c r="H25" s="20" t="n">
        <v>1.91503277</v>
      </c>
      <c r="I25" s="18" t="s">
        <v>349</v>
      </c>
      <c r="J25" s="20" t="s">
        <v>349</v>
      </c>
      <c r="K25" s="18" t="n">
        <v>0</v>
      </c>
      <c r="L25" s="20" t="n">
        <v>0</v>
      </c>
      <c r="M25" s="18" t="n">
        <v>0</v>
      </c>
      <c r="N25" s="20" t="n">
        <v>0</v>
      </c>
      <c r="O25" s="18" t="n">
        <v>0</v>
      </c>
      <c r="P25" s="20" t="n">
        <v>0</v>
      </c>
      <c r="Q25" s="18" t="n">
        <v>1.55694165</v>
      </c>
      <c r="R25" s="20" t="n">
        <v>0.50295942</v>
      </c>
    </row>
    <row r="26" spans="1:18">
      <c r="A26" s="15" t="s">
        <v>368</v>
      </c>
      <c r="B26" s="17" t="n">
        <v>4869</v>
      </c>
      <c r="C26" s="18">
        <f>(4270.0/B26*100)</f>
        <v/>
      </c>
      <c r="D26" s="19" t="n">
        <v>599</v>
      </c>
      <c r="E26" s="18" t="n">
        <v>59.45501889</v>
      </c>
      <c r="F26" s="20" t="n">
        <v>2.23697905</v>
      </c>
      <c r="G26" s="18" t="n">
        <v>38.02752399</v>
      </c>
      <c r="H26" s="20" t="n">
        <v>2.26855203</v>
      </c>
      <c r="I26" s="18" t="s">
        <v>349</v>
      </c>
      <c r="J26" s="20" t="s">
        <v>349</v>
      </c>
      <c r="K26" s="18" t="n">
        <v>0.12709778</v>
      </c>
      <c r="L26" s="20" t="n">
        <v>0.12739222</v>
      </c>
      <c r="M26" s="18" t="n">
        <v>0</v>
      </c>
      <c r="N26" s="20" t="n">
        <v>0</v>
      </c>
      <c r="O26" s="18" t="n">
        <v>0</v>
      </c>
      <c r="P26" s="20" t="n">
        <v>0</v>
      </c>
      <c r="Q26" s="18" t="n">
        <v>2.39035935</v>
      </c>
      <c r="R26" s="20" t="n">
        <v>0.61923229</v>
      </c>
    </row>
    <row r="27" spans="1:18">
      <c r="A27" s="15" t="s">
        <v>369</v>
      </c>
      <c r="B27" s="17" t="n">
        <v>5299</v>
      </c>
      <c r="C27" s="18">
        <f>(4647.0/B27*100)</f>
        <v/>
      </c>
      <c r="D27" s="19" t="n">
        <v>652</v>
      </c>
      <c r="E27" s="18" t="n">
        <v>50.51677361</v>
      </c>
      <c r="F27" s="20" t="n">
        <v>1.80577665</v>
      </c>
      <c r="G27" s="18" t="n">
        <v>45.92465395</v>
      </c>
      <c r="H27" s="20" t="n">
        <v>1.81929576</v>
      </c>
      <c r="I27" s="18" t="s">
        <v>349</v>
      </c>
      <c r="J27" s="20" t="s">
        <v>349</v>
      </c>
      <c r="K27" s="18" t="n">
        <v>0.30977806</v>
      </c>
      <c r="L27" s="20" t="n">
        <v>0.21955736</v>
      </c>
      <c r="M27" s="18" t="n">
        <v>0</v>
      </c>
      <c r="N27" s="20" t="n">
        <v>0</v>
      </c>
      <c r="O27" s="18" t="n">
        <v>0</v>
      </c>
      <c r="P27" s="20" t="n">
        <v>0</v>
      </c>
      <c r="Q27" s="18" t="n">
        <v>3.24879439</v>
      </c>
      <c r="R27" s="20" t="n">
        <v>0.70087636</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45.22217986</v>
      </c>
      <c r="F29" s="20" t="n">
        <v>1.84249936</v>
      </c>
      <c r="G29" s="18" t="n">
        <v>51.65644132</v>
      </c>
      <c r="H29" s="20" t="n">
        <v>1.7791532</v>
      </c>
      <c r="I29" s="18" t="s">
        <v>349</v>
      </c>
      <c r="J29" s="20" t="s">
        <v>349</v>
      </c>
      <c r="K29" s="18" t="n">
        <v>0.7479467400000001</v>
      </c>
      <c r="L29" s="20" t="n">
        <v>0.33025805</v>
      </c>
      <c r="M29" s="18" t="n">
        <v>0</v>
      </c>
      <c r="N29" s="20" t="n">
        <v>0</v>
      </c>
      <c r="O29" s="18" t="n">
        <v>0</v>
      </c>
      <c r="P29" s="20" t="n">
        <v>0</v>
      </c>
      <c r="Q29" s="18" t="n">
        <v>2.37343209</v>
      </c>
      <c r="R29" s="20" t="n">
        <v>0.51347677</v>
      </c>
    </row>
    <row r="30" spans="1:18">
      <c r="A30" s="15" t="s">
        <v>372</v>
      </c>
      <c r="B30" s="17" t="n">
        <v>4520</v>
      </c>
      <c r="C30" s="18">
        <f>(3983.0/B30*100)</f>
        <v/>
      </c>
      <c r="D30" s="19" t="n">
        <v>537</v>
      </c>
      <c r="E30" s="18" t="n">
        <v>51.30324958</v>
      </c>
      <c r="F30" s="20" t="n">
        <v>2.5440539</v>
      </c>
      <c r="G30" s="18" t="n">
        <v>46.76859381</v>
      </c>
      <c r="H30" s="20" t="n">
        <v>2.44044333</v>
      </c>
      <c r="I30" s="18" t="s">
        <v>349</v>
      </c>
      <c r="J30" s="20" t="s">
        <v>349</v>
      </c>
      <c r="K30" s="18" t="n">
        <v>0</v>
      </c>
      <c r="L30" s="20" t="n">
        <v>0</v>
      </c>
      <c r="M30" s="18" t="n">
        <v>0</v>
      </c>
      <c r="N30" s="20" t="n">
        <v>0</v>
      </c>
      <c r="O30" s="18" t="n">
        <v>0</v>
      </c>
      <c r="P30" s="20" t="n">
        <v>0</v>
      </c>
      <c r="Q30" s="18" t="n">
        <v>1.92815661</v>
      </c>
      <c r="R30" s="20" t="n">
        <v>0.64207158</v>
      </c>
    </row>
    <row r="31" spans="1:18">
      <c r="A31" s="15" t="s">
        <v>373</v>
      </c>
      <c r="B31" s="17" t="n">
        <v>5456</v>
      </c>
      <c r="C31" s="18">
        <f>(4753.0/B31*100)</f>
        <v/>
      </c>
      <c r="D31" s="19" t="n">
        <v>703</v>
      </c>
      <c r="E31" s="18" t="n">
        <v>49.05257961</v>
      </c>
      <c r="F31" s="20" t="n">
        <v>1.98956506</v>
      </c>
      <c r="G31" s="18" t="n">
        <v>48.15269952</v>
      </c>
      <c r="H31" s="20" t="n">
        <v>1.9754251</v>
      </c>
      <c r="I31" s="18" t="s">
        <v>349</v>
      </c>
      <c r="J31" s="20" t="s">
        <v>349</v>
      </c>
      <c r="K31" s="18" t="n">
        <v>0.71368904</v>
      </c>
      <c r="L31" s="20" t="n">
        <v>0.24496441</v>
      </c>
      <c r="M31" s="18" t="n">
        <v>0</v>
      </c>
      <c r="N31" s="20" t="n">
        <v>0</v>
      </c>
      <c r="O31" s="18" t="n">
        <v>0</v>
      </c>
      <c r="P31" s="20" t="n">
        <v>0</v>
      </c>
      <c r="Q31" s="18" t="n">
        <v>2.08103183</v>
      </c>
      <c r="R31" s="20" t="n">
        <v>0.59188474</v>
      </c>
    </row>
    <row r="32" spans="1:18">
      <c r="A32" s="15" t="s">
        <v>374</v>
      </c>
      <c r="B32" s="17" t="n">
        <v>4478</v>
      </c>
      <c r="C32" s="18">
        <f>(3725.0/B32*100)</f>
        <v/>
      </c>
      <c r="D32" s="19" t="n">
        <v>753</v>
      </c>
      <c r="E32" s="18" t="n">
        <v>51.56447769</v>
      </c>
      <c r="F32" s="20" t="n">
        <v>1.90593577</v>
      </c>
      <c r="G32" s="18" t="n">
        <v>45.83602626</v>
      </c>
      <c r="H32" s="20" t="n">
        <v>1.95611111</v>
      </c>
      <c r="I32" s="18" t="s">
        <v>349</v>
      </c>
      <c r="J32" s="20" t="s">
        <v>349</v>
      </c>
      <c r="K32" s="18" t="n">
        <v>0.51391907</v>
      </c>
      <c r="L32" s="20" t="n">
        <v>0.24963953</v>
      </c>
      <c r="M32" s="18" t="n">
        <v>0</v>
      </c>
      <c r="N32" s="20" t="n">
        <v>0</v>
      </c>
      <c r="O32" s="18" t="n">
        <v>0</v>
      </c>
      <c r="P32" s="20" t="n">
        <v>0</v>
      </c>
      <c r="Q32" s="18" t="n">
        <v>2.08557698</v>
      </c>
      <c r="R32" s="20" t="n">
        <v>0.62414097</v>
      </c>
    </row>
    <row r="33" spans="1:18">
      <c r="A33" s="15" t="s">
        <v>375</v>
      </c>
      <c r="B33" s="17" t="n">
        <v>7325</v>
      </c>
      <c r="C33" s="18">
        <f>(6440.0/B33*100)</f>
        <v/>
      </c>
      <c r="D33" s="19" t="n">
        <v>885</v>
      </c>
      <c r="E33" s="18" t="n">
        <v>53.46606867</v>
      </c>
      <c r="F33" s="20" t="n">
        <v>2.02336253</v>
      </c>
      <c r="G33" s="18" t="n">
        <v>43.34656255</v>
      </c>
      <c r="H33" s="20" t="n">
        <v>1.8964005</v>
      </c>
      <c r="I33" s="18" t="s">
        <v>349</v>
      </c>
      <c r="J33" s="20" t="s">
        <v>349</v>
      </c>
      <c r="K33" s="18" t="n">
        <v>0.39568931</v>
      </c>
      <c r="L33" s="20" t="n">
        <v>0.27968749</v>
      </c>
      <c r="M33" s="18" t="n">
        <v>0</v>
      </c>
      <c r="N33" s="20" t="n">
        <v>0</v>
      </c>
      <c r="O33" s="18" t="n">
        <v>0</v>
      </c>
      <c r="P33" s="20" t="n">
        <v>0</v>
      </c>
      <c r="Q33" s="18" t="n">
        <v>2.79167947</v>
      </c>
      <c r="R33" s="20" t="n">
        <v>0.7248369099999999</v>
      </c>
    </row>
    <row r="34" spans="1:18">
      <c r="A34" s="15" t="s">
        <v>376</v>
      </c>
      <c r="B34" s="17" t="n">
        <v>6350</v>
      </c>
      <c r="C34" s="18">
        <f>(5583.0/B34*100)</f>
        <v/>
      </c>
      <c r="D34" s="19" t="n">
        <v>767</v>
      </c>
      <c r="E34" s="18" t="n">
        <v>54.0213485</v>
      </c>
      <c r="F34" s="20" t="n">
        <v>1.99823062</v>
      </c>
      <c r="G34" s="18" t="n">
        <v>42.0963601</v>
      </c>
      <c r="H34" s="20" t="n">
        <v>1.90464501</v>
      </c>
      <c r="I34" s="18" t="s">
        <v>349</v>
      </c>
      <c r="J34" s="20" t="s">
        <v>349</v>
      </c>
      <c r="K34" s="18" t="n">
        <v>0.21753217</v>
      </c>
      <c r="L34" s="20" t="n">
        <v>0.15679577</v>
      </c>
      <c r="M34" s="18" t="n">
        <v>0</v>
      </c>
      <c r="N34" s="20" t="n">
        <v>0</v>
      </c>
      <c r="O34" s="18" t="n">
        <v>0</v>
      </c>
      <c r="P34" s="20" t="n">
        <v>0</v>
      </c>
      <c r="Q34" s="18" t="n">
        <v>3.66475923</v>
      </c>
      <c r="R34" s="20" t="n">
        <v>0.65072927</v>
      </c>
    </row>
    <row r="35" spans="1:18">
      <c r="A35" s="15" t="s">
        <v>377</v>
      </c>
      <c r="B35" s="17" t="n">
        <v>6406</v>
      </c>
      <c r="C35" s="18">
        <f>(5607.0/B35*100)</f>
        <v/>
      </c>
      <c r="D35" s="19" t="n">
        <v>799</v>
      </c>
      <c r="E35" s="18" t="n">
        <v>51.32268232</v>
      </c>
      <c r="F35" s="20" t="n">
        <v>1.96302678</v>
      </c>
      <c r="G35" s="18" t="n">
        <v>44.73534568</v>
      </c>
      <c r="H35" s="20" t="n">
        <v>2.02414249</v>
      </c>
      <c r="I35" s="18" t="s">
        <v>349</v>
      </c>
      <c r="J35" s="20" t="s">
        <v>349</v>
      </c>
      <c r="K35" s="18" t="n">
        <v>0.05883644</v>
      </c>
      <c r="L35" s="20" t="n">
        <v>0.05942694</v>
      </c>
      <c r="M35" s="18" t="n">
        <v>0</v>
      </c>
      <c r="N35" s="20" t="n">
        <v>0</v>
      </c>
      <c r="O35" s="18" t="n">
        <v>0</v>
      </c>
      <c r="P35" s="20" t="n">
        <v>0</v>
      </c>
      <c r="Q35" s="18" t="n">
        <v>3.88313557</v>
      </c>
      <c r="R35" s="20" t="n">
        <v>0.74511859</v>
      </c>
    </row>
    <row r="36" spans="1:18">
      <c r="A36" s="15" t="s">
        <v>378</v>
      </c>
      <c r="B36" s="17" t="n">
        <v>6736</v>
      </c>
      <c r="C36" s="18">
        <f>(5917.0/B36*100)</f>
        <v/>
      </c>
      <c r="D36" s="19" t="n">
        <v>819</v>
      </c>
      <c r="E36" s="18" t="n">
        <v>54.07535411</v>
      </c>
      <c r="F36" s="20" t="n">
        <v>1.82496843</v>
      </c>
      <c r="G36" s="18" t="n">
        <v>41.98712474</v>
      </c>
      <c r="H36" s="20" t="n">
        <v>1.77953375</v>
      </c>
      <c r="I36" s="18" t="s">
        <v>349</v>
      </c>
      <c r="J36" s="20" t="s">
        <v>349</v>
      </c>
      <c r="K36" s="18" t="n">
        <v>0.49872989</v>
      </c>
      <c r="L36" s="20" t="n">
        <v>0.27075182</v>
      </c>
      <c r="M36" s="18" t="n">
        <v>0</v>
      </c>
      <c r="N36" s="20" t="n">
        <v>0</v>
      </c>
      <c r="O36" s="18" t="n">
        <v>0</v>
      </c>
      <c r="P36" s="20" t="n">
        <v>0</v>
      </c>
      <c r="Q36" s="18" t="n">
        <v>3.43879126</v>
      </c>
      <c r="R36" s="20" t="n">
        <v>0.65933429</v>
      </c>
    </row>
    <row r="37" spans="1:18">
      <c r="A37" s="15" t="s">
        <v>379</v>
      </c>
      <c r="B37" s="17" t="n">
        <v>5458</v>
      </c>
      <c r="C37" s="18">
        <f>(4798.0/B37*100)</f>
        <v/>
      </c>
      <c r="D37" s="19" t="n">
        <v>660</v>
      </c>
      <c r="E37" s="18" t="n">
        <v>48.56632303</v>
      </c>
      <c r="F37" s="20" t="n">
        <v>2.20141076</v>
      </c>
      <c r="G37" s="18" t="n">
        <v>42.9444694</v>
      </c>
      <c r="H37" s="20" t="n">
        <v>2.24815319</v>
      </c>
      <c r="I37" s="18" t="s">
        <v>349</v>
      </c>
      <c r="J37" s="20" t="s">
        <v>349</v>
      </c>
      <c r="K37" s="18" t="n">
        <v>2.11137141</v>
      </c>
      <c r="L37" s="20" t="n">
        <v>0.60647897</v>
      </c>
      <c r="M37" s="18" t="n">
        <v>0</v>
      </c>
      <c r="N37" s="20" t="n">
        <v>0</v>
      </c>
      <c r="O37" s="18" t="n">
        <v>0</v>
      </c>
      <c r="P37" s="20" t="n">
        <v>0</v>
      </c>
      <c r="Q37" s="18" t="n">
        <v>6.37783615</v>
      </c>
      <c r="R37" s="20" t="n">
        <v>1.06056601</v>
      </c>
    </row>
    <row r="38" spans="1:18">
      <c r="A38" s="15" t="s">
        <v>380</v>
      </c>
      <c r="B38" s="17" t="n">
        <v>5860</v>
      </c>
      <c r="C38" s="18">
        <f>(4906.0/B38*100)</f>
        <v/>
      </c>
      <c r="D38" s="19" t="n">
        <v>954</v>
      </c>
      <c r="E38" s="18" t="n">
        <v>50.54144774</v>
      </c>
      <c r="F38" s="20" t="n">
        <v>1.81252769</v>
      </c>
      <c r="G38" s="18" t="n">
        <v>47.18453782</v>
      </c>
      <c r="H38" s="20" t="n">
        <v>1.78977556</v>
      </c>
      <c r="I38" s="18" t="s">
        <v>349</v>
      </c>
      <c r="J38" s="20" t="s">
        <v>349</v>
      </c>
      <c r="K38" s="18" t="n">
        <v>0.31653271</v>
      </c>
      <c r="L38" s="20" t="n">
        <v>0.17356114</v>
      </c>
      <c r="M38" s="18" t="n">
        <v>0</v>
      </c>
      <c r="N38" s="20" t="n">
        <v>0</v>
      </c>
      <c r="O38" s="18" t="n">
        <v>0</v>
      </c>
      <c r="P38" s="20" t="n">
        <v>0</v>
      </c>
      <c r="Q38" s="18" t="n">
        <v>1.95748173</v>
      </c>
      <c r="R38" s="20" t="n">
        <v>0.45451405</v>
      </c>
    </row>
    <row r="39" spans="1:18">
      <c r="A39" s="15" t="s">
        <v>381</v>
      </c>
      <c r="B39" s="17" t="n">
        <v>5895</v>
      </c>
      <c r="C39" s="18">
        <f>(5147.0/B39*100)</f>
        <v/>
      </c>
      <c r="D39" s="19" t="n">
        <v>748</v>
      </c>
      <c r="E39" s="18" t="n">
        <v>73.01708841</v>
      </c>
      <c r="F39" s="20" t="n">
        <v>1.89831922</v>
      </c>
      <c r="G39" s="18" t="n">
        <v>25.16286442</v>
      </c>
      <c r="H39" s="20" t="n">
        <v>1.92125221</v>
      </c>
      <c r="I39" s="18" t="s">
        <v>349</v>
      </c>
      <c r="J39" s="20" t="s">
        <v>349</v>
      </c>
      <c r="K39" s="18" t="n">
        <v>0.19028397</v>
      </c>
      <c r="L39" s="20" t="n">
        <v>0.19004474</v>
      </c>
      <c r="M39" s="18" t="n">
        <v>0</v>
      </c>
      <c r="N39" s="20" t="n">
        <v>0</v>
      </c>
      <c r="O39" s="18" t="n">
        <v>0</v>
      </c>
      <c r="P39" s="20" t="n">
        <v>0</v>
      </c>
      <c r="Q39" s="18" t="n">
        <v>1.6297632</v>
      </c>
      <c r="R39" s="20" t="n">
        <v>0.5038881200000001</v>
      </c>
    </row>
    <row r="40" spans="1:18">
      <c r="A40" s="15" t="s">
        <v>382</v>
      </c>
      <c r="B40" s="17" t="n">
        <v>14157</v>
      </c>
      <c r="C40" s="18">
        <f>(12383.0/B40*100)</f>
        <v/>
      </c>
      <c r="D40" s="19" t="n">
        <v>1774</v>
      </c>
      <c r="E40" s="18" t="n">
        <v>56.60813555</v>
      </c>
      <c r="F40" s="20" t="n">
        <v>2.04481652</v>
      </c>
      <c r="G40" s="18" t="n">
        <v>40.0045699</v>
      </c>
      <c r="H40" s="20" t="n">
        <v>2.08933121</v>
      </c>
      <c r="I40" s="18" t="s">
        <v>349</v>
      </c>
      <c r="J40" s="20" t="s">
        <v>349</v>
      </c>
      <c r="K40" s="18" t="n">
        <v>0.44151174</v>
      </c>
      <c r="L40" s="20" t="n">
        <v>0.21615921</v>
      </c>
      <c r="M40" s="18" t="n">
        <v>0</v>
      </c>
      <c r="N40" s="20" t="n">
        <v>0</v>
      </c>
      <c r="O40" s="18" t="n">
        <v>0</v>
      </c>
      <c r="P40" s="20" t="n">
        <v>0</v>
      </c>
      <c r="Q40" s="18" t="n">
        <v>2.94578281</v>
      </c>
      <c r="R40" s="20" t="n">
        <v>0.60755318</v>
      </c>
    </row>
    <row r="41" spans="1:18">
      <c r="A41" s="15" t="s">
        <v>383</v>
      </c>
      <c r="B41" s="17" t="n">
        <v>5712</v>
      </c>
      <c r="C41" s="18">
        <f>(5023.0/B41*100)</f>
        <v/>
      </c>
      <c r="D41" s="19" t="n">
        <v>689</v>
      </c>
      <c r="E41" s="18" t="n">
        <v>55.67362337</v>
      </c>
      <c r="F41" s="20" t="n">
        <v>2.1540474</v>
      </c>
      <c r="G41" s="18" t="n">
        <v>43.27158011</v>
      </c>
      <c r="H41" s="20" t="n">
        <v>2.08173859</v>
      </c>
      <c r="I41" s="18" t="s">
        <v>349</v>
      </c>
      <c r="J41" s="20" t="s">
        <v>349</v>
      </c>
      <c r="K41" s="18" t="n">
        <v>0</v>
      </c>
      <c r="L41" s="20" t="n">
        <v>0</v>
      </c>
      <c r="M41" s="18" t="n">
        <v>0</v>
      </c>
      <c r="N41" s="20" t="n">
        <v>0</v>
      </c>
      <c r="O41" s="18" t="n">
        <v>0</v>
      </c>
      <c r="P41" s="20" t="n">
        <v>0</v>
      </c>
      <c r="Q41" s="18" t="n">
        <v>1.05479651</v>
      </c>
      <c r="R41" s="20" t="n">
        <v>0.41774059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(8618.0/B48*100)</f>
        <v/>
      </c>
      <c r="D48" s="19" t="n">
        <v>1223</v>
      </c>
      <c r="E48" s="18" t="n">
        <v>56.60797519</v>
      </c>
      <c r="F48" s="20" t="n">
        <v>2.3983298</v>
      </c>
      <c r="G48" s="18" t="n">
        <v>42.26592695</v>
      </c>
      <c r="H48" s="20" t="n">
        <v>2.38979707</v>
      </c>
      <c r="I48" s="18" t="s">
        <v>349</v>
      </c>
      <c r="J48" s="20" t="s">
        <v>349</v>
      </c>
      <c r="K48" s="18" t="n">
        <v>0.2953569</v>
      </c>
      <c r="L48" s="20" t="n">
        <v>0.18896383</v>
      </c>
      <c r="M48" s="18" t="n">
        <v>0</v>
      </c>
      <c r="N48" s="20" t="n">
        <v>0</v>
      </c>
      <c r="O48" s="18" t="n">
        <v>0</v>
      </c>
      <c r="P48" s="20" t="n">
        <v>0</v>
      </c>
      <c r="Q48" s="18" t="n">
        <v>0.83074096</v>
      </c>
      <c r="R48" s="20" t="n">
        <v>0.36381674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(5088.0/B52*100)</f>
        <v/>
      </c>
      <c r="D52" s="19" t="n">
        <v>721</v>
      </c>
      <c r="E52" s="18" t="n">
        <v>53.09183672</v>
      </c>
      <c r="F52" s="20" t="n">
        <v>1.55275074</v>
      </c>
      <c r="G52" s="18" t="n">
        <v>41.01049377</v>
      </c>
      <c r="H52" s="20" t="n">
        <v>1.60917872</v>
      </c>
      <c r="I52" s="18" t="s">
        <v>349</v>
      </c>
      <c r="J52" s="20" t="s">
        <v>349</v>
      </c>
      <c r="K52" s="18" t="n">
        <v>0.97534275</v>
      </c>
      <c r="L52" s="20" t="n">
        <v>0.29647832</v>
      </c>
      <c r="M52" s="18" t="n">
        <v>0</v>
      </c>
      <c r="N52" s="20" t="n">
        <v>0</v>
      </c>
      <c r="O52" s="18" t="n">
        <v>0</v>
      </c>
      <c r="P52" s="20" t="n">
        <v>0</v>
      </c>
      <c r="Q52" s="18" t="n">
        <v>4.92232676</v>
      </c>
      <c r="R52" s="20" t="n">
        <v>0.85626121</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49.52273853</v>
      </c>
      <c r="F56" s="20" t="n">
        <v>1.9445843</v>
      </c>
      <c r="G56" s="18" t="n">
        <v>49.61928915</v>
      </c>
      <c r="H56" s="20" t="n">
        <v>1.9937937</v>
      </c>
      <c r="I56" s="18" t="s">
        <v>349</v>
      </c>
      <c r="J56" s="20" t="s">
        <v>349</v>
      </c>
      <c r="K56" s="18" t="n">
        <v>0.27646964</v>
      </c>
      <c r="L56" s="20" t="n">
        <v>0.30854574</v>
      </c>
      <c r="M56" s="18" t="n">
        <v>0</v>
      </c>
      <c r="N56" s="20" t="n">
        <v>0</v>
      </c>
      <c r="O56" s="18" t="n">
        <v>0</v>
      </c>
      <c r="P56" s="20" t="n">
        <v>0</v>
      </c>
      <c r="Q56" s="18" t="n">
        <v>0.58150268</v>
      </c>
      <c r="R56" s="20" t="n">
        <v>0.30380701</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59.49838289</v>
      </c>
      <c r="F61" s="20" t="n">
        <v>1.98745683</v>
      </c>
      <c r="G61" s="18" t="n">
        <v>38.21212594</v>
      </c>
      <c r="H61" s="20" t="n">
        <v>2.02203896</v>
      </c>
      <c r="I61" s="18" t="s">
        <v>349</v>
      </c>
      <c r="J61" s="20" t="s">
        <v>349</v>
      </c>
      <c r="K61" s="18" t="n">
        <v>0.12348309</v>
      </c>
      <c r="L61" s="20" t="n">
        <v>0.11937207</v>
      </c>
      <c r="M61" s="18" t="n">
        <v>0</v>
      </c>
      <c r="N61" s="20" t="n">
        <v>0</v>
      </c>
      <c r="O61" s="18" t="n">
        <v>0</v>
      </c>
      <c r="P61" s="20" t="n">
        <v>0</v>
      </c>
      <c r="Q61" s="18" t="n">
        <v>2.16600808</v>
      </c>
      <c r="R61" s="20" t="n">
        <v>0.5278972</v>
      </c>
    </row>
    <row r="62" spans="1:18">
      <c r="A62" s="15" t="s">
        <v>404</v>
      </c>
      <c r="B62" s="17" t="n">
        <v>4476</v>
      </c>
      <c r="C62" s="18">
        <f>(3918.0/B62*100)</f>
        <v/>
      </c>
      <c r="D62" s="19" t="n">
        <v>558</v>
      </c>
      <c r="E62" s="18" t="n">
        <v>56.27715992</v>
      </c>
      <c r="F62" s="20" t="n">
        <v>1.98506183</v>
      </c>
      <c r="G62" s="18" t="n">
        <v>43.18486252</v>
      </c>
      <c r="H62" s="20" t="n">
        <v>1.97512178</v>
      </c>
      <c r="I62" s="18" t="s">
        <v>349</v>
      </c>
      <c r="J62" s="20" t="s">
        <v>349</v>
      </c>
      <c r="K62" s="18" t="n">
        <v>0</v>
      </c>
      <c r="L62" s="20" t="n">
        <v>0</v>
      </c>
      <c r="M62" s="18" t="n">
        <v>0</v>
      </c>
      <c r="N62" s="20" t="n">
        <v>0</v>
      </c>
      <c r="O62" s="18" t="n">
        <v>0</v>
      </c>
      <c r="P62" s="20" t="n">
        <v>0</v>
      </c>
      <c r="Q62" s="18" t="n">
        <v>0.53797756</v>
      </c>
      <c r="R62" s="20" t="n">
        <v>0.31012297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(4970.0/B66*100)</f>
        <v/>
      </c>
      <c r="D66" s="19" t="n">
        <v>695</v>
      </c>
      <c r="E66" s="18" t="n">
        <v>66.67195123</v>
      </c>
      <c r="F66" s="20" t="n">
        <v>1.95027976</v>
      </c>
      <c r="G66" s="18" t="n">
        <v>23.76350465</v>
      </c>
      <c r="H66" s="20" t="n">
        <v>1.5798447</v>
      </c>
      <c r="I66" s="18" t="s">
        <v>349</v>
      </c>
      <c r="J66" s="20" t="s">
        <v>349</v>
      </c>
      <c r="K66" s="18" t="n">
        <v>0.6435356800000001</v>
      </c>
      <c r="L66" s="20" t="n">
        <v>0.29095467</v>
      </c>
      <c r="M66" s="18" t="n">
        <v>0</v>
      </c>
      <c r="N66" s="20" t="n">
        <v>0</v>
      </c>
      <c r="O66" s="18" t="n">
        <v>0</v>
      </c>
      <c r="P66" s="20" t="n">
        <v>0</v>
      </c>
      <c r="Q66" s="18" t="n">
        <v>8.921008430000001</v>
      </c>
      <c r="R66" s="20" t="n">
        <v>1.0863522</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(10055.0/B68*100)</f>
        <v/>
      </c>
      <c r="D68" s="19" t="n">
        <v>2028</v>
      </c>
      <c r="E68" s="18" t="n">
        <v>70.17952133</v>
      </c>
      <c r="F68" s="20" t="n">
        <v>0.87345046</v>
      </c>
      <c r="G68" s="18" t="n">
        <v>22.21493173</v>
      </c>
      <c r="H68" s="20" t="n">
        <v>0.8091803400000001</v>
      </c>
      <c r="I68" s="18" t="s">
        <v>349</v>
      </c>
      <c r="J68" s="20" t="s">
        <v>349</v>
      </c>
      <c r="K68" s="18" t="n">
        <v>1.47143742</v>
      </c>
      <c r="L68" s="20" t="n">
        <v>0.23737242</v>
      </c>
      <c r="M68" s="18" t="n">
        <v>0</v>
      </c>
      <c r="N68" s="20" t="n">
        <v>0</v>
      </c>
      <c r="O68" s="18" t="n">
        <v>0</v>
      </c>
      <c r="P68" s="20" t="n">
        <v>0</v>
      </c>
      <c r="Q68" s="18" t="n">
        <v>6.13410952</v>
      </c>
      <c r="R68" s="20" t="n">
        <v>0.56604718</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(5267.0/B70*100)</f>
        <v/>
      </c>
      <c r="D70" s="19" t="n">
        <v>769</v>
      </c>
      <c r="E70" s="18" t="n">
        <v>48.23754296</v>
      </c>
      <c r="F70" s="20" t="n">
        <v>2.42695281</v>
      </c>
      <c r="G70" s="18" t="n">
        <v>48.9368412</v>
      </c>
      <c r="H70" s="20" t="n">
        <v>2.64986402</v>
      </c>
      <c r="I70" s="18" t="s">
        <v>349</v>
      </c>
      <c r="J70" s="20" t="s">
        <v>349</v>
      </c>
      <c r="K70" s="18" t="n">
        <v>0.13961761</v>
      </c>
      <c r="L70" s="20" t="n">
        <v>0.13829049</v>
      </c>
      <c r="M70" s="18" t="n">
        <v>0</v>
      </c>
      <c r="N70" s="20" t="n">
        <v>0</v>
      </c>
      <c r="O70" s="18" t="n">
        <v>0</v>
      </c>
      <c r="P70" s="20" t="n">
        <v>0</v>
      </c>
      <c r="Q70" s="18" t="n">
        <v>2.68599823</v>
      </c>
      <c r="R70" s="20" t="n">
        <v>0.86819609</v>
      </c>
    </row>
    <row r="71" spans="1:18">
      <c r="A71" s="15" t="s">
        <v>413</v>
      </c>
      <c r="B71" s="17" t="n">
        <v>6115</v>
      </c>
      <c r="C71" s="18">
        <f>(5352.0/B71*100)</f>
        <v/>
      </c>
      <c r="D71" s="19" t="n">
        <v>763</v>
      </c>
      <c r="E71" s="18" t="n">
        <v>44.38280941</v>
      </c>
      <c r="F71" s="20" t="n">
        <v>1.94652924</v>
      </c>
      <c r="G71" s="18" t="n">
        <v>54.94974306</v>
      </c>
      <c r="H71" s="20" t="n">
        <v>1.94556197</v>
      </c>
      <c r="I71" s="18" t="s">
        <v>349</v>
      </c>
      <c r="J71" s="20" t="s">
        <v>349</v>
      </c>
      <c r="K71" s="18" t="n">
        <v>0.20529869</v>
      </c>
      <c r="L71" s="20" t="n">
        <v>0.14619342</v>
      </c>
      <c r="M71" s="18" t="n">
        <v>0</v>
      </c>
      <c r="N71" s="20" t="n">
        <v>0</v>
      </c>
      <c r="O71" s="18" t="n">
        <v>0</v>
      </c>
      <c r="P71" s="20" t="n">
        <v>0</v>
      </c>
      <c r="Q71" s="18" t="n">
        <v>0.46214883</v>
      </c>
      <c r="R71" s="20" t="n">
        <v>0.2275553</v>
      </c>
    </row>
    <row r="72" spans="1:18">
      <c r="A72" s="15" t="s">
        <v>414</v>
      </c>
      <c r="B72" s="17" t="n">
        <v>7708</v>
      </c>
      <c r="C72" s="18">
        <f>(6756.0/B72*100)</f>
        <v/>
      </c>
      <c r="D72" s="19" t="n">
        <v>952</v>
      </c>
      <c r="E72" s="18" t="n">
        <v>56.20230443</v>
      </c>
      <c r="F72" s="20" t="n">
        <v>1.63548583</v>
      </c>
      <c r="G72" s="18" t="n">
        <v>42.5886806</v>
      </c>
      <c r="H72" s="20" t="n">
        <v>1.64264575</v>
      </c>
      <c r="I72" s="18" t="s">
        <v>349</v>
      </c>
      <c r="J72" s="20" t="s">
        <v>349</v>
      </c>
      <c r="K72" s="18" t="n">
        <v>0.247881</v>
      </c>
      <c r="L72" s="20" t="n">
        <v>0.16168085</v>
      </c>
      <c r="M72" s="18" t="n">
        <v>0</v>
      </c>
      <c r="N72" s="20" t="n">
        <v>0</v>
      </c>
      <c r="O72" s="18" t="n">
        <v>0</v>
      </c>
      <c r="P72" s="20" t="n">
        <v>0</v>
      </c>
      <c r="Q72" s="18" t="n">
        <v>0.9611339800000001</v>
      </c>
      <c r="R72" s="20" t="n">
        <v>0.33407433</v>
      </c>
    </row>
    <row r="73" spans="1:18">
      <c r="A73" s="15" t="s">
        <v>415</v>
      </c>
      <c r="B73" s="17" t="n">
        <v>8249</v>
      </c>
      <c r="C73" s="18">
        <f>(7227.0/B73*100)</f>
        <v/>
      </c>
      <c r="D73" s="19" t="n">
        <v>1022</v>
      </c>
      <c r="E73" s="18" t="n">
        <v>77.46979743</v>
      </c>
      <c r="F73" s="20" t="n">
        <v>1.4816112</v>
      </c>
      <c r="G73" s="18" t="n">
        <v>21.02347291</v>
      </c>
      <c r="H73" s="20" t="n">
        <v>1.55351164</v>
      </c>
      <c r="I73" s="18" t="s">
        <v>349</v>
      </c>
      <c r="J73" s="20" t="s">
        <v>349</v>
      </c>
      <c r="K73" s="18" t="n">
        <v>0</v>
      </c>
      <c r="L73" s="20" t="n">
        <v>0</v>
      </c>
      <c r="M73" s="18" t="n">
        <v>0</v>
      </c>
      <c r="N73" s="20" t="n">
        <v>0</v>
      </c>
      <c r="O73" s="18" t="n">
        <v>0</v>
      </c>
      <c r="P73" s="20" t="n">
        <v>0</v>
      </c>
      <c r="Q73" s="18" t="n">
        <v>1.50672966</v>
      </c>
      <c r="R73" s="20" t="n">
        <v>0.54328595</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(7748.0/B81*100)</f>
        <v/>
      </c>
      <c r="D81" s="19" t="n">
        <v>1113</v>
      </c>
      <c r="E81" s="18" t="n">
        <v>60.23348801</v>
      </c>
      <c r="F81" s="20" t="n">
        <v>1.93230664</v>
      </c>
      <c r="G81" s="18" t="n">
        <v>39.34595862</v>
      </c>
      <c r="H81" s="20" t="n">
        <v>1.9874024</v>
      </c>
      <c r="I81" s="18" t="s">
        <v>349</v>
      </c>
      <c r="J81" s="20" t="s">
        <v>349</v>
      </c>
      <c r="K81" s="18" t="n">
        <v>0.00917217</v>
      </c>
      <c r="L81" s="20" t="n">
        <v>0.31092855</v>
      </c>
      <c r="M81" s="18" t="n">
        <v>0</v>
      </c>
      <c r="N81" s="20" t="n">
        <v>0</v>
      </c>
      <c r="O81" s="18" t="n">
        <v>0</v>
      </c>
      <c r="P81" s="20" t="n">
        <v>0</v>
      </c>
      <c r="Q81" s="18" t="n">
        <v>0.41138121</v>
      </c>
      <c r="R81" s="20" t="n">
        <v>0.23675569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(12770.0/B7*100)</f>
        <v/>
      </c>
      <c r="D7" s="19" t="n">
        <v>1760</v>
      </c>
      <c r="E7" s="18" t="n">
        <v>31.47153396</v>
      </c>
      <c r="F7" s="20" t="n">
        <v>1.36482138</v>
      </c>
      <c r="G7" s="18" t="n">
        <v>62.12873188</v>
      </c>
      <c r="H7" s="20" t="n">
        <v>1.38664192</v>
      </c>
      <c r="I7" s="18" t="s">
        <v>349</v>
      </c>
      <c r="J7" s="20" t="s">
        <v>349</v>
      </c>
      <c r="K7" s="18" t="n">
        <v>0.6380927199999999</v>
      </c>
      <c r="L7" s="20" t="n">
        <v>0.20417755</v>
      </c>
      <c r="M7" s="18" t="n">
        <v>0</v>
      </c>
      <c r="N7" s="20" t="n">
        <v>0</v>
      </c>
      <c r="O7" s="18" t="n">
        <v>0</v>
      </c>
      <c r="P7" s="20" t="n">
        <v>0</v>
      </c>
      <c r="Q7" s="18" t="n">
        <v>5.76164144</v>
      </c>
      <c r="R7" s="20" t="n">
        <v>0.73557318</v>
      </c>
    </row>
    <row r="8" spans="1:18">
      <c r="A8" s="15" t="s">
        <v>350</v>
      </c>
      <c r="B8" s="17" t="n">
        <v>7007</v>
      </c>
      <c r="C8" s="18">
        <f>(6169.0/B8*100)</f>
        <v/>
      </c>
      <c r="D8" s="19" t="n">
        <v>838</v>
      </c>
      <c r="E8" s="18" t="n">
        <v>28.38574277</v>
      </c>
      <c r="F8" s="20" t="n">
        <v>2.04324764</v>
      </c>
      <c r="G8" s="18" t="n">
        <v>65.83795646</v>
      </c>
      <c r="H8" s="20" t="n">
        <v>2.10342833</v>
      </c>
      <c r="I8" s="18" t="s">
        <v>349</v>
      </c>
      <c r="J8" s="20" t="s">
        <v>349</v>
      </c>
      <c r="K8" s="18" t="n">
        <v>0.7200971900000001</v>
      </c>
      <c r="L8" s="20" t="n">
        <v>0.30115</v>
      </c>
      <c r="M8" s="18" t="n">
        <v>0</v>
      </c>
      <c r="N8" s="20" t="n">
        <v>0</v>
      </c>
      <c r="O8" s="18" t="n">
        <v>0</v>
      </c>
      <c r="P8" s="20" t="n">
        <v>0</v>
      </c>
      <c r="Q8" s="18" t="n">
        <v>5.05620357</v>
      </c>
      <c r="R8" s="20" t="n">
        <v>0.74885709</v>
      </c>
    </row>
    <row r="9" spans="1:18">
      <c r="A9" s="15" t="s">
        <v>351</v>
      </c>
      <c r="B9" s="17" t="n">
        <v>9651</v>
      </c>
      <c r="C9" s="18">
        <f>(8475.0/B9*100)</f>
        <v/>
      </c>
      <c r="D9" s="19" t="n">
        <v>1176</v>
      </c>
      <c r="E9" s="18" t="n">
        <v>24.1430892</v>
      </c>
      <c r="F9" s="20" t="n">
        <v>1.49269248</v>
      </c>
      <c r="G9" s="18" t="n">
        <v>68.83248043</v>
      </c>
      <c r="H9" s="20" t="n">
        <v>1.54498015</v>
      </c>
      <c r="I9" s="18" t="s">
        <v>349</v>
      </c>
      <c r="J9" s="20" t="s">
        <v>349</v>
      </c>
      <c r="K9" s="18" t="n">
        <v>0.84293957</v>
      </c>
      <c r="L9" s="20" t="n">
        <v>0.29244356</v>
      </c>
      <c r="M9" s="18" t="n">
        <v>0</v>
      </c>
      <c r="N9" s="20" t="n">
        <v>0</v>
      </c>
      <c r="O9" s="18" t="n">
        <v>0</v>
      </c>
      <c r="P9" s="20" t="n">
        <v>0</v>
      </c>
      <c r="Q9" s="18" t="n">
        <v>6.1814908</v>
      </c>
      <c r="R9" s="20" t="n">
        <v>0.8260484</v>
      </c>
    </row>
    <row r="10" spans="1:18">
      <c r="A10" s="15" t="s">
        <v>352</v>
      </c>
      <c r="B10" s="17" t="n">
        <v>20058</v>
      </c>
      <c r="C10" s="18">
        <f>(17606.0/B10*100)</f>
        <v/>
      </c>
      <c r="D10" s="19" t="n">
        <v>2452</v>
      </c>
      <c r="E10" s="18" t="n">
        <v>23.42695342</v>
      </c>
      <c r="F10" s="20" t="n">
        <v>1.05402439</v>
      </c>
      <c r="G10" s="18" t="n">
        <v>73.17123911</v>
      </c>
      <c r="H10" s="20" t="n">
        <v>1.28760034</v>
      </c>
      <c r="I10" s="18" t="s">
        <v>349</v>
      </c>
      <c r="J10" s="20" t="s">
        <v>349</v>
      </c>
      <c r="K10" s="18" t="n">
        <v>0.53022624</v>
      </c>
      <c r="L10" s="20" t="n">
        <v>0.19982186</v>
      </c>
      <c r="M10" s="18" t="n">
        <v>0</v>
      </c>
      <c r="N10" s="20" t="n">
        <v>0</v>
      </c>
      <c r="O10" s="18" t="n">
        <v>0</v>
      </c>
      <c r="P10" s="20" t="n">
        <v>0</v>
      </c>
      <c r="Q10" s="18" t="n">
        <v>2.87158123</v>
      </c>
      <c r="R10" s="20" t="n">
        <v>0.53186903</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(6070.0/B12*100)</f>
        <v/>
      </c>
      <c r="D12" s="19" t="n">
        <v>824</v>
      </c>
      <c r="E12" s="18" t="n">
        <v>21.85790253</v>
      </c>
      <c r="F12" s="20" t="n">
        <v>1.76054032</v>
      </c>
      <c r="G12" s="18" t="n">
        <v>72.55414076</v>
      </c>
      <c r="H12" s="20" t="n">
        <v>1.94651962</v>
      </c>
      <c r="I12" s="18" t="s">
        <v>349</v>
      </c>
      <c r="J12" s="20" t="s">
        <v>349</v>
      </c>
      <c r="K12" s="18" t="n">
        <v>0.11352524</v>
      </c>
      <c r="L12" s="20" t="n">
        <v>0.12088718</v>
      </c>
      <c r="M12" s="18" t="n">
        <v>0</v>
      </c>
      <c r="N12" s="20" t="n">
        <v>0</v>
      </c>
      <c r="O12" s="18" t="n">
        <v>0</v>
      </c>
      <c r="P12" s="20" t="n">
        <v>0</v>
      </c>
      <c r="Q12" s="18" t="n">
        <v>5.47443147</v>
      </c>
      <c r="R12" s="20" t="n">
        <v>0.97753441</v>
      </c>
    </row>
    <row r="13" spans="1:18">
      <c r="A13" s="15" t="s">
        <v>355</v>
      </c>
      <c r="B13" s="17" t="n">
        <v>7161</v>
      </c>
      <c r="C13" s="18">
        <f>(6324.0/B13*100)</f>
        <v/>
      </c>
      <c r="D13" s="19" t="n">
        <v>837</v>
      </c>
      <c r="E13" s="18" t="n">
        <v>27.10056216</v>
      </c>
      <c r="F13" s="20" t="n">
        <v>1.72129836</v>
      </c>
      <c r="G13" s="18" t="n">
        <v>69.72193944999999</v>
      </c>
      <c r="H13" s="20" t="n">
        <v>1.70307197</v>
      </c>
      <c r="I13" s="18" t="s">
        <v>349</v>
      </c>
      <c r="J13" s="20" t="s">
        <v>349</v>
      </c>
      <c r="K13" s="18" t="n">
        <v>0.55522726</v>
      </c>
      <c r="L13" s="20" t="n">
        <v>0.29791735</v>
      </c>
      <c r="M13" s="18" t="n">
        <v>0</v>
      </c>
      <c r="N13" s="20" t="n">
        <v>0</v>
      </c>
      <c r="O13" s="18" t="n">
        <v>0</v>
      </c>
      <c r="P13" s="20" t="n">
        <v>0</v>
      </c>
      <c r="Q13" s="18" t="n">
        <v>2.62227113</v>
      </c>
      <c r="R13" s="20" t="n">
        <v>0.6259432</v>
      </c>
    </row>
    <row r="14" spans="1:18">
      <c r="A14" s="15" t="s">
        <v>356</v>
      </c>
      <c r="B14" s="17" t="n">
        <v>5587</v>
      </c>
      <c r="C14" s="18">
        <f>(4873.0/B14*100)</f>
        <v/>
      </c>
      <c r="D14" s="19" t="n">
        <v>714</v>
      </c>
      <c r="E14" s="18" t="n">
        <v>19.71034675</v>
      </c>
      <c r="F14" s="20" t="n">
        <v>1.56271836</v>
      </c>
      <c r="G14" s="18" t="n">
        <v>77.93146883999999</v>
      </c>
      <c r="H14" s="20" t="n">
        <v>1.61018309</v>
      </c>
      <c r="I14" s="18" t="s">
        <v>349</v>
      </c>
      <c r="J14" s="20" t="s">
        <v>349</v>
      </c>
      <c r="K14" s="18" t="n">
        <v>0.21753246</v>
      </c>
      <c r="L14" s="20" t="n">
        <v>0.15312875</v>
      </c>
      <c r="M14" s="18" t="n">
        <v>0</v>
      </c>
      <c r="N14" s="20" t="n">
        <v>0</v>
      </c>
      <c r="O14" s="18" t="n">
        <v>0</v>
      </c>
      <c r="P14" s="20" t="n">
        <v>0</v>
      </c>
      <c r="Q14" s="18" t="n">
        <v>2.14065195</v>
      </c>
      <c r="R14" s="20" t="n">
        <v>0.63511834</v>
      </c>
    </row>
    <row r="15" spans="1:18">
      <c r="A15" s="15" t="s">
        <v>357</v>
      </c>
      <c r="B15" s="17" t="n">
        <v>5882</v>
      </c>
      <c r="C15" s="18">
        <f>(5154.0/B15*100)</f>
        <v/>
      </c>
      <c r="D15" s="19" t="n">
        <v>728</v>
      </c>
      <c r="E15" s="18" t="n">
        <v>28.526601</v>
      </c>
      <c r="F15" s="20" t="n">
        <v>1.58138024</v>
      </c>
      <c r="G15" s="18" t="n">
        <v>67.21159876</v>
      </c>
      <c r="H15" s="20" t="n">
        <v>1.70851041</v>
      </c>
      <c r="I15" s="18" t="s">
        <v>349</v>
      </c>
      <c r="J15" s="20" t="s">
        <v>349</v>
      </c>
      <c r="K15" s="18" t="n">
        <v>0.53090024</v>
      </c>
      <c r="L15" s="20" t="n">
        <v>0.26102214</v>
      </c>
      <c r="M15" s="18" t="n">
        <v>0</v>
      </c>
      <c r="N15" s="20" t="n">
        <v>0</v>
      </c>
      <c r="O15" s="18" t="n">
        <v>0</v>
      </c>
      <c r="P15" s="20" t="n">
        <v>0</v>
      </c>
      <c r="Q15" s="18" t="n">
        <v>3.73089999</v>
      </c>
      <c r="R15" s="20" t="n">
        <v>0.7320416</v>
      </c>
    </row>
    <row r="16" spans="1:18">
      <c r="A16" s="15" t="s">
        <v>358</v>
      </c>
      <c r="B16" s="17" t="n">
        <v>6108</v>
      </c>
      <c r="C16" s="18">
        <f>(5347.0/B16*100)</f>
        <v/>
      </c>
      <c r="D16" s="19" t="n">
        <v>761</v>
      </c>
      <c r="E16" s="18" t="n">
        <v>26.50987957</v>
      </c>
      <c r="F16" s="20" t="n">
        <v>1.50728456</v>
      </c>
      <c r="G16" s="18" t="n">
        <v>63.39285287</v>
      </c>
      <c r="H16" s="20" t="n">
        <v>1.68940618</v>
      </c>
      <c r="I16" s="18" t="s">
        <v>349</v>
      </c>
      <c r="J16" s="20" t="s">
        <v>349</v>
      </c>
      <c r="K16" s="18" t="n">
        <v>1.43882336</v>
      </c>
      <c r="L16" s="20" t="n">
        <v>0.47868266</v>
      </c>
      <c r="M16" s="18" t="n">
        <v>0</v>
      </c>
      <c r="N16" s="20" t="n">
        <v>0</v>
      </c>
      <c r="O16" s="18" t="n">
        <v>0</v>
      </c>
      <c r="P16" s="20" t="n">
        <v>0</v>
      </c>
      <c r="Q16" s="18" t="n">
        <v>8.6584442</v>
      </c>
      <c r="R16" s="20" t="n">
        <v>1.11510772</v>
      </c>
    </row>
    <row r="17" spans="1:18">
      <c r="A17" s="15" t="s">
        <v>359</v>
      </c>
      <c r="B17" s="17" t="n">
        <v>6504</v>
      </c>
      <c r="C17" s="18">
        <f>(5707.0/B17*100)</f>
        <v/>
      </c>
      <c r="D17" s="19" t="n">
        <v>797</v>
      </c>
      <c r="E17" s="18" t="n">
        <v>28.75096858</v>
      </c>
      <c r="F17" s="20" t="n">
        <v>1.87922588</v>
      </c>
      <c r="G17" s="18" t="n">
        <v>65.02544732</v>
      </c>
      <c r="H17" s="20" t="n">
        <v>2.02098166</v>
      </c>
      <c r="I17" s="18" t="s">
        <v>349</v>
      </c>
      <c r="J17" s="20" t="s">
        <v>349</v>
      </c>
      <c r="K17" s="18" t="n">
        <v>0.6081282</v>
      </c>
      <c r="L17" s="20" t="n">
        <v>0.25449575</v>
      </c>
      <c r="M17" s="18" t="n">
        <v>0</v>
      </c>
      <c r="N17" s="20" t="n">
        <v>0</v>
      </c>
      <c r="O17" s="18" t="n">
        <v>0</v>
      </c>
      <c r="P17" s="20" t="n">
        <v>0</v>
      </c>
      <c r="Q17" s="18" t="n">
        <v>5.6154559</v>
      </c>
      <c r="R17" s="20" t="n">
        <v>0.9605129</v>
      </c>
    </row>
    <row r="18" spans="1:18">
      <c r="A18" s="15" t="s">
        <v>360</v>
      </c>
      <c r="B18" s="17" t="n">
        <v>5532</v>
      </c>
      <c r="C18" s="18">
        <f>(4846.0/B18*100)</f>
        <v/>
      </c>
      <c r="D18" s="19" t="n">
        <v>686</v>
      </c>
      <c r="E18" s="18" t="n">
        <v>35.42873619</v>
      </c>
      <c r="F18" s="20" t="n">
        <v>2.04461146</v>
      </c>
      <c r="G18" s="18" t="n">
        <v>53.90721123</v>
      </c>
      <c r="H18" s="20" t="n">
        <v>2.29136358</v>
      </c>
      <c r="I18" s="18" t="s">
        <v>349</v>
      </c>
      <c r="J18" s="20" t="s">
        <v>349</v>
      </c>
      <c r="K18" s="18" t="n">
        <v>1.16382532</v>
      </c>
      <c r="L18" s="20" t="n">
        <v>0.53851906</v>
      </c>
      <c r="M18" s="18" t="n">
        <v>0</v>
      </c>
      <c r="N18" s="20" t="n">
        <v>0</v>
      </c>
      <c r="O18" s="18" t="n">
        <v>0</v>
      </c>
      <c r="P18" s="20" t="n">
        <v>0</v>
      </c>
      <c r="Q18" s="18" t="n">
        <v>9.50022725</v>
      </c>
      <c r="R18" s="20" t="n">
        <v>1.60727084</v>
      </c>
    </row>
    <row r="19" spans="1:18">
      <c r="A19" s="15" t="s">
        <v>361</v>
      </c>
      <c r="B19" s="17" t="n">
        <v>5658</v>
      </c>
      <c r="C19" s="18">
        <f>(4990.0/B19*100)</f>
        <v/>
      </c>
      <c r="D19" s="19" t="n">
        <v>668</v>
      </c>
      <c r="E19" s="18" t="n">
        <v>29.84666037</v>
      </c>
      <c r="F19" s="20" t="n">
        <v>2.01178302</v>
      </c>
      <c r="G19" s="18" t="n">
        <v>63.64620194</v>
      </c>
      <c r="H19" s="20" t="n">
        <v>2.13515043</v>
      </c>
      <c r="I19" s="18" t="s">
        <v>349</v>
      </c>
      <c r="J19" s="20" t="s">
        <v>349</v>
      </c>
      <c r="K19" s="18" t="n">
        <v>0</v>
      </c>
      <c r="L19" s="20" t="n">
        <v>0</v>
      </c>
      <c r="M19" s="18" t="n">
        <v>0</v>
      </c>
      <c r="N19" s="20" t="n">
        <v>0</v>
      </c>
      <c r="O19" s="18" t="n">
        <v>0</v>
      </c>
      <c r="P19" s="20" t="n">
        <v>0</v>
      </c>
      <c r="Q19" s="18" t="n">
        <v>6.50713769</v>
      </c>
      <c r="R19" s="20" t="n">
        <v>1.09868365</v>
      </c>
    </row>
    <row r="20" spans="1:18">
      <c r="A20" s="15" t="s">
        <v>362</v>
      </c>
      <c r="B20" s="17" t="n">
        <v>3371</v>
      </c>
      <c r="C20" s="18">
        <f>(2953.0/B20*100)</f>
        <v/>
      </c>
      <c r="D20" s="19" t="n">
        <v>418</v>
      </c>
      <c r="E20" s="18" t="n">
        <v>37.19449451</v>
      </c>
      <c r="F20" s="20" t="n">
        <v>2.52355266</v>
      </c>
      <c r="G20" s="18" t="n">
        <v>55.4708615</v>
      </c>
      <c r="H20" s="20" t="n">
        <v>2.65878246</v>
      </c>
      <c r="I20" s="18" t="s">
        <v>349</v>
      </c>
      <c r="J20" s="20" t="s">
        <v>349</v>
      </c>
      <c r="K20" s="18" t="n">
        <v>1.66044316</v>
      </c>
      <c r="L20" s="20" t="n">
        <v>0.62706454</v>
      </c>
      <c r="M20" s="18" t="n">
        <v>0</v>
      </c>
      <c r="N20" s="20" t="n">
        <v>0</v>
      </c>
      <c r="O20" s="18" t="n">
        <v>0</v>
      </c>
      <c r="P20" s="20" t="n">
        <v>0</v>
      </c>
      <c r="Q20" s="18" t="n">
        <v>5.67420083</v>
      </c>
      <c r="R20" s="20" t="n">
        <v>1.17138589</v>
      </c>
    </row>
    <row r="21" spans="1:18">
      <c r="A21" s="15" t="s">
        <v>363</v>
      </c>
      <c r="B21" s="17" t="n">
        <v>5741</v>
      </c>
      <c r="C21" s="18">
        <f>(4801.0/B21*100)</f>
        <v/>
      </c>
      <c r="D21" s="19" t="n">
        <v>940</v>
      </c>
      <c r="E21" s="18" t="n">
        <v>23.87515095</v>
      </c>
      <c r="F21" s="20" t="n">
        <v>1.67637828</v>
      </c>
      <c r="G21" s="18" t="n">
        <v>71.23625536</v>
      </c>
      <c r="H21" s="20" t="n">
        <v>1.74407973</v>
      </c>
      <c r="I21" s="18" t="s">
        <v>349</v>
      </c>
      <c r="J21" s="20" t="s">
        <v>349</v>
      </c>
      <c r="K21" s="18" t="n">
        <v>0.53066198</v>
      </c>
      <c r="L21" s="20" t="n">
        <v>0.27803433</v>
      </c>
      <c r="M21" s="18" t="n">
        <v>0</v>
      </c>
      <c r="N21" s="20" t="n">
        <v>0</v>
      </c>
      <c r="O21" s="18" t="n">
        <v>0</v>
      </c>
      <c r="P21" s="20" t="n">
        <v>0</v>
      </c>
      <c r="Q21" s="18" t="n">
        <v>4.3579317</v>
      </c>
      <c r="R21" s="20" t="n">
        <v>0.70491015</v>
      </c>
    </row>
    <row r="22" spans="1:18">
      <c r="A22" s="15" t="s">
        <v>364</v>
      </c>
      <c r="B22" s="17" t="n">
        <v>6598</v>
      </c>
      <c r="C22" s="18">
        <f>(5756.0/B22*100)</f>
        <v/>
      </c>
      <c r="D22" s="19" t="n">
        <v>842</v>
      </c>
      <c r="E22" s="18" t="n">
        <v>36.78555585</v>
      </c>
      <c r="F22" s="20" t="n">
        <v>2.24025848</v>
      </c>
      <c r="G22" s="18" t="n">
        <v>56.49288473</v>
      </c>
      <c r="H22" s="20" t="n">
        <v>2.22230575</v>
      </c>
      <c r="I22" s="18" t="s">
        <v>349</v>
      </c>
      <c r="J22" s="20" t="s">
        <v>349</v>
      </c>
      <c r="K22" s="18" t="n">
        <v>1.22009487</v>
      </c>
      <c r="L22" s="20" t="n">
        <v>0.38996855</v>
      </c>
      <c r="M22" s="18" t="n">
        <v>0</v>
      </c>
      <c r="N22" s="20" t="n">
        <v>0</v>
      </c>
      <c r="O22" s="18" t="n">
        <v>0</v>
      </c>
      <c r="P22" s="20" t="n">
        <v>0</v>
      </c>
      <c r="Q22" s="18" t="n">
        <v>5.50146455</v>
      </c>
      <c r="R22" s="20" t="n">
        <v>0.75751708</v>
      </c>
    </row>
    <row r="23" spans="1:18">
      <c r="A23" s="15" t="s">
        <v>365</v>
      </c>
      <c r="B23" s="17" t="n">
        <v>11583</v>
      </c>
      <c r="C23" s="18">
        <f>(10170.0/B23*100)</f>
        <v/>
      </c>
      <c r="D23" s="19" t="n">
        <v>1413</v>
      </c>
      <c r="E23" s="18" t="n">
        <v>23.54581204</v>
      </c>
      <c r="F23" s="20" t="n">
        <v>1.82437537</v>
      </c>
      <c r="G23" s="18" t="n">
        <v>69.17046499999999</v>
      </c>
      <c r="H23" s="20" t="n">
        <v>1.78169095</v>
      </c>
      <c r="I23" s="18" t="s">
        <v>349</v>
      </c>
      <c r="J23" s="20" t="s">
        <v>349</v>
      </c>
      <c r="K23" s="18" t="n">
        <v>0.8699854299999999</v>
      </c>
      <c r="L23" s="20" t="n">
        <v>0.33627443</v>
      </c>
      <c r="M23" s="18" t="n">
        <v>0</v>
      </c>
      <c r="N23" s="20" t="n">
        <v>0</v>
      </c>
      <c r="O23" s="18" t="n">
        <v>0</v>
      </c>
      <c r="P23" s="20" t="n">
        <v>0</v>
      </c>
      <c r="Q23" s="18" t="n">
        <v>6.41373753</v>
      </c>
      <c r="R23" s="20" t="n">
        <v>1.03557552</v>
      </c>
    </row>
    <row r="24" spans="1:18">
      <c r="A24" s="15" t="s">
        <v>366</v>
      </c>
      <c r="B24" s="17" t="n">
        <v>6647</v>
      </c>
      <c r="C24" s="18">
        <f>(5847.0/B24*100)</f>
        <v/>
      </c>
      <c r="D24" s="19" t="n">
        <v>800</v>
      </c>
      <c r="E24" s="18" t="n">
        <v>18.55894577</v>
      </c>
      <c r="F24" s="20" t="n">
        <v>1.65425235</v>
      </c>
      <c r="G24" s="18" t="n">
        <v>76.24467208999999</v>
      </c>
      <c r="H24" s="20" t="n">
        <v>1.6817067</v>
      </c>
      <c r="I24" s="18" t="s">
        <v>349</v>
      </c>
      <c r="J24" s="20" t="s">
        <v>349</v>
      </c>
      <c r="K24" s="18" t="n">
        <v>0.45831438</v>
      </c>
      <c r="L24" s="20" t="n">
        <v>0.23118514</v>
      </c>
      <c r="M24" s="18" t="n">
        <v>0</v>
      </c>
      <c r="N24" s="20" t="n">
        <v>0</v>
      </c>
      <c r="O24" s="18" t="n">
        <v>0</v>
      </c>
      <c r="P24" s="20" t="n">
        <v>0</v>
      </c>
      <c r="Q24" s="18" t="n">
        <v>4.73806776</v>
      </c>
      <c r="R24" s="20" t="n">
        <v>0.63721112</v>
      </c>
    </row>
    <row r="25" spans="1:18">
      <c r="A25" s="15" t="s">
        <v>367</v>
      </c>
      <c r="B25" s="17" t="n">
        <v>5581</v>
      </c>
      <c r="C25" s="18">
        <f>(4903.0/B25*100)</f>
        <v/>
      </c>
      <c r="D25" s="19" t="n">
        <v>678</v>
      </c>
      <c r="E25" s="18" t="n">
        <v>21.68773163</v>
      </c>
      <c r="F25" s="20" t="n">
        <v>1.44354253</v>
      </c>
      <c r="G25" s="18" t="n">
        <v>74.17774487</v>
      </c>
      <c r="H25" s="20" t="n">
        <v>1.72565513</v>
      </c>
      <c r="I25" s="18" t="s">
        <v>349</v>
      </c>
      <c r="J25" s="20" t="s">
        <v>349</v>
      </c>
      <c r="K25" s="18" t="n">
        <v>0.16279963</v>
      </c>
      <c r="L25" s="20" t="n">
        <v>0.16242486</v>
      </c>
      <c r="M25" s="18" t="n">
        <v>0</v>
      </c>
      <c r="N25" s="20" t="n">
        <v>0</v>
      </c>
      <c r="O25" s="18" t="n">
        <v>0</v>
      </c>
      <c r="P25" s="20" t="n">
        <v>0</v>
      </c>
      <c r="Q25" s="18" t="n">
        <v>3.97172387</v>
      </c>
      <c r="R25" s="20" t="n">
        <v>0.8200888200000001</v>
      </c>
    </row>
    <row r="26" spans="1:18">
      <c r="A26" s="15" t="s">
        <v>368</v>
      </c>
      <c r="B26" s="17" t="n">
        <v>4869</v>
      </c>
      <c r="C26" s="18">
        <f>(4270.0/B26*100)</f>
        <v/>
      </c>
      <c r="D26" s="19" t="n">
        <v>599</v>
      </c>
      <c r="E26" s="18" t="n">
        <v>25.41868631</v>
      </c>
      <c r="F26" s="20" t="n">
        <v>1.89513497</v>
      </c>
      <c r="G26" s="18" t="n">
        <v>72.14371367</v>
      </c>
      <c r="H26" s="20" t="n">
        <v>1.88450208</v>
      </c>
      <c r="I26" s="18" t="s">
        <v>349</v>
      </c>
      <c r="J26" s="20" t="s">
        <v>349</v>
      </c>
      <c r="K26" s="18" t="n">
        <v>0.12709778</v>
      </c>
      <c r="L26" s="20" t="n">
        <v>0.12739222</v>
      </c>
      <c r="M26" s="18" t="n">
        <v>0</v>
      </c>
      <c r="N26" s="20" t="n">
        <v>0</v>
      </c>
      <c r="O26" s="18" t="n">
        <v>0</v>
      </c>
      <c r="P26" s="20" t="n">
        <v>0</v>
      </c>
      <c r="Q26" s="18" t="n">
        <v>2.31050224</v>
      </c>
      <c r="R26" s="20" t="n">
        <v>0.53451792</v>
      </c>
    </row>
    <row r="27" spans="1:18">
      <c r="A27" s="15" t="s">
        <v>369</v>
      </c>
      <c r="B27" s="17" t="n">
        <v>5299</v>
      </c>
      <c r="C27" s="18">
        <f>(4648.0/B27*100)</f>
        <v/>
      </c>
      <c r="D27" s="19" t="n">
        <v>651</v>
      </c>
      <c r="E27" s="18" t="n">
        <v>24.98043141</v>
      </c>
      <c r="F27" s="20" t="n">
        <v>1.92803656</v>
      </c>
      <c r="G27" s="18" t="n">
        <v>66.37451989</v>
      </c>
      <c r="H27" s="20" t="n">
        <v>1.98268945</v>
      </c>
      <c r="I27" s="18" t="s">
        <v>349</v>
      </c>
      <c r="J27" s="20" t="s">
        <v>349</v>
      </c>
      <c r="K27" s="18" t="n">
        <v>0.46712812</v>
      </c>
      <c r="L27" s="20" t="n">
        <v>0.26930549</v>
      </c>
      <c r="M27" s="18" t="n">
        <v>0</v>
      </c>
      <c r="N27" s="20" t="n">
        <v>0</v>
      </c>
      <c r="O27" s="18" t="n">
        <v>0</v>
      </c>
      <c r="P27" s="20" t="n">
        <v>0</v>
      </c>
      <c r="Q27" s="18" t="n">
        <v>8.177920589999999</v>
      </c>
      <c r="R27" s="20" t="n">
        <v>1.1834774</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33.24155264</v>
      </c>
      <c r="F29" s="20" t="n">
        <v>1.89710741</v>
      </c>
      <c r="G29" s="18" t="n">
        <v>61.16073065</v>
      </c>
      <c r="H29" s="20" t="n">
        <v>1.74125783</v>
      </c>
      <c r="I29" s="18" t="s">
        <v>349</v>
      </c>
      <c r="J29" s="20" t="s">
        <v>349</v>
      </c>
      <c r="K29" s="18" t="n">
        <v>0.7479467400000001</v>
      </c>
      <c r="L29" s="20" t="n">
        <v>0.33025805</v>
      </c>
      <c r="M29" s="18" t="n">
        <v>0</v>
      </c>
      <c r="N29" s="20" t="n">
        <v>0</v>
      </c>
      <c r="O29" s="18" t="n">
        <v>0</v>
      </c>
      <c r="P29" s="20" t="n">
        <v>0</v>
      </c>
      <c r="Q29" s="18" t="n">
        <v>4.84976997</v>
      </c>
      <c r="R29" s="20" t="n">
        <v>0.78690969</v>
      </c>
    </row>
    <row r="30" spans="1:18">
      <c r="A30" s="15" t="s">
        <v>372</v>
      </c>
      <c r="B30" s="17" t="n">
        <v>4520</v>
      </c>
      <c r="C30" s="18">
        <f>(3985.0/B30*100)</f>
        <v/>
      </c>
      <c r="D30" s="19" t="n">
        <v>535</v>
      </c>
      <c r="E30" s="18" t="n">
        <v>29.84509271</v>
      </c>
      <c r="F30" s="20" t="n">
        <v>2.2856932</v>
      </c>
      <c r="G30" s="18" t="n">
        <v>63.77890708</v>
      </c>
      <c r="H30" s="20" t="n">
        <v>2.43745099</v>
      </c>
      <c r="I30" s="18" t="s">
        <v>349</v>
      </c>
      <c r="J30" s="20" t="s">
        <v>349</v>
      </c>
      <c r="K30" s="18" t="n">
        <v>0.64137872</v>
      </c>
      <c r="L30" s="20" t="n">
        <v>0.29578442</v>
      </c>
      <c r="M30" s="18" t="n">
        <v>0</v>
      </c>
      <c r="N30" s="20" t="n">
        <v>0</v>
      </c>
      <c r="O30" s="18" t="n">
        <v>0</v>
      </c>
      <c r="P30" s="20" t="n">
        <v>0</v>
      </c>
      <c r="Q30" s="18" t="n">
        <v>5.73462149</v>
      </c>
      <c r="R30" s="20" t="n">
        <v>0.94344178</v>
      </c>
    </row>
    <row r="31" spans="1:18">
      <c r="A31" s="15" t="s">
        <v>373</v>
      </c>
      <c r="B31" s="17" t="n">
        <v>5456</v>
      </c>
      <c r="C31" s="18">
        <f>(4754.0/B31*100)</f>
        <v/>
      </c>
      <c r="D31" s="19" t="n">
        <v>702</v>
      </c>
      <c r="E31" s="18" t="n">
        <v>33.05099095</v>
      </c>
      <c r="F31" s="20" t="n">
        <v>2.07491539</v>
      </c>
      <c r="G31" s="18" t="n">
        <v>58.99965211</v>
      </c>
      <c r="H31" s="20" t="n">
        <v>2.04830167</v>
      </c>
      <c r="I31" s="18" t="s">
        <v>349</v>
      </c>
      <c r="J31" s="20" t="s">
        <v>349</v>
      </c>
      <c r="K31" s="18" t="n">
        <v>1.27440231</v>
      </c>
      <c r="L31" s="20" t="n">
        <v>0.37423943</v>
      </c>
      <c r="M31" s="18" t="n">
        <v>0</v>
      </c>
      <c r="N31" s="20" t="n">
        <v>0</v>
      </c>
      <c r="O31" s="18" t="n">
        <v>0</v>
      </c>
      <c r="P31" s="20" t="n">
        <v>0</v>
      </c>
      <c r="Q31" s="18" t="n">
        <v>6.67495463</v>
      </c>
      <c r="R31" s="20" t="n">
        <v>1.00665239</v>
      </c>
    </row>
    <row r="32" spans="1:18">
      <c r="A32" s="15" t="s">
        <v>374</v>
      </c>
      <c r="B32" s="17" t="n">
        <v>4478</v>
      </c>
      <c r="C32" s="18">
        <f>(3725.0/B32*100)</f>
        <v/>
      </c>
      <c r="D32" s="19" t="n">
        <v>753</v>
      </c>
      <c r="E32" s="18" t="n">
        <v>23.66549467</v>
      </c>
      <c r="F32" s="20" t="n">
        <v>1.82495165</v>
      </c>
      <c r="G32" s="18" t="n">
        <v>71.05917105</v>
      </c>
      <c r="H32" s="20" t="n">
        <v>1.96291451</v>
      </c>
      <c r="I32" s="18" t="s">
        <v>349</v>
      </c>
      <c r="J32" s="20" t="s">
        <v>349</v>
      </c>
      <c r="K32" s="18" t="n">
        <v>0.65786643</v>
      </c>
      <c r="L32" s="20" t="n">
        <v>0.28670092</v>
      </c>
      <c r="M32" s="18" t="n">
        <v>0</v>
      </c>
      <c r="N32" s="20" t="n">
        <v>0</v>
      </c>
      <c r="O32" s="18" t="n">
        <v>0</v>
      </c>
      <c r="P32" s="20" t="n">
        <v>0</v>
      </c>
      <c r="Q32" s="18" t="n">
        <v>4.61746786</v>
      </c>
      <c r="R32" s="20" t="n">
        <v>0.79713953</v>
      </c>
    </row>
    <row r="33" spans="1:18">
      <c r="A33" s="15" t="s">
        <v>375</v>
      </c>
      <c r="B33" s="17" t="n">
        <v>7325</v>
      </c>
      <c r="C33" s="18">
        <f>(6441.0/B33*100)</f>
        <v/>
      </c>
      <c r="D33" s="19" t="n">
        <v>884</v>
      </c>
      <c r="E33" s="18" t="n">
        <v>25.74001045</v>
      </c>
      <c r="F33" s="20" t="n">
        <v>1.70378123</v>
      </c>
      <c r="G33" s="18" t="n">
        <v>66.01478709</v>
      </c>
      <c r="H33" s="20" t="n">
        <v>1.98951849</v>
      </c>
      <c r="I33" s="18" t="s">
        <v>349</v>
      </c>
      <c r="J33" s="20" t="s">
        <v>349</v>
      </c>
      <c r="K33" s="18" t="n">
        <v>0.79620076</v>
      </c>
      <c r="L33" s="20" t="n">
        <v>0.38583528</v>
      </c>
      <c r="M33" s="18" t="n">
        <v>0</v>
      </c>
      <c r="N33" s="20" t="n">
        <v>0</v>
      </c>
      <c r="O33" s="18" t="n">
        <v>0</v>
      </c>
      <c r="P33" s="20" t="n">
        <v>0</v>
      </c>
      <c r="Q33" s="18" t="n">
        <v>7.4490017</v>
      </c>
      <c r="R33" s="20" t="n">
        <v>1.07362051</v>
      </c>
    </row>
    <row r="34" spans="1:18">
      <c r="A34" s="15" t="s">
        <v>376</v>
      </c>
      <c r="B34" s="17" t="n">
        <v>6350</v>
      </c>
      <c r="C34" s="18">
        <f>(5584.0/B34*100)</f>
        <v/>
      </c>
      <c r="D34" s="19" t="n">
        <v>766</v>
      </c>
      <c r="E34" s="18" t="n">
        <v>27.30482696</v>
      </c>
      <c r="F34" s="20" t="n">
        <v>1.94994959</v>
      </c>
      <c r="G34" s="18" t="n">
        <v>69.66708672</v>
      </c>
      <c r="H34" s="20" t="n">
        <v>1.90923752</v>
      </c>
      <c r="I34" s="18" t="s">
        <v>349</v>
      </c>
      <c r="J34" s="20" t="s">
        <v>349</v>
      </c>
      <c r="K34" s="18" t="n">
        <v>0.217745</v>
      </c>
      <c r="L34" s="20" t="n">
        <v>0.15693185</v>
      </c>
      <c r="M34" s="18" t="n">
        <v>0</v>
      </c>
      <c r="N34" s="20" t="n">
        <v>0</v>
      </c>
      <c r="O34" s="18" t="n">
        <v>0</v>
      </c>
      <c r="P34" s="20" t="n">
        <v>0</v>
      </c>
      <c r="Q34" s="18" t="n">
        <v>2.81034133</v>
      </c>
      <c r="R34" s="20" t="n">
        <v>0.56238562</v>
      </c>
    </row>
    <row r="35" spans="1:18">
      <c r="A35" s="15" t="s">
        <v>377</v>
      </c>
      <c r="B35" s="17" t="n">
        <v>6406</v>
      </c>
      <c r="C35" s="18">
        <f>(5609.0/B35*100)</f>
        <v/>
      </c>
      <c r="D35" s="19" t="n">
        <v>797</v>
      </c>
      <c r="E35" s="18" t="n">
        <v>21.18977666</v>
      </c>
      <c r="F35" s="20" t="n">
        <v>1.7561</v>
      </c>
      <c r="G35" s="18" t="n">
        <v>75.26912464</v>
      </c>
      <c r="H35" s="20" t="n">
        <v>1.91014271</v>
      </c>
      <c r="I35" s="18" t="s">
        <v>349</v>
      </c>
      <c r="J35" s="20" t="s">
        <v>349</v>
      </c>
      <c r="K35" s="18" t="n">
        <v>0.16263456</v>
      </c>
      <c r="L35" s="20" t="n">
        <v>0.09445236</v>
      </c>
      <c r="M35" s="18" t="n">
        <v>0</v>
      </c>
      <c r="N35" s="20" t="n">
        <v>0</v>
      </c>
      <c r="O35" s="18" t="n">
        <v>0</v>
      </c>
      <c r="P35" s="20" t="n">
        <v>0</v>
      </c>
      <c r="Q35" s="18" t="n">
        <v>3.37846413</v>
      </c>
      <c r="R35" s="20" t="n">
        <v>0.65208941</v>
      </c>
    </row>
    <row r="36" spans="1:18">
      <c r="A36" s="15" t="s">
        <v>378</v>
      </c>
      <c r="B36" s="17" t="n">
        <v>6736</v>
      </c>
      <c r="C36" s="18">
        <f>(5918.0/B36*100)</f>
        <v/>
      </c>
      <c r="D36" s="19" t="n">
        <v>818</v>
      </c>
      <c r="E36" s="18" t="n">
        <v>25.88781734</v>
      </c>
      <c r="F36" s="20" t="n">
        <v>1.4763278</v>
      </c>
      <c r="G36" s="18" t="n">
        <v>68.64050398000001</v>
      </c>
      <c r="H36" s="20" t="n">
        <v>1.57257583</v>
      </c>
      <c r="I36" s="18" t="s">
        <v>349</v>
      </c>
      <c r="J36" s="20" t="s">
        <v>349</v>
      </c>
      <c r="K36" s="18" t="n">
        <v>0.62497707</v>
      </c>
      <c r="L36" s="20" t="n">
        <v>0.29507162</v>
      </c>
      <c r="M36" s="18" t="n">
        <v>0</v>
      </c>
      <c r="N36" s="20" t="n">
        <v>0</v>
      </c>
      <c r="O36" s="18" t="n">
        <v>0</v>
      </c>
      <c r="P36" s="20" t="n">
        <v>0</v>
      </c>
      <c r="Q36" s="18" t="n">
        <v>4.84670161</v>
      </c>
      <c r="R36" s="20" t="n">
        <v>0.80241381</v>
      </c>
    </row>
    <row r="37" spans="1:18">
      <c r="A37" s="15" t="s">
        <v>379</v>
      </c>
      <c r="B37" s="17" t="n">
        <v>5458</v>
      </c>
      <c r="C37" s="18">
        <f>(4800.0/B37*100)</f>
        <v/>
      </c>
      <c r="D37" s="19" t="n">
        <v>658</v>
      </c>
      <c r="E37" s="18" t="n">
        <v>33.35518739</v>
      </c>
      <c r="F37" s="20" t="n">
        <v>1.91088029</v>
      </c>
      <c r="G37" s="18" t="n">
        <v>52.64609561</v>
      </c>
      <c r="H37" s="20" t="n">
        <v>2.29549742</v>
      </c>
      <c r="I37" s="18" t="s">
        <v>349</v>
      </c>
      <c r="J37" s="20" t="s">
        <v>349</v>
      </c>
      <c r="K37" s="18" t="n">
        <v>2.66962173</v>
      </c>
      <c r="L37" s="20" t="n">
        <v>0.74478649</v>
      </c>
      <c r="M37" s="18" t="n">
        <v>0</v>
      </c>
      <c r="N37" s="20" t="n">
        <v>0</v>
      </c>
      <c r="O37" s="18" t="n">
        <v>0</v>
      </c>
      <c r="P37" s="20" t="n">
        <v>0</v>
      </c>
      <c r="Q37" s="18" t="n">
        <v>11.32909526</v>
      </c>
      <c r="R37" s="20" t="n">
        <v>1.35355176</v>
      </c>
    </row>
    <row r="38" spans="1:18">
      <c r="A38" s="15" t="s">
        <v>380</v>
      </c>
      <c r="B38" s="17" t="n">
        <v>5860</v>
      </c>
      <c r="C38" s="18">
        <f>(4907.0/B38*100)</f>
        <v/>
      </c>
      <c r="D38" s="19" t="n">
        <v>953</v>
      </c>
      <c r="E38" s="18" t="n">
        <v>26.28122867</v>
      </c>
      <c r="F38" s="20" t="n">
        <v>1.47733285</v>
      </c>
      <c r="G38" s="18" t="n">
        <v>67.45948668</v>
      </c>
      <c r="H38" s="20" t="n">
        <v>1.5827595</v>
      </c>
      <c r="I38" s="18" t="s">
        <v>349</v>
      </c>
      <c r="J38" s="20" t="s">
        <v>349</v>
      </c>
      <c r="K38" s="18" t="n">
        <v>0.6938393</v>
      </c>
      <c r="L38" s="20" t="n">
        <v>0.26336683</v>
      </c>
      <c r="M38" s="18" t="n">
        <v>0</v>
      </c>
      <c r="N38" s="20" t="n">
        <v>0</v>
      </c>
      <c r="O38" s="18" t="n">
        <v>0</v>
      </c>
      <c r="P38" s="20" t="n">
        <v>0</v>
      </c>
      <c r="Q38" s="18" t="n">
        <v>5.56544535</v>
      </c>
      <c r="R38" s="20" t="n">
        <v>0.76388774</v>
      </c>
    </row>
    <row r="39" spans="1:18">
      <c r="A39" s="15" t="s">
        <v>381</v>
      </c>
      <c r="B39" s="17" t="n">
        <v>5895</v>
      </c>
      <c r="C39" s="18">
        <f>(5147.0/B39*100)</f>
        <v/>
      </c>
      <c r="D39" s="19" t="n">
        <v>748</v>
      </c>
      <c r="E39" s="18" t="n">
        <v>52.98626594</v>
      </c>
      <c r="F39" s="20" t="n">
        <v>2.2911358</v>
      </c>
      <c r="G39" s="18" t="n">
        <v>42.08951933</v>
      </c>
      <c r="H39" s="20" t="n">
        <v>2.055993</v>
      </c>
      <c r="I39" s="18" t="s">
        <v>349</v>
      </c>
      <c r="J39" s="20" t="s">
        <v>349</v>
      </c>
      <c r="K39" s="18" t="n">
        <v>0.38375257</v>
      </c>
      <c r="L39" s="20" t="n">
        <v>0.23374679</v>
      </c>
      <c r="M39" s="18" t="n">
        <v>0</v>
      </c>
      <c r="N39" s="20" t="n">
        <v>0</v>
      </c>
      <c r="O39" s="18" t="n">
        <v>0</v>
      </c>
      <c r="P39" s="20" t="n">
        <v>0</v>
      </c>
      <c r="Q39" s="18" t="n">
        <v>4.54046216</v>
      </c>
      <c r="R39" s="20" t="n">
        <v>0.70404101</v>
      </c>
    </row>
    <row r="40" spans="1:18">
      <c r="A40" s="15" t="s">
        <v>382</v>
      </c>
      <c r="B40" s="17" t="n">
        <v>14157</v>
      </c>
      <c r="C40" s="18">
        <f>(12384.0/B40*100)</f>
        <v/>
      </c>
      <c r="D40" s="19" t="n">
        <v>1773</v>
      </c>
      <c r="E40" s="18" t="n">
        <v>27.08714585</v>
      </c>
      <c r="F40" s="20" t="n">
        <v>1.6759859</v>
      </c>
      <c r="G40" s="18" t="n">
        <v>67.15026030999999</v>
      </c>
      <c r="H40" s="20" t="n">
        <v>1.77102999</v>
      </c>
      <c r="I40" s="18" t="s">
        <v>349</v>
      </c>
      <c r="J40" s="20" t="s">
        <v>349</v>
      </c>
      <c r="K40" s="18" t="n">
        <v>0.65719757</v>
      </c>
      <c r="L40" s="20" t="n">
        <v>0.29391257</v>
      </c>
      <c r="M40" s="18" t="n">
        <v>0</v>
      </c>
      <c r="N40" s="20" t="n">
        <v>0</v>
      </c>
      <c r="O40" s="18" t="n">
        <v>0</v>
      </c>
      <c r="P40" s="20" t="n">
        <v>0</v>
      </c>
      <c r="Q40" s="18" t="n">
        <v>5.10539626</v>
      </c>
      <c r="R40" s="20" t="n">
        <v>0.8534431</v>
      </c>
    </row>
    <row r="41" spans="1:18">
      <c r="A41" s="15" t="s">
        <v>383</v>
      </c>
      <c r="B41" s="17" t="n">
        <v>5712</v>
      </c>
      <c r="C41" s="18">
        <f>(5027.0/B41*100)</f>
        <v/>
      </c>
      <c r="D41" s="19" t="n">
        <v>685</v>
      </c>
      <c r="E41" s="18" t="n">
        <v>26.37746924</v>
      </c>
      <c r="F41" s="20" t="n">
        <v>2.10213355</v>
      </c>
      <c r="G41" s="18" t="n">
        <v>72.19914956</v>
      </c>
      <c r="H41" s="20" t="n">
        <v>2.14355052</v>
      </c>
      <c r="I41" s="18" t="s">
        <v>349</v>
      </c>
      <c r="J41" s="20" t="s">
        <v>349</v>
      </c>
      <c r="K41" s="18" t="n">
        <v>0</v>
      </c>
      <c r="L41" s="20" t="n">
        <v>0</v>
      </c>
      <c r="M41" s="18" t="n">
        <v>0</v>
      </c>
      <c r="N41" s="20" t="n">
        <v>0</v>
      </c>
      <c r="O41" s="18" t="n">
        <v>0</v>
      </c>
      <c r="P41" s="20" t="n">
        <v>0</v>
      </c>
      <c r="Q41" s="18" t="n">
        <v>1.42338119</v>
      </c>
      <c r="R41" s="20" t="n">
        <v>0.47325565</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(8619.0/B48*100)</f>
        <v/>
      </c>
      <c r="D48" s="19" t="n">
        <v>1222</v>
      </c>
      <c r="E48" s="18" t="n">
        <v>24.20022247</v>
      </c>
      <c r="F48" s="20" t="n">
        <v>1.69585022</v>
      </c>
      <c r="G48" s="18" t="n">
        <v>74.46876296000001</v>
      </c>
      <c r="H48" s="20" t="n">
        <v>1.80494791</v>
      </c>
      <c r="I48" s="18" t="s">
        <v>349</v>
      </c>
      <c r="J48" s="20" t="s">
        <v>349</v>
      </c>
      <c r="K48" s="18" t="n">
        <v>0.2957861</v>
      </c>
      <c r="L48" s="20" t="n">
        <v>0.18926323</v>
      </c>
      <c r="M48" s="18" t="n">
        <v>0</v>
      </c>
      <c r="N48" s="20" t="n">
        <v>0</v>
      </c>
      <c r="O48" s="18" t="n">
        <v>0</v>
      </c>
      <c r="P48" s="20" t="n">
        <v>0</v>
      </c>
      <c r="Q48" s="18" t="n">
        <v>1.03522848</v>
      </c>
      <c r="R48" s="20" t="n">
        <v>0.36566264</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(5088.0/B52*100)</f>
        <v/>
      </c>
      <c r="D52" s="19" t="n">
        <v>721</v>
      </c>
      <c r="E52" s="18" t="n">
        <v>23.75615516</v>
      </c>
      <c r="F52" s="20" t="n">
        <v>1.68637052</v>
      </c>
      <c r="G52" s="18" t="n">
        <v>67.95418230999999</v>
      </c>
      <c r="H52" s="20" t="n">
        <v>1.72063361</v>
      </c>
      <c r="I52" s="18" t="s">
        <v>349</v>
      </c>
      <c r="J52" s="20" t="s">
        <v>349</v>
      </c>
      <c r="K52" s="18" t="n">
        <v>1.20733781</v>
      </c>
      <c r="L52" s="20" t="n">
        <v>0.39930485</v>
      </c>
      <c r="M52" s="18" t="n">
        <v>0</v>
      </c>
      <c r="N52" s="20" t="n">
        <v>0</v>
      </c>
      <c r="O52" s="18" t="n">
        <v>0</v>
      </c>
      <c r="P52" s="20" t="n">
        <v>0</v>
      </c>
      <c r="Q52" s="18" t="n">
        <v>7.08232471</v>
      </c>
      <c r="R52" s="20" t="n">
        <v>1.02106731</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17.21493812</v>
      </c>
      <c r="F56" s="20" t="n">
        <v>1.45332273</v>
      </c>
      <c r="G56" s="18" t="n">
        <v>81.29015947000001</v>
      </c>
      <c r="H56" s="20" t="n">
        <v>1.52839322</v>
      </c>
      <c r="I56" s="18" t="s">
        <v>349</v>
      </c>
      <c r="J56" s="20" t="s">
        <v>349</v>
      </c>
      <c r="K56" s="18" t="n">
        <v>0.27646964</v>
      </c>
      <c r="L56" s="20" t="n">
        <v>0.30854574</v>
      </c>
      <c r="M56" s="18" t="n">
        <v>0</v>
      </c>
      <c r="N56" s="20" t="n">
        <v>0</v>
      </c>
      <c r="O56" s="18" t="n">
        <v>0</v>
      </c>
      <c r="P56" s="20" t="n">
        <v>0</v>
      </c>
      <c r="Q56" s="18" t="n">
        <v>1.21843276</v>
      </c>
      <c r="R56" s="20" t="n">
        <v>0.4998555</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(5710.0/B61*100)</f>
        <v/>
      </c>
      <c r="D61" s="19" t="n">
        <v>815</v>
      </c>
      <c r="E61" s="18" t="n">
        <v>30.0097744</v>
      </c>
      <c r="F61" s="20" t="n">
        <v>1.88457055</v>
      </c>
      <c r="G61" s="18" t="n">
        <v>64.61842713</v>
      </c>
      <c r="H61" s="20" t="n">
        <v>1.79673062</v>
      </c>
      <c r="I61" s="18" t="s">
        <v>349</v>
      </c>
      <c r="J61" s="20" t="s">
        <v>349</v>
      </c>
      <c r="K61" s="18" t="n">
        <v>0.33976193</v>
      </c>
      <c r="L61" s="20" t="n">
        <v>0.22534324</v>
      </c>
      <c r="M61" s="18" t="n">
        <v>0</v>
      </c>
      <c r="N61" s="20" t="n">
        <v>0</v>
      </c>
      <c r="O61" s="18" t="n">
        <v>0</v>
      </c>
      <c r="P61" s="20" t="n">
        <v>0</v>
      </c>
      <c r="Q61" s="18" t="n">
        <v>5.03203654</v>
      </c>
      <c r="R61" s="20" t="n">
        <v>0.8936075999999999</v>
      </c>
    </row>
    <row r="62" spans="1:18">
      <c r="A62" s="15" t="s">
        <v>404</v>
      </c>
      <c r="B62" s="17" t="n">
        <v>4476</v>
      </c>
      <c r="C62" s="18">
        <f>(3918.0/B62*100)</f>
        <v/>
      </c>
      <c r="D62" s="19" t="n">
        <v>558</v>
      </c>
      <c r="E62" s="18" t="n">
        <v>15.44511599</v>
      </c>
      <c r="F62" s="20" t="n">
        <v>1.58120236</v>
      </c>
      <c r="G62" s="18" t="n">
        <v>83.65288196</v>
      </c>
      <c r="H62" s="20" t="n">
        <v>1.63739943</v>
      </c>
      <c r="I62" s="18" t="s">
        <v>349</v>
      </c>
      <c r="J62" s="20" t="s">
        <v>349</v>
      </c>
      <c r="K62" s="18" t="n">
        <v>0</v>
      </c>
      <c r="L62" s="20" t="n">
        <v>0</v>
      </c>
      <c r="M62" s="18" t="n">
        <v>0</v>
      </c>
      <c r="N62" s="20" t="n">
        <v>0</v>
      </c>
      <c r="O62" s="18" t="n">
        <v>0</v>
      </c>
      <c r="P62" s="20" t="n">
        <v>0</v>
      </c>
      <c r="Q62" s="18" t="n">
        <v>0.90200205</v>
      </c>
      <c r="R62" s="20" t="n">
        <v>0.40104589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(4970.0/B66*100)</f>
        <v/>
      </c>
      <c r="D66" s="19" t="n">
        <v>695</v>
      </c>
      <c r="E66" s="18" t="n">
        <v>30.5124384</v>
      </c>
      <c r="F66" s="20" t="n">
        <v>1.73594541</v>
      </c>
      <c r="G66" s="18" t="n">
        <v>56.9769812</v>
      </c>
      <c r="H66" s="20" t="n">
        <v>1.90604597</v>
      </c>
      <c r="I66" s="18" t="s">
        <v>349</v>
      </c>
      <c r="J66" s="20" t="s">
        <v>349</v>
      </c>
      <c r="K66" s="18" t="n">
        <v>1.25362148</v>
      </c>
      <c r="L66" s="20" t="n">
        <v>0.42548735</v>
      </c>
      <c r="M66" s="18" t="n">
        <v>0</v>
      </c>
      <c r="N66" s="20" t="n">
        <v>0</v>
      </c>
      <c r="O66" s="18" t="n">
        <v>0</v>
      </c>
      <c r="P66" s="20" t="n">
        <v>0</v>
      </c>
      <c r="Q66" s="18" t="n">
        <v>11.25695893</v>
      </c>
      <c r="R66" s="20" t="n">
        <v>1.35935615</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(10054.0/B68*100)</f>
        <v/>
      </c>
      <c r="D68" s="19" t="n">
        <v>2029</v>
      </c>
      <c r="E68" s="18" t="n">
        <v>51.2341398</v>
      </c>
      <c r="F68" s="20" t="n">
        <v>1.2269474</v>
      </c>
      <c r="G68" s="18" t="n">
        <v>40.65516121</v>
      </c>
      <c r="H68" s="20" t="n">
        <v>1.19198375</v>
      </c>
      <c r="I68" s="18" t="s">
        <v>349</v>
      </c>
      <c r="J68" s="20" t="s">
        <v>349</v>
      </c>
      <c r="K68" s="18" t="n">
        <v>1.90725089</v>
      </c>
      <c r="L68" s="20" t="n">
        <v>0.26996412</v>
      </c>
      <c r="M68" s="18" t="n">
        <v>0</v>
      </c>
      <c r="N68" s="20" t="n">
        <v>0</v>
      </c>
      <c r="O68" s="18" t="n">
        <v>0</v>
      </c>
      <c r="P68" s="20" t="n">
        <v>0</v>
      </c>
      <c r="Q68" s="18" t="n">
        <v>6.2034481</v>
      </c>
      <c r="R68" s="20" t="n">
        <v>0.53163285</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(5268.0/B70*100)</f>
        <v/>
      </c>
      <c r="D70" s="19" t="n">
        <v>768</v>
      </c>
      <c r="E70" s="18" t="n">
        <v>20.03842715</v>
      </c>
      <c r="F70" s="20" t="n">
        <v>1.65369262</v>
      </c>
      <c r="G70" s="18" t="n">
        <v>76.87723514</v>
      </c>
      <c r="H70" s="20" t="n">
        <v>1.74834663</v>
      </c>
      <c r="I70" s="18" t="s">
        <v>349</v>
      </c>
      <c r="J70" s="20" t="s">
        <v>349</v>
      </c>
      <c r="K70" s="18" t="n">
        <v>0.20773838</v>
      </c>
      <c r="L70" s="20" t="n">
        <v>0.14588339</v>
      </c>
      <c r="M70" s="18" t="n">
        <v>0</v>
      </c>
      <c r="N70" s="20" t="n">
        <v>0</v>
      </c>
      <c r="O70" s="18" t="n">
        <v>0</v>
      </c>
      <c r="P70" s="20" t="n">
        <v>0</v>
      </c>
      <c r="Q70" s="18" t="n">
        <v>2.87659933</v>
      </c>
      <c r="R70" s="20" t="n">
        <v>0.64449491</v>
      </c>
    </row>
    <row r="71" spans="1:18">
      <c r="A71" s="15" t="s">
        <v>413</v>
      </c>
      <c r="B71" s="17" t="n">
        <v>6115</v>
      </c>
      <c r="C71" s="18">
        <f>(5352.0/B71*100)</f>
        <v/>
      </c>
      <c r="D71" s="19" t="n">
        <v>763</v>
      </c>
      <c r="E71" s="18" t="n">
        <v>11.75795716</v>
      </c>
      <c r="F71" s="20" t="n">
        <v>0.92802562</v>
      </c>
      <c r="G71" s="18" t="n">
        <v>87.03754936</v>
      </c>
      <c r="H71" s="20" t="n">
        <v>0.94800661</v>
      </c>
      <c r="I71" s="18" t="s">
        <v>349</v>
      </c>
      <c r="J71" s="20" t="s">
        <v>349</v>
      </c>
      <c r="K71" s="18" t="n">
        <v>0.20529296</v>
      </c>
      <c r="L71" s="20" t="n">
        <v>0.14620143</v>
      </c>
      <c r="M71" s="18" t="n">
        <v>0</v>
      </c>
      <c r="N71" s="20" t="n">
        <v>0</v>
      </c>
      <c r="O71" s="18" t="n">
        <v>0</v>
      </c>
      <c r="P71" s="20" t="n">
        <v>0</v>
      </c>
      <c r="Q71" s="18" t="n">
        <v>0.99920052</v>
      </c>
      <c r="R71" s="20" t="n">
        <v>0.31049608</v>
      </c>
    </row>
    <row r="72" spans="1:18">
      <c r="A72" s="15" t="s">
        <v>414</v>
      </c>
      <c r="B72" s="17" t="n">
        <v>7708</v>
      </c>
      <c r="C72" s="18">
        <f>(6756.0/B72*100)</f>
        <v/>
      </c>
      <c r="D72" s="19" t="n">
        <v>952</v>
      </c>
      <c r="E72" s="18" t="n">
        <v>18.64476384</v>
      </c>
      <c r="F72" s="20" t="n">
        <v>1.26169723</v>
      </c>
      <c r="G72" s="18" t="n">
        <v>79.03500017</v>
      </c>
      <c r="H72" s="20" t="n">
        <v>1.41816834</v>
      </c>
      <c r="I72" s="18" t="s">
        <v>349</v>
      </c>
      <c r="J72" s="20" t="s">
        <v>349</v>
      </c>
      <c r="K72" s="18" t="n">
        <v>0.247881</v>
      </c>
      <c r="L72" s="20" t="n">
        <v>0.16168085</v>
      </c>
      <c r="M72" s="18" t="n">
        <v>0</v>
      </c>
      <c r="N72" s="20" t="n">
        <v>0</v>
      </c>
      <c r="O72" s="18" t="n">
        <v>0</v>
      </c>
      <c r="P72" s="20" t="n">
        <v>0</v>
      </c>
      <c r="Q72" s="18" t="n">
        <v>2.07235499</v>
      </c>
      <c r="R72" s="20" t="n">
        <v>0.45228682</v>
      </c>
    </row>
    <row r="73" spans="1:18">
      <c r="A73" s="15" t="s">
        <v>415</v>
      </c>
      <c r="B73" s="17" t="n">
        <v>8249</v>
      </c>
      <c r="C73" s="18">
        <f>(7228.0/B73*100)</f>
        <v/>
      </c>
      <c r="D73" s="19" t="n">
        <v>1021</v>
      </c>
      <c r="E73" s="18" t="n">
        <v>62.23137345</v>
      </c>
      <c r="F73" s="20" t="n">
        <v>1.8807686</v>
      </c>
      <c r="G73" s="18" t="n">
        <v>36.50336317</v>
      </c>
      <c r="H73" s="20" t="n">
        <v>1.92283617</v>
      </c>
      <c r="I73" s="18" t="s">
        <v>349</v>
      </c>
      <c r="J73" s="20" t="s">
        <v>349</v>
      </c>
      <c r="K73" s="18" t="n">
        <v>0</v>
      </c>
      <c r="L73" s="20" t="n">
        <v>0</v>
      </c>
      <c r="M73" s="18" t="n">
        <v>0</v>
      </c>
      <c r="N73" s="20" t="n">
        <v>0</v>
      </c>
      <c r="O73" s="18" t="n">
        <v>0</v>
      </c>
      <c r="P73" s="20" t="n">
        <v>0</v>
      </c>
      <c r="Q73" s="18" t="n">
        <v>1.26526339</v>
      </c>
      <c r="R73" s="20" t="n">
        <v>0.5160388</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(7749.0/B81*100)</f>
        <v/>
      </c>
      <c r="D81" s="19" t="n">
        <v>1112</v>
      </c>
      <c r="E81" s="18" t="n">
        <v>53.83307199</v>
      </c>
      <c r="F81" s="20" t="n">
        <v>2.08960008</v>
      </c>
      <c r="G81" s="18" t="n">
        <v>44.89921411</v>
      </c>
      <c r="H81" s="20" t="n">
        <v>2.16275618</v>
      </c>
      <c r="I81" s="18" t="s">
        <v>349</v>
      </c>
      <c r="J81" s="20" t="s">
        <v>349</v>
      </c>
      <c r="K81" s="18" t="n">
        <v>0.00918367</v>
      </c>
      <c r="L81" s="20" t="n">
        <v>0.31130828</v>
      </c>
      <c r="M81" s="18" t="n">
        <v>0</v>
      </c>
      <c r="N81" s="20" t="n">
        <v>0</v>
      </c>
      <c r="O81" s="18" t="n">
        <v>0</v>
      </c>
      <c r="P81" s="20" t="n">
        <v>0</v>
      </c>
      <c r="Q81" s="18" t="n">
        <v>1.25853024</v>
      </c>
      <c r="R81" s="20" t="n">
        <v>0.43704923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(12773.0/B7*100)</f>
        <v/>
      </c>
      <c r="D7" s="19" t="n">
        <v>1757</v>
      </c>
      <c r="E7" s="18" t="n">
        <v>53.92637541</v>
      </c>
      <c r="F7" s="20" t="n">
        <v>1.52800064</v>
      </c>
      <c r="G7" s="18" t="n">
        <v>32.17669557</v>
      </c>
      <c r="H7" s="20" t="n">
        <v>1.33342256</v>
      </c>
      <c r="I7" s="18" t="s">
        <v>349</v>
      </c>
      <c r="J7" s="20" t="s">
        <v>349</v>
      </c>
      <c r="K7" s="18" t="n">
        <v>0.73136504</v>
      </c>
      <c r="L7" s="20" t="n">
        <v>0.22062708</v>
      </c>
      <c r="M7" s="18" t="n">
        <v>0.1373761</v>
      </c>
      <c r="N7" s="20" t="n">
        <v>0.10832855</v>
      </c>
      <c r="O7" s="18" t="n">
        <v>0</v>
      </c>
      <c r="P7" s="20" t="n">
        <v>0</v>
      </c>
      <c r="Q7" s="18" t="n">
        <v>13.02818787</v>
      </c>
      <c r="R7" s="20" t="n">
        <v>0.83322409</v>
      </c>
    </row>
    <row r="8" spans="1:18">
      <c r="A8" s="15" t="s">
        <v>350</v>
      </c>
      <c r="B8" s="17" t="n">
        <v>7007</v>
      </c>
      <c r="C8" s="18">
        <f>(6171.0/B8*100)</f>
        <v/>
      </c>
      <c r="D8" s="19" t="n">
        <v>836</v>
      </c>
      <c r="E8" s="18" t="n">
        <v>47.57123533</v>
      </c>
      <c r="F8" s="20" t="n">
        <v>1.77027838</v>
      </c>
      <c r="G8" s="18" t="n">
        <v>35.82428655</v>
      </c>
      <c r="H8" s="20" t="n">
        <v>1.87383341</v>
      </c>
      <c r="I8" s="18" t="s">
        <v>349</v>
      </c>
      <c r="J8" s="20" t="s">
        <v>349</v>
      </c>
      <c r="K8" s="18" t="n">
        <v>1.02592343</v>
      </c>
      <c r="L8" s="20" t="n">
        <v>0.35893684</v>
      </c>
      <c r="M8" s="18" t="n">
        <v>0</v>
      </c>
      <c r="N8" s="20" t="n">
        <v>0</v>
      </c>
      <c r="O8" s="18" t="n">
        <v>0</v>
      </c>
      <c r="P8" s="20" t="n">
        <v>0</v>
      </c>
      <c r="Q8" s="18" t="n">
        <v>15.57855469</v>
      </c>
      <c r="R8" s="20" t="n">
        <v>1.48972647</v>
      </c>
    </row>
    <row r="9" spans="1:18">
      <c r="A9" s="15" t="s">
        <v>351</v>
      </c>
      <c r="B9" s="17" t="n">
        <v>9651</v>
      </c>
      <c r="C9" s="18">
        <f>(8481.0/B9*100)</f>
        <v/>
      </c>
      <c r="D9" s="19" t="n">
        <v>1170</v>
      </c>
      <c r="E9" s="18" t="n">
        <v>42.04984795</v>
      </c>
      <c r="F9" s="20" t="n">
        <v>1.48764184</v>
      </c>
      <c r="G9" s="18" t="n">
        <v>39.81601481</v>
      </c>
      <c r="H9" s="20" t="n">
        <v>1.3647055</v>
      </c>
      <c r="I9" s="18" t="s">
        <v>349</v>
      </c>
      <c r="J9" s="20" t="s">
        <v>349</v>
      </c>
      <c r="K9" s="18" t="n">
        <v>0.92193052</v>
      </c>
      <c r="L9" s="20" t="n">
        <v>0.30803357</v>
      </c>
      <c r="M9" s="18" t="n">
        <v>0.47770297</v>
      </c>
      <c r="N9" s="20" t="n">
        <v>0.22151958</v>
      </c>
      <c r="O9" s="18" t="n">
        <v>0</v>
      </c>
      <c r="P9" s="20" t="n">
        <v>0</v>
      </c>
      <c r="Q9" s="18" t="n">
        <v>16.73450376</v>
      </c>
      <c r="R9" s="20" t="n">
        <v>1.17741151</v>
      </c>
    </row>
    <row r="10" spans="1:18">
      <c r="A10" s="15" t="s">
        <v>352</v>
      </c>
      <c r="B10" s="17" t="n">
        <v>20058</v>
      </c>
      <c r="C10" s="18">
        <f>(17608.0/B10*100)</f>
        <v/>
      </c>
      <c r="D10" s="19" t="n">
        <v>2450</v>
      </c>
      <c r="E10" s="18" t="n">
        <v>52.07188772</v>
      </c>
      <c r="F10" s="20" t="n">
        <v>1.04375429</v>
      </c>
      <c r="G10" s="18" t="n">
        <v>41.0107346</v>
      </c>
      <c r="H10" s="20" t="n">
        <v>1.11931084</v>
      </c>
      <c r="I10" s="18" t="s">
        <v>349</v>
      </c>
      <c r="J10" s="20" t="s">
        <v>349</v>
      </c>
      <c r="K10" s="18" t="n">
        <v>0.53144331</v>
      </c>
      <c r="L10" s="20" t="n">
        <v>0.19988587</v>
      </c>
      <c r="M10" s="18" t="n">
        <v>0.30333847</v>
      </c>
      <c r="N10" s="20" t="n">
        <v>0.1673687</v>
      </c>
      <c r="O10" s="18" t="n">
        <v>0</v>
      </c>
      <c r="P10" s="20" t="n">
        <v>0</v>
      </c>
      <c r="Q10" s="18" t="n">
        <v>6.0825959</v>
      </c>
      <c r="R10" s="20" t="n">
        <v>0.63895302</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(6071.0/B12*100)</f>
        <v/>
      </c>
      <c r="D12" s="19" t="n">
        <v>823</v>
      </c>
      <c r="E12" s="18" t="n">
        <v>46.77765475</v>
      </c>
      <c r="F12" s="20" t="n">
        <v>1.84296915</v>
      </c>
      <c r="G12" s="18" t="n">
        <v>24.45084332</v>
      </c>
      <c r="H12" s="20" t="n">
        <v>1.58990378</v>
      </c>
      <c r="I12" s="18" t="s">
        <v>349</v>
      </c>
      <c r="J12" s="20" t="s">
        <v>349</v>
      </c>
      <c r="K12" s="18" t="n">
        <v>0.33407492</v>
      </c>
      <c r="L12" s="20" t="n">
        <v>0.19933368</v>
      </c>
      <c r="M12" s="18" t="n">
        <v>0.24071029</v>
      </c>
      <c r="N12" s="20" t="n">
        <v>0.23746185</v>
      </c>
      <c r="O12" s="18" t="n">
        <v>0</v>
      </c>
      <c r="P12" s="20" t="n">
        <v>0</v>
      </c>
      <c r="Q12" s="18" t="n">
        <v>28.19671672</v>
      </c>
      <c r="R12" s="20" t="n">
        <v>1.90853204</v>
      </c>
    </row>
    <row r="13" spans="1:18">
      <c r="A13" s="15" t="s">
        <v>355</v>
      </c>
      <c r="B13" s="17" t="n">
        <v>7161</v>
      </c>
      <c r="C13" s="18">
        <f>(6323.0/B13*100)</f>
        <v/>
      </c>
      <c r="D13" s="19" t="n">
        <v>838</v>
      </c>
      <c r="E13" s="18" t="n">
        <v>46.87552413</v>
      </c>
      <c r="F13" s="20" t="n">
        <v>2.2128685</v>
      </c>
      <c r="G13" s="18" t="n">
        <v>41.99540872</v>
      </c>
      <c r="H13" s="20" t="n">
        <v>2.15305525</v>
      </c>
      <c r="I13" s="18" t="s">
        <v>349</v>
      </c>
      <c r="J13" s="20" t="s">
        <v>349</v>
      </c>
      <c r="K13" s="18" t="n">
        <v>0.55425597</v>
      </c>
      <c r="L13" s="20" t="n">
        <v>0.297416</v>
      </c>
      <c r="M13" s="18" t="n">
        <v>0.21203202</v>
      </c>
      <c r="N13" s="20" t="n">
        <v>0.17106124</v>
      </c>
      <c r="O13" s="18" t="n">
        <v>0</v>
      </c>
      <c r="P13" s="20" t="n">
        <v>0</v>
      </c>
      <c r="Q13" s="18" t="n">
        <v>10.36277916</v>
      </c>
      <c r="R13" s="20" t="n">
        <v>1.36440877</v>
      </c>
    </row>
    <row r="14" spans="1:18">
      <c r="A14" s="15" t="s">
        <v>356</v>
      </c>
      <c r="B14" s="17" t="n">
        <v>5587</v>
      </c>
      <c r="C14" s="18">
        <f>(4875.0/B14*100)</f>
        <v/>
      </c>
      <c r="D14" s="19" t="n">
        <v>712</v>
      </c>
      <c r="E14" s="18" t="n">
        <v>56.60831505</v>
      </c>
      <c r="F14" s="20" t="n">
        <v>2.16525342</v>
      </c>
      <c r="G14" s="18" t="n">
        <v>33.39447999</v>
      </c>
      <c r="H14" s="20" t="n">
        <v>1.8642849</v>
      </c>
      <c r="I14" s="18" t="s">
        <v>349</v>
      </c>
      <c r="J14" s="20" t="s">
        <v>349</v>
      </c>
      <c r="K14" s="18" t="n">
        <v>0.21796388</v>
      </c>
      <c r="L14" s="20" t="n">
        <v>0.15344157</v>
      </c>
      <c r="M14" s="18" t="n">
        <v>0</v>
      </c>
      <c r="N14" s="20" t="n">
        <v>0</v>
      </c>
      <c r="O14" s="18" t="n">
        <v>0</v>
      </c>
      <c r="P14" s="20" t="n">
        <v>0</v>
      </c>
      <c r="Q14" s="18" t="n">
        <v>9.77924108</v>
      </c>
      <c r="R14" s="20" t="n">
        <v>1.17753817</v>
      </c>
    </row>
    <row r="15" spans="1:18">
      <c r="A15" s="15" t="s">
        <v>357</v>
      </c>
      <c r="B15" s="17" t="n">
        <v>5882</v>
      </c>
      <c r="C15" s="18">
        <f>(5157.0/B15*100)</f>
        <v/>
      </c>
      <c r="D15" s="19" t="n">
        <v>725</v>
      </c>
      <c r="E15" s="18" t="n">
        <v>49.74016826</v>
      </c>
      <c r="F15" s="20" t="n">
        <v>2.1283576</v>
      </c>
      <c r="G15" s="18" t="n">
        <v>32.6074693</v>
      </c>
      <c r="H15" s="20" t="n">
        <v>1.88658122</v>
      </c>
      <c r="I15" s="18" t="s">
        <v>349</v>
      </c>
      <c r="J15" s="20" t="s">
        <v>349</v>
      </c>
      <c r="K15" s="18" t="n">
        <v>0.53332035</v>
      </c>
      <c r="L15" s="20" t="n">
        <v>0.26219317</v>
      </c>
      <c r="M15" s="18" t="n">
        <v>0</v>
      </c>
      <c r="N15" s="20" t="n">
        <v>0</v>
      </c>
      <c r="O15" s="18" t="n">
        <v>0</v>
      </c>
      <c r="P15" s="20" t="n">
        <v>0</v>
      </c>
      <c r="Q15" s="18" t="n">
        <v>17.11904209</v>
      </c>
      <c r="R15" s="20" t="n">
        <v>1.53214988</v>
      </c>
    </row>
    <row r="16" spans="1:18">
      <c r="A16" s="15" t="s">
        <v>358</v>
      </c>
      <c r="B16" s="17" t="n">
        <v>6108</v>
      </c>
      <c r="C16" s="18">
        <f>(5348.0/B16*100)</f>
        <v/>
      </c>
      <c r="D16" s="19" t="n">
        <v>760</v>
      </c>
      <c r="E16" s="18" t="n">
        <v>38.29987996</v>
      </c>
      <c r="F16" s="20" t="n">
        <v>1.73026064</v>
      </c>
      <c r="G16" s="18" t="n">
        <v>42.60024352</v>
      </c>
      <c r="H16" s="20" t="n">
        <v>1.71392955</v>
      </c>
      <c r="I16" s="18" t="s">
        <v>349</v>
      </c>
      <c r="J16" s="20" t="s">
        <v>349</v>
      </c>
      <c r="K16" s="18" t="n">
        <v>1.44087429</v>
      </c>
      <c r="L16" s="20" t="n">
        <v>0.47875259</v>
      </c>
      <c r="M16" s="18" t="n">
        <v>0</v>
      </c>
      <c r="N16" s="20" t="n">
        <v>0</v>
      </c>
      <c r="O16" s="18" t="n">
        <v>0</v>
      </c>
      <c r="P16" s="20" t="n">
        <v>0</v>
      </c>
      <c r="Q16" s="18" t="n">
        <v>17.65900223</v>
      </c>
      <c r="R16" s="20" t="n">
        <v>1.2933329</v>
      </c>
    </row>
    <row r="17" spans="1:18">
      <c r="A17" s="15" t="s">
        <v>359</v>
      </c>
      <c r="B17" s="17" t="n">
        <v>6504</v>
      </c>
      <c r="C17" s="18">
        <f>(5707.0/B17*100)</f>
        <v/>
      </c>
      <c r="D17" s="19" t="n">
        <v>797</v>
      </c>
      <c r="E17" s="18" t="n">
        <v>41.46763327</v>
      </c>
      <c r="F17" s="20" t="n">
        <v>1.60580185</v>
      </c>
      <c r="G17" s="18" t="n">
        <v>43.25669273</v>
      </c>
      <c r="H17" s="20" t="n">
        <v>1.75789975</v>
      </c>
      <c r="I17" s="18" t="s">
        <v>349</v>
      </c>
      <c r="J17" s="20" t="s">
        <v>349</v>
      </c>
      <c r="K17" s="18" t="n">
        <v>0.73304158</v>
      </c>
      <c r="L17" s="20" t="n">
        <v>0.28306983</v>
      </c>
      <c r="M17" s="18" t="n">
        <v>0</v>
      </c>
      <c r="N17" s="20" t="n">
        <v>0</v>
      </c>
      <c r="O17" s="18" t="n">
        <v>0</v>
      </c>
      <c r="P17" s="20" t="n">
        <v>0</v>
      </c>
      <c r="Q17" s="18" t="n">
        <v>14.54263242</v>
      </c>
      <c r="R17" s="20" t="n">
        <v>1.46187469</v>
      </c>
    </row>
    <row r="18" spans="1:18">
      <c r="A18" s="15" t="s">
        <v>360</v>
      </c>
      <c r="B18" s="17" t="n">
        <v>5532</v>
      </c>
      <c r="C18" s="18">
        <f>(4846.0/B18*100)</f>
        <v/>
      </c>
      <c r="D18" s="19" t="n">
        <v>686</v>
      </c>
      <c r="E18" s="18" t="n">
        <v>51.22370144</v>
      </c>
      <c r="F18" s="20" t="n">
        <v>2.55333667</v>
      </c>
      <c r="G18" s="18" t="n">
        <v>24.27839196</v>
      </c>
      <c r="H18" s="20" t="n">
        <v>1.93641944</v>
      </c>
      <c r="I18" s="18" t="s">
        <v>349</v>
      </c>
      <c r="J18" s="20" t="s">
        <v>349</v>
      </c>
      <c r="K18" s="18" t="n">
        <v>1.31759484</v>
      </c>
      <c r="L18" s="20" t="n">
        <v>0.55208684</v>
      </c>
      <c r="M18" s="18" t="n">
        <v>0.25366966</v>
      </c>
      <c r="N18" s="20" t="n">
        <v>0.15776714</v>
      </c>
      <c r="O18" s="18" t="n">
        <v>0</v>
      </c>
      <c r="P18" s="20" t="n">
        <v>0</v>
      </c>
      <c r="Q18" s="18" t="n">
        <v>22.92664211</v>
      </c>
      <c r="R18" s="20" t="n">
        <v>2.20648044</v>
      </c>
    </row>
    <row r="19" spans="1:18">
      <c r="A19" s="15" t="s">
        <v>361</v>
      </c>
      <c r="B19" s="17" t="n">
        <v>5658</v>
      </c>
      <c r="C19" s="18">
        <f>(4992.0/B19*100)</f>
        <v/>
      </c>
      <c r="D19" s="19" t="n">
        <v>666</v>
      </c>
      <c r="E19" s="18" t="n">
        <v>38.52044629</v>
      </c>
      <c r="F19" s="20" t="n">
        <v>2.12196056</v>
      </c>
      <c r="G19" s="18" t="n">
        <v>45.94010877</v>
      </c>
      <c r="H19" s="20" t="n">
        <v>2.13562215</v>
      </c>
      <c r="I19" s="18" t="s">
        <v>349</v>
      </c>
      <c r="J19" s="20" t="s">
        <v>349</v>
      </c>
      <c r="K19" s="18" t="n">
        <v>0</v>
      </c>
      <c r="L19" s="20" t="n">
        <v>0</v>
      </c>
      <c r="M19" s="18" t="n">
        <v>0</v>
      </c>
      <c r="N19" s="20" t="n">
        <v>0</v>
      </c>
      <c r="O19" s="18" t="n">
        <v>0</v>
      </c>
      <c r="P19" s="20" t="n">
        <v>0</v>
      </c>
      <c r="Q19" s="18" t="n">
        <v>15.53944494</v>
      </c>
      <c r="R19" s="20" t="n">
        <v>1.64146308</v>
      </c>
    </row>
    <row r="20" spans="1:18">
      <c r="A20" s="15" t="s">
        <v>362</v>
      </c>
      <c r="B20" s="17" t="n">
        <v>3371</v>
      </c>
      <c r="C20" s="18">
        <f>(2953.0/B20*100)</f>
        <v/>
      </c>
      <c r="D20" s="19" t="n">
        <v>418</v>
      </c>
      <c r="E20" s="18" t="n">
        <v>54.67835768</v>
      </c>
      <c r="F20" s="20" t="n">
        <v>2.37419183</v>
      </c>
      <c r="G20" s="18" t="n">
        <v>27.6504525</v>
      </c>
      <c r="H20" s="20" t="n">
        <v>2.50014471</v>
      </c>
      <c r="I20" s="18" t="s">
        <v>349</v>
      </c>
      <c r="J20" s="20" t="s">
        <v>349</v>
      </c>
      <c r="K20" s="18" t="n">
        <v>1.87070966</v>
      </c>
      <c r="L20" s="20" t="n">
        <v>0.6595313</v>
      </c>
      <c r="M20" s="18" t="n">
        <v>0</v>
      </c>
      <c r="N20" s="20" t="n">
        <v>0</v>
      </c>
      <c r="O20" s="18" t="n">
        <v>0</v>
      </c>
      <c r="P20" s="20" t="n">
        <v>0</v>
      </c>
      <c r="Q20" s="18" t="n">
        <v>15.80048016</v>
      </c>
      <c r="R20" s="20" t="n">
        <v>1.73760275</v>
      </c>
    </row>
    <row r="21" spans="1:18">
      <c r="A21" s="15" t="s">
        <v>363</v>
      </c>
      <c r="B21" s="17" t="n">
        <v>5741</v>
      </c>
      <c r="C21" s="18">
        <f>(4801.0/B21*100)</f>
        <v/>
      </c>
      <c r="D21" s="19" t="n">
        <v>940</v>
      </c>
      <c r="E21" s="18" t="n">
        <v>50.26454766</v>
      </c>
      <c r="F21" s="20" t="n">
        <v>1.71840978</v>
      </c>
      <c r="G21" s="18" t="n">
        <v>38.64270353</v>
      </c>
      <c r="H21" s="20" t="n">
        <v>1.74260798</v>
      </c>
      <c r="I21" s="18" t="s">
        <v>349</v>
      </c>
      <c r="J21" s="20" t="s">
        <v>349</v>
      </c>
      <c r="K21" s="18" t="n">
        <v>0.74184598</v>
      </c>
      <c r="L21" s="20" t="n">
        <v>0.31630248</v>
      </c>
      <c r="M21" s="18" t="n">
        <v>0</v>
      </c>
      <c r="N21" s="20" t="n">
        <v>0</v>
      </c>
      <c r="O21" s="18" t="n">
        <v>0</v>
      </c>
      <c r="P21" s="20" t="n">
        <v>0</v>
      </c>
      <c r="Q21" s="18" t="n">
        <v>10.35090283</v>
      </c>
      <c r="R21" s="20" t="n">
        <v>0.93553729</v>
      </c>
    </row>
    <row r="22" spans="1:18">
      <c r="A22" s="15" t="s">
        <v>364</v>
      </c>
      <c r="B22" s="17" t="n">
        <v>6598</v>
      </c>
      <c r="C22" s="18">
        <f>(5763.0/B22*100)</f>
        <v/>
      </c>
      <c r="D22" s="19" t="n">
        <v>835</v>
      </c>
      <c r="E22" s="18" t="n">
        <v>53.15529975</v>
      </c>
      <c r="F22" s="20" t="n">
        <v>1.85800235</v>
      </c>
      <c r="G22" s="18" t="n">
        <v>26.81697825</v>
      </c>
      <c r="H22" s="20" t="n">
        <v>1.75271618</v>
      </c>
      <c r="I22" s="18" t="s">
        <v>349</v>
      </c>
      <c r="J22" s="20" t="s">
        <v>349</v>
      </c>
      <c r="K22" s="18" t="n">
        <v>1.3657734</v>
      </c>
      <c r="L22" s="20" t="n">
        <v>0.41406802</v>
      </c>
      <c r="M22" s="18" t="n">
        <v>0</v>
      </c>
      <c r="N22" s="20" t="n">
        <v>0</v>
      </c>
      <c r="O22" s="18" t="n">
        <v>0</v>
      </c>
      <c r="P22" s="20" t="n">
        <v>0</v>
      </c>
      <c r="Q22" s="18" t="n">
        <v>18.6619486</v>
      </c>
      <c r="R22" s="20" t="n">
        <v>1.2307797</v>
      </c>
    </row>
    <row r="23" spans="1:18">
      <c r="A23" s="15" t="s">
        <v>365</v>
      </c>
      <c r="B23" s="17" t="n">
        <v>11583</v>
      </c>
      <c r="C23" s="18">
        <f>(10173.0/B23*100)</f>
        <v/>
      </c>
      <c r="D23" s="19" t="n">
        <v>1410</v>
      </c>
      <c r="E23" s="18" t="n">
        <v>44.25286812</v>
      </c>
      <c r="F23" s="20" t="n">
        <v>1.69689528</v>
      </c>
      <c r="G23" s="18" t="n">
        <v>21.02212824</v>
      </c>
      <c r="H23" s="20" t="n">
        <v>1.50174021</v>
      </c>
      <c r="I23" s="18" t="s">
        <v>349</v>
      </c>
      <c r="J23" s="20" t="s">
        <v>349</v>
      </c>
      <c r="K23" s="18" t="n">
        <v>1.15543643</v>
      </c>
      <c r="L23" s="20" t="n">
        <v>0.35930633</v>
      </c>
      <c r="M23" s="18" t="n">
        <v>0.12447273</v>
      </c>
      <c r="N23" s="20" t="n">
        <v>0.11353333</v>
      </c>
      <c r="O23" s="18" t="n">
        <v>0</v>
      </c>
      <c r="P23" s="20" t="n">
        <v>0</v>
      </c>
      <c r="Q23" s="18" t="n">
        <v>33.44509449</v>
      </c>
      <c r="R23" s="20" t="n">
        <v>1.50769347</v>
      </c>
    </row>
    <row r="24" spans="1:18">
      <c r="A24" s="15" t="s">
        <v>366</v>
      </c>
      <c r="B24" s="17" t="n">
        <v>6647</v>
      </c>
      <c r="C24" s="18">
        <f>(5848.0/B24*100)</f>
        <v/>
      </c>
      <c r="D24" s="19" t="n">
        <v>799</v>
      </c>
      <c r="E24" s="18" t="n">
        <v>31.43308218</v>
      </c>
      <c r="F24" s="20" t="n">
        <v>1.78712669</v>
      </c>
      <c r="G24" s="18" t="n">
        <v>53.55217309</v>
      </c>
      <c r="H24" s="20" t="n">
        <v>1.84471391</v>
      </c>
      <c r="I24" s="18" t="s">
        <v>349</v>
      </c>
      <c r="J24" s="20" t="s">
        <v>349</v>
      </c>
      <c r="K24" s="18" t="n">
        <v>0.45899706</v>
      </c>
      <c r="L24" s="20" t="n">
        <v>0.23153122</v>
      </c>
      <c r="M24" s="18" t="n">
        <v>0</v>
      </c>
      <c r="N24" s="20" t="n">
        <v>0</v>
      </c>
      <c r="O24" s="18" t="n">
        <v>0</v>
      </c>
      <c r="P24" s="20" t="n">
        <v>0</v>
      </c>
      <c r="Q24" s="18" t="n">
        <v>14.55574767</v>
      </c>
      <c r="R24" s="20" t="n">
        <v>1.08887745</v>
      </c>
    </row>
    <row r="25" spans="1:18">
      <c r="A25" s="15" t="s">
        <v>367</v>
      </c>
      <c r="B25" s="17" t="n">
        <v>5581</v>
      </c>
      <c r="C25" s="18">
        <f>(4903.0/B25*100)</f>
        <v/>
      </c>
      <c r="D25" s="19" t="n">
        <v>678</v>
      </c>
      <c r="E25" s="18" t="n">
        <v>49.99159664</v>
      </c>
      <c r="F25" s="20" t="n">
        <v>2.32366233</v>
      </c>
      <c r="G25" s="18" t="n">
        <v>35.00635155</v>
      </c>
      <c r="H25" s="20" t="n">
        <v>2.1558326</v>
      </c>
      <c r="I25" s="18" t="s">
        <v>349</v>
      </c>
      <c r="J25" s="20" t="s">
        <v>349</v>
      </c>
      <c r="K25" s="18" t="n">
        <v>0.29568168</v>
      </c>
      <c r="L25" s="20" t="n">
        <v>0.20984062</v>
      </c>
      <c r="M25" s="18" t="n">
        <v>0</v>
      </c>
      <c r="N25" s="20" t="n">
        <v>0</v>
      </c>
      <c r="O25" s="18" t="n">
        <v>0</v>
      </c>
      <c r="P25" s="20" t="n">
        <v>0</v>
      </c>
      <c r="Q25" s="18" t="n">
        <v>14.70637014</v>
      </c>
      <c r="R25" s="20" t="n">
        <v>1.43758049</v>
      </c>
    </row>
    <row r="26" spans="1:18">
      <c r="A26" s="15" t="s">
        <v>368</v>
      </c>
      <c r="B26" s="17" t="n">
        <v>4869</v>
      </c>
      <c r="C26" s="18">
        <f>(4270.0/B26*100)</f>
        <v/>
      </c>
      <c r="D26" s="19" t="n">
        <v>599</v>
      </c>
      <c r="E26" s="18" t="n">
        <v>66.38402852999999</v>
      </c>
      <c r="F26" s="20" t="n">
        <v>2.08534858</v>
      </c>
      <c r="G26" s="18" t="n">
        <v>18.20353891</v>
      </c>
      <c r="H26" s="20" t="n">
        <v>1.70348899</v>
      </c>
      <c r="I26" s="18" t="s">
        <v>349</v>
      </c>
      <c r="J26" s="20" t="s">
        <v>349</v>
      </c>
      <c r="K26" s="18" t="n">
        <v>0.27193139</v>
      </c>
      <c r="L26" s="20" t="n">
        <v>0.1881829</v>
      </c>
      <c r="M26" s="18" t="n">
        <v>0.29040383</v>
      </c>
      <c r="N26" s="20" t="n">
        <v>0.20278724</v>
      </c>
      <c r="O26" s="18" t="n">
        <v>0</v>
      </c>
      <c r="P26" s="20" t="n">
        <v>0</v>
      </c>
      <c r="Q26" s="18" t="n">
        <v>14.85009734</v>
      </c>
      <c r="R26" s="20" t="n">
        <v>1.66399487</v>
      </c>
    </row>
    <row r="27" spans="1:18">
      <c r="A27" s="15" t="s">
        <v>369</v>
      </c>
      <c r="B27" s="17" t="n">
        <v>5299</v>
      </c>
      <c r="C27" s="18">
        <f>(4648.0/B27*100)</f>
        <v/>
      </c>
      <c r="D27" s="19" t="n">
        <v>651</v>
      </c>
      <c r="E27" s="18" t="n">
        <v>45.64871626</v>
      </c>
      <c r="F27" s="20" t="n">
        <v>1.96793805</v>
      </c>
      <c r="G27" s="18" t="n">
        <v>33.32940216</v>
      </c>
      <c r="H27" s="20" t="n">
        <v>1.70146651</v>
      </c>
      <c r="I27" s="18" t="s">
        <v>349</v>
      </c>
      <c r="J27" s="20" t="s">
        <v>349</v>
      </c>
      <c r="K27" s="18" t="n">
        <v>0.6265877399999999</v>
      </c>
      <c r="L27" s="20" t="n">
        <v>0.3117611</v>
      </c>
      <c r="M27" s="18" t="n">
        <v>0</v>
      </c>
      <c r="N27" s="20" t="n">
        <v>0</v>
      </c>
      <c r="O27" s="18" t="n">
        <v>0</v>
      </c>
      <c r="P27" s="20" t="n">
        <v>0</v>
      </c>
      <c r="Q27" s="18" t="n">
        <v>20.39529384</v>
      </c>
      <c r="R27" s="20" t="n">
        <v>1.56320543</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45.04453989</v>
      </c>
      <c r="F29" s="20" t="n">
        <v>1.93641606</v>
      </c>
      <c r="G29" s="18" t="n">
        <v>42.06106602</v>
      </c>
      <c r="H29" s="20" t="n">
        <v>2.04518792</v>
      </c>
      <c r="I29" s="18" t="s">
        <v>349</v>
      </c>
      <c r="J29" s="20" t="s">
        <v>349</v>
      </c>
      <c r="K29" s="18" t="n">
        <v>0.7479467400000001</v>
      </c>
      <c r="L29" s="20" t="n">
        <v>0.33025805</v>
      </c>
      <c r="M29" s="18" t="n">
        <v>0</v>
      </c>
      <c r="N29" s="20" t="n">
        <v>0</v>
      </c>
      <c r="O29" s="18" t="n">
        <v>0</v>
      </c>
      <c r="P29" s="20" t="n">
        <v>0</v>
      </c>
      <c r="Q29" s="18" t="n">
        <v>12.14644736</v>
      </c>
      <c r="R29" s="20" t="n">
        <v>1.16657551</v>
      </c>
    </row>
    <row r="30" spans="1:18">
      <c r="A30" s="15" t="s">
        <v>372</v>
      </c>
      <c r="B30" s="17" t="n">
        <v>4520</v>
      </c>
      <c r="C30" s="18">
        <f>(3987.0/B30*100)</f>
        <v/>
      </c>
      <c r="D30" s="19" t="n">
        <v>533</v>
      </c>
      <c r="E30" s="18" t="n">
        <v>47.26407352</v>
      </c>
      <c r="F30" s="20" t="n">
        <v>2.34484693</v>
      </c>
      <c r="G30" s="18" t="n">
        <v>36.45924539</v>
      </c>
      <c r="H30" s="20" t="n">
        <v>2.34460339</v>
      </c>
      <c r="I30" s="18" t="s">
        <v>349</v>
      </c>
      <c r="J30" s="20" t="s">
        <v>349</v>
      </c>
      <c r="K30" s="18" t="n">
        <v>1.0939424</v>
      </c>
      <c r="L30" s="20" t="n">
        <v>0.41867749</v>
      </c>
      <c r="M30" s="18" t="n">
        <v>0</v>
      </c>
      <c r="N30" s="20" t="n">
        <v>0</v>
      </c>
      <c r="O30" s="18" t="n">
        <v>0</v>
      </c>
      <c r="P30" s="20" t="n">
        <v>0</v>
      </c>
      <c r="Q30" s="18" t="n">
        <v>15.18273868</v>
      </c>
      <c r="R30" s="20" t="n">
        <v>1.81234095</v>
      </c>
    </row>
    <row r="31" spans="1:18">
      <c r="A31" s="15" t="s">
        <v>373</v>
      </c>
      <c r="B31" s="17" t="n">
        <v>5456</v>
      </c>
      <c r="C31" s="18">
        <f>(4756.0/B31*100)</f>
        <v/>
      </c>
      <c r="D31" s="19" t="n">
        <v>700</v>
      </c>
      <c r="E31" s="18" t="n">
        <v>40.58540661</v>
      </c>
      <c r="F31" s="20" t="n">
        <v>1.60719526</v>
      </c>
      <c r="G31" s="18" t="n">
        <v>40.15354718</v>
      </c>
      <c r="H31" s="20" t="n">
        <v>1.76973362</v>
      </c>
      <c r="I31" s="18" t="s">
        <v>349</v>
      </c>
      <c r="J31" s="20" t="s">
        <v>349</v>
      </c>
      <c r="K31" s="18" t="n">
        <v>1.27811378</v>
      </c>
      <c r="L31" s="20" t="n">
        <v>0.37539048</v>
      </c>
      <c r="M31" s="18" t="n">
        <v>0</v>
      </c>
      <c r="N31" s="20" t="n">
        <v>0</v>
      </c>
      <c r="O31" s="18" t="n">
        <v>0</v>
      </c>
      <c r="P31" s="20" t="n">
        <v>0</v>
      </c>
      <c r="Q31" s="18" t="n">
        <v>17.98293243</v>
      </c>
      <c r="R31" s="20" t="n">
        <v>1.34680418</v>
      </c>
    </row>
    <row r="32" spans="1:18">
      <c r="A32" s="15" t="s">
        <v>374</v>
      </c>
      <c r="B32" s="17" t="n">
        <v>4478</v>
      </c>
      <c r="C32" s="18">
        <f>(3727.0/B32*100)</f>
        <v/>
      </c>
      <c r="D32" s="19" t="n">
        <v>751</v>
      </c>
      <c r="E32" s="18" t="n">
        <v>53.87785393</v>
      </c>
      <c r="F32" s="20" t="n">
        <v>1.66840512</v>
      </c>
      <c r="G32" s="18" t="n">
        <v>29.02149877</v>
      </c>
      <c r="H32" s="20" t="n">
        <v>1.57611744</v>
      </c>
      <c r="I32" s="18" t="s">
        <v>349</v>
      </c>
      <c r="J32" s="20" t="s">
        <v>349</v>
      </c>
      <c r="K32" s="18" t="n">
        <v>0.65967225</v>
      </c>
      <c r="L32" s="20" t="n">
        <v>0.28793931</v>
      </c>
      <c r="M32" s="18" t="n">
        <v>0.11599616</v>
      </c>
      <c r="N32" s="20" t="n">
        <v>0.11688287</v>
      </c>
      <c r="O32" s="18" t="n">
        <v>0</v>
      </c>
      <c r="P32" s="20" t="n">
        <v>0</v>
      </c>
      <c r="Q32" s="18" t="n">
        <v>16.32497889</v>
      </c>
      <c r="R32" s="20" t="n">
        <v>1.40110662</v>
      </c>
    </row>
    <row r="33" spans="1:18">
      <c r="A33" s="15" t="s">
        <v>375</v>
      </c>
      <c r="B33" s="17" t="n">
        <v>7325</v>
      </c>
      <c r="C33" s="18">
        <f>(6444.0/B33*100)</f>
        <v/>
      </c>
      <c r="D33" s="19" t="n">
        <v>881</v>
      </c>
      <c r="E33" s="18" t="n">
        <v>51.06922701</v>
      </c>
      <c r="F33" s="20" t="n">
        <v>2.01258681</v>
      </c>
      <c r="G33" s="18" t="n">
        <v>25.77255818</v>
      </c>
      <c r="H33" s="20" t="n">
        <v>1.66510742</v>
      </c>
      <c r="I33" s="18" t="s">
        <v>349</v>
      </c>
      <c r="J33" s="20" t="s">
        <v>349</v>
      </c>
      <c r="K33" s="18" t="n">
        <v>0.96741102</v>
      </c>
      <c r="L33" s="20" t="n">
        <v>0.41658566</v>
      </c>
      <c r="M33" s="18" t="n">
        <v>0</v>
      </c>
      <c r="N33" s="20" t="n">
        <v>0</v>
      </c>
      <c r="O33" s="18" t="n">
        <v>0</v>
      </c>
      <c r="P33" s="20" t="n">
        <v>0</v>
      </c>
      <c r="Q33" s="18" t="n">
        <v>22.1908038</v>
      </c>
      <c r="R33" s="20" t="n">
        <v>1.78033494</v>
      </c>
    </row>
    <row r="34" spans="1:18">
      <c r="A34" s="15" t="s">
        <v>376</v>
      </c>
      <c r="B34" s="17" t="n">
        <v>6350</v>
      </c>
      <c r="C34" s="18">
        <f>(5584.0/B34*100)</f>
        <v/>
      </c>
      <c r="D34" s="19" t="n">
        <v>766</v>
      </c>
      <c r="E34" s="18" t="n">
        <v>56.75788265</v>
      </c>
      <c r="F34" s="20" t="n">
        <v>1.73735427</v>
      </c>
      <c r="G34" s="18" t="n">
        <v>25.83027285</v>
      </c>
      <c r="H34" s="20" t="n">
        <v>1.70040755</v>
      </c>
      <c r="I34" s="18" t="s">
        <v>349</v>
      </c>
      <c r="J34" s="20" t="s">
        <v>349</v>
      </c>
      <c r="K34" s="18" t="n">
        <v>0.5012731</v>
      </c>
      <c r="L34" s="20" t="n">
        <v>0.30837102</v>
      </c>
      <c r="M34" s="18" t="n">
        <v>0</v>
      </c>
      <c r="N34" s="20" t="n">
        <v>0</v>
      </c>
      <c r="O34" s="18" t="n">
        <v>0</v>
      </c>
      <c r="P34" s="20" t="n">
        <v>0</v>
      </c>
      <c r="Q34" s="18" t="n">
        <v>16.91057141</v>
      </c>
      <c r="R34" s="20" t="n">
        <v>1.43708254</v>
      </c>
    </row>
    <row r="35" spans="1:18">
      <c r="A35" s="15" t="s">
        <v>377</v>
      </c>
      <c r="B35" s="17" t="n">
        <v>6406</v>
      </c>
      <c r="C35" s="18">
        <f>(5607.0/B35*100)</f>
        <v/>
      </c>
      <c r="D35" s="19" t="n">
        <v>799</v>
      </c>
      <c r="E35" s="18" t="n">
        <v>46.20996543</v>
      </c>
      <c r="F35" s="20" t="n">
        <v>2.24085721</v>
      </c>
      <c r="G35" s="18" t="n">
        <v>40.62843813</v>
      </c>
      <c r="H35" s="20" t="n">
        <v>2.23821669</v>
      </c>
      <c r="I35" s="18" t="s">
        <v>349</v>
      </c>
      <c r="J35" s="20" t="s">
        <v>349</v>
      </c>
      <c r="K35" s="18" t="n">
        <v>0.21227531</v>
      </c>
      <c r="L35" s="20" t="n">
        <v>0.10713872</v>
      </c>
      <c r="M35" s="18" t="n">
        <v>0.20742733</v>
      </c>
      <c r="N35" s="20" t="n">
        <v>0.20716328</v>
      </c>
      <c r="O35" s="18" t="n">
        <v>0</v>
      </c>
      <c r="P35" s="20" t="n">
        <v>0</v>
      </c>
      <c r="Q35" s="18" t="n">
        <v>12.7418938</v>
      </c>
      <c r="R35" s="20" t="n">
        <v>1.30854536</v>
      </c>
    </row>
    <row r="36" spans="1:18">
      <c r="A36" s="15" t="s">
        <v>378</v>
      </c>
      <c r="B36" s="17" t="n">
        <v>6736</v>
      </c>
      <c r="C36" s="18">
        <f>(5919.0/B36*100)</f>
        <v/>
      </c>
      <c r="D36" s="19" t="n">
        <v>817</v>
      </c>
      <c r="E36" s="18" t="n">
        <v>57.52071557</v>
      </c>
      <c r="F36" s="20" t="n">
        <v>1.77334452</v>
      </c>
      <c r="G36" s="18" t="n">
        <v>31.04540055</v>
      </c>
      <c r="H36" s="20" t="n">
        <v>1.47988064</v>
      </c>
      <c r="I36" s="18" t="s">
        <v>349</v>
      </c>
      <c r="J36" s="20" t="s">
        <v>349</v>
      </c>
      <c r="K36" s="18" t="n">
        <v>0.6371322699999999</v>
      </c>
      <c r="L36" s="20" t="n">
        <v>0.29598273</v>
      </c>
      <c r="M36" s="18" t="n">
        <v>0</v>
      </c>
      <c r="N36" s="20" t="n">
        <v>0</v>
      </c>
      <c r="O36" s="18" t="n">
        <v>0</v>
      </c>
      <c r="P36" s="20" t="n">
        <v>0</v>
      </c>
      <c r="Q36" s="18" t="n">
        <v>10.79675161</v>
      </c>
      <c r="R36" s="20" t="n">
        <v>1.15500483</v>
      </c>
    </row>
    <row r="37" spans="1:18">
      <c r="A37" s="15" t="s">
        <v>379</v>
      </c>
      <c r="B37" s="17" t="n">
        <v>5458</v>
      </c>
      <c r="C37" s="18">
        <f>(4803.0/B37*100)</f>
        <v/>
      </c>
      <c r="D37" s="19" t="n">
        <v>655</v>
      </c>
      <c r="E37" s="18" t="n">
        <v>43.12573012</v>
      </c>
      <c r="F37" s="20" t="n">
        <v>2.16703289</v>
      </c>
      <c r="G37" s="18" t="n">
        <v>28.46390107</v>
      </c>
      <c r="H37" s="20" t="n">
        <v>2.1737702</v>
      </c>
      <c r="I37" s="18" t="s">
        <v>349</v>
      </c>
      <c r="J37" s="20" t="s">
        <v>349</v>
      </c>
      <c r="K37" s="18" t="n">
        <v>2.82843147</v>
      </c>
      <c r="L37" s="20" t="n">
        <v>0.76310996</v>
      </c>
      <c r="M37" s="18" t="n">
        <v>0</v>
      </c>
      <c r="N37" s="20" t="n">
        <v>0</v>
      </c>
      <c r="O37" s="18" t="n">
        <v>0</v>
      </c>
      <c r="P37" s="20" t="n">
        <v>0</v>
      </c>
      <c r="Q37" s="18" t="n">
        <v>25.58193734</v>
      </c>
      <c r="R37" s="20" t="n">
        <v>1.96316862</v>
      </c>
    </row>
    <row r="38" spans="1:18">
      <c r="A38" s="15" t="s">
        <v>380</v>
      </c>
      <c r="B38" s="17" t="n">
        <v>5860</v>
      </c>
      <c r="C38" s="18">
        <f>(4908.0/B38*100)</f>
        <v/>
      </c>
      <c r="D38" s="19" t="n">
        <v>952</v>
      </c>
      <c r="E38" s="18" t="n">
        <v>42.82404419</v>
      </c>
      <c r="F38" s="20" t="n">
        <v>1.99065879</v>
      </c>
      <c r="G38" s="18" t="n">
        <v>43.16837453</v>
      </c>
      <c r="H38" s="20" t="n">
        <v>1.92665972</v>
      </c>
      <c r="I38" s="18" t="s">
        <v>349</v>
      </c>
      <c r="J38" s="20" t="s">
        <v>349</v>
      </c>
      <c r="K38" s="18" t="n">
        <v>0.83963219</v>
      </c>
      <c r="L38" s="20" t="n">
        <v>0.29940295</v>
      </c>
      <c r="M38" s="18" t="n">
        <v>0.28118406</v>
      </c>
      <c r="N38" s="20" t="n">
        <v>0.20006614</v>
      </c>
      <c r="O38" s="18" t="n">
        <v>0</v>
      </c>
      <c r="P38" s="20" t="n">
        <v>0</v>
      </c>
      <c r="Q38" s="18" t="n">
        <v>12.88676503</v>
      </c>
      <c r="R38" s="20" t="n">
        <v>1.19333185</v>
      </c>
    </row>
    <row r="39" spans="1:18">
      <c r="A39" s="15" t="s">
        <v>381</v>
      </c>
      <c r="B39" s="17" t="n">
        <v>5895</v>
      </c>
      <c r="C39" s="18">
        <f>(5147.0/B39*100)</f>
        <v/>
      </c>
      <c r="D39" s="19" t="n">
        <v>748</v>
      </c>
      <c r="E39" s="18" t="n">
        <v>71.83779244999999</v>
      </c>
      <c r="F39" s="20" t="n">
        <v>2.06673317</v>
      </c>
      <c r="G39" s="18" t="n">
        <v>14.83516676</v>
      </c>
      <c r="H39" s="20" t="n">
        <v>1.41759807</v>
      </c>
      <c r="I39" s="18" t="s">
        <v>349</v>
      </c>
      <c r="J39" s="20" t="s">
        <v>349</v>
      </c>
      <c r="K39" s="18" t="n">
        <v>0.38375257</v>
      </c>
      <c r="L39" s="20" t="n">
        <v>0.23374679</v>
      </c>
      <c r="M39" s="18" t="n">
        <v>0</v>
      </c>
      <c r="N39" s="20" t="n">
        <v>0</v>
      </c>
      <c r="O39" s="18" t="n">
        <v>0</v>
      </c>
      <c r="P39" s="20" t="n">
        <v>0</v>
      </c>
      <c r="Q39" s="18" t="n">
        <v>12.94328822</v>
      </c>
      <c r="R39" s="20" t="n">
        <v>1.36372184</v>
      </c>
    </row>
    <row r="40" spans="1:18">
      <c r="A40" s="15" t="s">
        <v>382</v>
      </c>
      <c r="B40" s="17" t="n">
        <v>14157</v>
      </c>
      <c r="C40" s="18">
        <f>(12383.0/B40*100)</f>
        <v/>
      </c>
      <c r="D40" s="19" t="n">
        <v>1774</v>
      </c>
      <c r="E40" s="18" t="n">
        <v>48.31731082</v>
      </c>
      <c r="F40" s="20" t="n">
        <v>1.81981652</v>
      </c>
      <c r="G40" s="18" t="n">
        <v>36.86832624</v>
      </c>
      <c r="H40" s="20" t="n">
        <v>1.58909163</v>
      </c>
      <c r="I40" s="18" t="s">
        <v>349</v>
      </c>
      <c r="J40" s="20" t="s">
        <v>349</v>
      </c>
      <c r="K40" s="18" t="n">
        <v>0.67442762</v>
      </c>
      <c r="L40" s="20" t="n">
        <v>0.29391844</v>
      </c>
      <c r="M40" s="18" t="n">
        <v>0.11744636</v>
      </c>
      <c r="N40" s="20" t="n">
        <v>0.11718038</v>
      </c>
      <c r="O40" s="18" t="n">
        <v>0</v>
      </c>
      <c r="P40" s="20" t="n">
        <v>0</v>
      </c>
      <c r="Q40" s="18" t="n">
        <v>14.02248896</v>
      </c>
      <c r="R40" s="20" t="n">
        <v>1.41782827</v>
      </c>
    </row>
    <row r="41" spans="1:18">
      <c r="A41" s="15" t="s">
        <v>383</v>
      </c>
      <c r="B41" s="17" t="n">
        <v>5712</v>
      </c>
      <c r="C41" s="18">
        <f>(5030.0/B41*100)</f>
        <v/>
      </c>
      <c r="D41" s="19" t="n">
        <v>682</v>
      </c>
      <c r="E41" s="18" t="n">
        <v>64.49229984</v>
      </c>
      <c r="F41" s="20" t="n">
        <v>1.72735391</v>
      </c>
      <c r="G41" s="18" t="n">
        <v>32.1128278</v>
      </c>
      <c r="H41" s="20" t="n">
        <v>1.78165365</v>
      </c>
      <c r="I41" s="18" t="s">
        <v>349</v>
      </c>
      <c r="J41" s="20" t="s">
        <v>349</v>
      </c>
      <c r="K41" s="18" t="n">
        <v>0</v>
      </c>
      <c r="L41" s="20" t="n">
        <v>0</v>
      </c>
      <c r="M41" s="18" t="n">
        <v>0</v>
      </c>
      <c r="N41" s="20" t="n">
        <v>0</v>
      </c>
      <c r="O41" s="18" t="n">
        <v>0</v>
      </c>
      <c r="P41" s="20" t="n">
        <v>0</v>
      </c>
      <c r="Q41" s="18" t="n">
        <v>3.39487236</v>
      </c>
      <c r="R41" s="20" t="n">
        <v>0.75310321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(8620.0/B48*100)</f>
        <v/>
      </c>
      <c r="D48" s="19" t="n">
        <v>1221</v>
      </c>
      <c r="E48" s="18" t="n">
        <v>47.13892915</v>
      </c>
      <c r="F48" s="20" t="n">
        <v>1.80315602</v>
      </c>
      <c r="G48" s="18" t="n">
        <v>43.83521416</v>
      </c>
      <c r="H48" s="20" t="n">
        <v>1.95098012</v>
      </c>
      <c r="I48" s="18" t="s">
        <v>349</v>
      </c>
      <c r="J48" s="20" t="s">
        <v>349</v>
      </c>
      <c r="K48" s="18" t="n">
        <v>0.29613209</v>
      </c>
      <c r="L48" s="20" t="n">
        <v>0.18947695</v>
      </c>
      <c r="M48" s="18" t="n">
        <v>0.06188384</v>
      </c>
      <c r="N48" s="20" t="n">
        <v>0.06188845</v>
      </c>
      <c r="O48" s="18" t="n">
        <v>0</v>
      </c>
      <c r="P48" s="20" t="n">
        <v>0</v>
      </c>
      <c r="Q48" s="18" t="n">
        <v>8.667840760000001</v>
      </c>
      <c r="R48" s="20" t="n">
        <v>1.19526727</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(5089.0/B52*100)</f>
        <v/>
      </c>
      <c r="D52" s="19" t="n">
        <v>720</v>
      </c>
      <c r="E52" s="18" t="n">
        <v>49.60330357</v>
      </c>
      <c r="F52" s="20" t="n">
        <v>1.8858745</v>
      </c>
      <c r="G52" s="18" t="n">
        <v>26.1056288</v>
      </c>
      <c r="H52" s="20" t="n">
        <v>1.53463512</v>
      </c>
      <c r="I52" s="18" t="s">
        <v>349</v>
      </c>
      <c r="J52" s="20" t="s">
        <v>349</v>
      </c>
      <c r="K52" s="18" t="n">
        <v>1.20861696</v>
      </c>
      <c r="L52" s="20" t="n">
        <v>0.3997021</v>
      </c>
      <c r="M52" s="18" t="n">
        <v>0</v>
      </c>
      <c r="N52" s="20" t="n">
        <v>0</v>
      </c>
      <c r="O52" s="18" t="n">
        <v>0</v>
      </c>
      <c r="P52" s="20" t="n">
        <v>0</v>
      </c>
      <c r="Q52" s="18" t="n">
        <v>23.08245067</v>
      </c>
      <c r="R52" s="20" t="n">
        <v>1.69803574</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47.17606543</v>
      </c>
      <c r="F56" s="20" t="n">
        <v>2.20311247</v>
      </c>
      <c r="G56" s="18" t="n">
        <v>45.30752828</v>
      </c>
      <c r="H56" s="20" t="n">
        <v>2.00766276</v>
      </c>
      <c r="I56" s="18" t="s">
        <v>349</v>
      </c>
      <c r="J56" s="20" t="s">
        <v>349</v>
      </c>
      <c r="K56" s="18" t="n">
        <v>0.27646964</v>
      </c>
      <c r="L56" s="20" t="n">
        <v>0.30854574</v>
      </c>
      <c r="M56" s="18" t="n">
        <v>0.11646767</v>
      </c>
      <c r="N56" s="20" t="n">
        <v>0.11651789</v>
      </c>
      <c r="O56" s="18" t="n">
        <v>0</v>
      </c>
      <c r="P56" s="20" t="n">
        <v>0</v>
      </c>
      <c r="Q56" s="18" t="n">
        <v>7.12346899</v>
      </c>
      <c r="R56" s="20" t="n">
        <v>1.47954814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63.68070358</v>
      </c>
      <c r="F61" s="20" t="n">
        <v>1.67936174</v>
      </c>
      <c r="G61" s="18" t="n">
        <v>22.42009917</v>
      </c>
      <c r="H61" s="20" t="n">
        <v>1.4070367</v>
      </c>
      <c r="I61" s="18" t="s">
        <v>349</v>
      </c>
      <c r="J61" s="20" t="s">
        <v>349</v>
      </c>
      <c r="K61" s="18" t="n">
        <v>0.4946749</v>
      </c>
      <c r="L61" s="20" t="n">
        <v>0.26730769</v>
      </c>
      <c r="M61" s="18" t="n">
        <v>0</v>
      </c>
      <c r="N61" s="20" t="n">
        <v>0</v>
      </c>
      <c r="O61" s="18" t="n">
        <v>0</v>
      </c>
      <c r="P61" s="20" t="n">
        <v>0</v>
      </c>
      <c r="Q61" s="18" t="n">
        <v>13.40452235</v>
      </c>
      <c r="R61" s="20" t="n">
        <v>1.25193284</v>
      </c>
    </row>
    <row r="62" spans="1:18">
      <c r="A62" s="15" t="s">
        <v>404</v>
      </c>
      <c r="B62" s="17" t="n">
        <v>4476</v>
      </c>
      <c r="C62" s="18">
        <f>(3920.0/B62*100)</f>
        <v/>
      </c>
      <c r="D62" s="19" t="n">
        <v>556</v>
      </c>
      <c r="E62" s="18" t="n">
        <v>53.2400766</v>
      </c>
      <c r="F62" s="20" t="n">
        <v>2.26082618</v>
      </c>
      <c r="G62" s="18" t="n">
        <v>40.79624225</v>
      </c>
      <c r="H62" s="20" t="n">
        <v>2.17441112</v>
      </c>
      <c r="I62" s="18" t="s">
        <v>349</v>
      </c>
      <c r="J62" s="20" t="s">
        <v>349</v>
      </c>
      <c r="K62" s="18" t="n">
        <v>0</v>
      </c>
      <c r="L62" s="20" t="n">
        <v>0</v>
      </c>
      <c r="M62" s="18" t="n">
        <v>0</v>
      </c>
      <c r="N62" s="20" t="n">
        <v>0</v>
      </c>
      <c r="O62" s="18" t="n">
        <v>0</v>
      </c>
      <c r="P62" s="20" t="n">
        <v>0</v>
      </c>
      <c r="Q62" s="18" t="n">
        <v>5.96368115</v>
      </c>
      <c r="R62" s="20" t="n">
        <v>1.0118797</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(4971.0/B66*100)</f>
        <v/>
      </c>
      <c r="D66" s="19" t="n">
        <v>694</v>
      </c>
      <c r="E66" s="18" t="n">
        <v>51.43346674</v>
      </c>
      <c r="F66" s="20" t="n">
        <v>1.90099152</v>
      </c>
      <c r="G66" s="18" t="n">
        <v>13.90915551</v>
      </c>
      <c r="H66" s="20" t="n">
        <v>1.41105636</v>
      </c>
      <c r="I66" s="18" t="s">
        <v>349</v>
      </c>
      <c r="J66" s="20" t="s">
        <v>349</v>
      </c>
      <c r="K66" s="18" t="n">
        <v>1.57315468</v>
      </c>
      <c r="L66" s="20" t="n">
        <v>0.4778517</v>
      </c>
      <c r="M66" s="18" t="n">
        <v>0.25317951</v>
      </c>
      <c r="N66" s="20" t="n">
        <v>0.18128898</v>
      </c>
      <c r="O66" s="18" t="n">
        <v>0</v>
      </c>
      <c r="P66" s="20" t="n">
        <v>0</v>
      </c>
      <c r="Q66" s="18" t="n">
        <v>32.83104356</v>
      </c>
      <c r="R66" s="20" t="n">
        <v>2.03545854</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(10058.0/B68*100)</f>
        <v/>
      </c>
      <c r="D68" s="19" t="n">
        <v>2025</v>
      </c>
      <c r="E68" s="18" t="n">
        <v>70.47765920000001</v>
      </c>
      <c r="F68" s="20" t="n">
        <v>0.97096326</v>
      </c>
      <c r="G68" s="18" t="n">
        <v>9.53837115</v>
      </c>
      <c r="H68" s="20" t="n">
        <v>0.70769472</v>
      </c>
      <c r="I68" s="18" t="s">
        <v>349</v>
      </c>
      <c r="J68" s="20" t="s">
        <v>349</v>
      </c>
      <c r="K68" s="18" t="n">
        <v>2.25534293</v>
      </c>
      <c r="L68" s="20" t="n">
        <v>0.27613304</v>
      </c>
      <c r="M68" s="18" t="n">
        <v>0.0469152</v>
      </c>
      <c r="N68" s="20" t="n">
        <v>0.04700228</v>
      </c>
      <c r="O68" s="18" t="n">
        <v>0</v>
      </c>
      <c r="P68" s="20" t="n">
        <v>0</v>
      </c>
      <c r="Q68" s="18" t="n">
        <v>17.68171153</v>
      </c>
      <c r="R68" s="20" t="n">
        <v>0.82104699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(5276.0/B70*100)</f>
        <v/>
      </c>
      <c r="D70" s="19" t="n">
        <v>760</v>
      </c>
      <c r="E70" s="18" t="n">
        <v>42.53994477</v>
      </c>
      <c r="F70" s="20" t="n">
        <v>2.06139598</v>
      </c>
      <c r="G70" s="18" t="n">
        <v>37.23299829</v>
      </c>
      <c r="H70" s="20" t="n">
        <v>2.11857991</v>
      </c>
      <c r="I70" s="18" t="s">
        <v>349</v>
      </c>
      <c r="J70" s="20" t="s">
        <v>349</v>
      </c>
      <c r="K70" s="18" t="n">
        <v>0.21089098</v>
      </c>
      <c r="L70" s="20" t="n">
        <v>0.14807952</v>
      </c>
      <c r="M70" s="18" t="n">
        <v>1.54779082</v>
      </c>
      <c r="N70" s="20" t="n">
        <v>0.37626013</v>
      </c>
      <c r="O70" s="18" t="n">
        <v>0</v>
      </c>
      <c r="P70" s="20" t="n">
        <v>0</v>
      </c>
      <c r="Q70" s="18" t="n">
        <v>18.46837514</v>
      </c>
      <c r="R70" s="20" t="n">
        <v>1.55195871</v>
      </c>
    </row>
    <row r="71" spans="1:18">
      <c r="A71" s="15" t="s">
        <v>413</v>
      </c>
      <c r="B71" s="17" t="n">
        <v>6115</v>
      </c>
      <c r="C71" s="18">
        <f>(5352.0/B71*100)</f>
        <v/>
      </c>
      <c r="D71" s="19" t="n">
        <v>763</v>
      </c>
      <c r="E71" s="18" t="n">
        <v>61.44826461</v>
      </c>
      <c r="F71" s="20" t="n">
        <v>1.98185225</v>
      </c>
      <c r="G71" s="18" t="n">
        <v>31.85073948</v>
      </c>
      <c r="H71" s="20" t="n">
        <v>1.72995044</v>
      </c>
      <c r="I71" s="18" t="s">
        <v>349</v>
      </c>
      <c r="J71" s="20" t="s">
        <v>349</v>
      </c>
      <c r="K71" s="18" t="n">
        <v>0.20529296</v>
      </c>
      <c r="L71" s="20" t="n">
        <v>0.14620143</v>
      </c>
      <c r="M71" s="18" t="n">
        <v>0</v>
      </c>
      <c r="N71" s="20" t="n">
        <v>0</v>
      </c>
      <c r="O71" s="18" t="n">
        <v>0</v>
      </c>
      <c r="P71" s="20" t="n">
        <v>0</v>
      </c>
      <c r="Q71" s="18" t="n">
        <v>6.49570295</v>
      </c>
      <c r="R71" s="20" t="n">
        <v>0.94000305</v>
      </c>
    </row>
    <row r="72" spans="1:18">
      <c r="A72" s="15" t="s">
        <v>414</v>
      </c>
      <c r="B72" s="17" t="n">
        <v>7708</v>
      </c>
      <c r="C72" s="18">
        <f>(6756.0/B72*100)</f>
        <v/>
      </c>
      <c r="D72" s="19" t="n">
        <v>952</v>
      </c>
      <c r="E72" s="18" t="n">
        <v>42.11861216</v>
      </c>
      <c r="F72" s="20" t="n">
        <v>1.79642824</v>
      </c>
      <c r="G72" s="18" t="n">
        <v>48.15463013</v>
      </c>
      <c r="H72" s="20" t="n">
        <v>1.86871433</v>
      </c>
      <c r="I72" s="18" t="s">
        <v>349</v>
      </c>
      <c r="J72" s="20" t="s">
        <v>349</v>
      </c>
      <c r="K72" s="18" t="n">
        <v>0.247881</v>
      </c>
      <c r="L72" s="20" t="n">
        <v>0.16168085</v>
      </c>
      <c r="M72" s="18" t="n">
        <v>0</v>
      </c>
      <c r="N72" s="20" t="n">
        <v>0</v>
      </c>
      <c r="O72" s="18" t="n">
        <v>0</v>
      </c>
      <c r="P72" s="20" t="n">
        <v>0</v>
      </c>
      <c r="Q72" s="18" t="n">
        <v>9.47887671</v>
      </c>
      <c r="R72" s="20" t="n">
        <v>0.92275605</v>
      </c>
    </row>
    <row r="73" spans="1:18">
      <c r="A73" s="15" t="s">
        <v>415</v>
      </c>
      <c r="B73" s="17" t="n">
        <v>8249</v>
      </c>
      <c r="C73" s="18">
        <f>(7240.0/B73*100)</f>
        <v/>
      </c>
      <c r="D73" s="19" t="n">
        <v>1009</v>
      </c>
      <c r="E73" s="18" t="n">
        <v>84.7069309</v>
      </c>
      <c r="F73" s="20" t="n">
        <v>1.50285743</v>
      </c>
      <c r="G73" s="18" t="n">
        <v>9.661521990000001</v>
      </c>
      <c r="H73" s="20" t="n">
        <v>1.02605121</v>
      </c>
      <c r="I73" s="18" t="s">
        <v>349</v>
      </c>
      <c r="J73" s="20" t="s">
        <v>349</v>
      </c>
      <c r="K73" s="18" t="n">
        <v>0</v>
      </c>
      <c r="L73" s="20" t="n">
        <v>0</v>
      </c>
      <c r="M73" s="18" t="n">
        <v>0.19739611</v>
      </c>
      <c r="N73" s="20" t="n">
        <v>0.2064289</v>
      </c>
      <c r="O73" s="18" t="n">
        <v>0</v>
      </c>
      <c r="P73" s="20" t="n">
        <v>0</v>
      </c>
      <c r="Q73" s="18" t="n">
        <v>5.43415099</v>
      </c>
      <c r="R73" s="20" t="n">
        <v>1.08686023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(7750.0/B81*100)</f>
        <v/>
      </c>
      <c r="D81" s="19" t="n">
        <v>1111</v>
      </c>
      <c r="E81" s="18" t="n">
        <v>85.26829041000001</v>
      </c>
      <c r="F81" s="20" t="n">
        <v>1.33432266</v>
      </c>
      <c r="G81" s="18" t="n">
        <v>7.05293393</v>
      </c>
      <c r="H81" s="20" t="n">
        <v>0.8590782</v>
      </c>
      <c r="I81" s="18" t="s">
        <v>349</v>
      </c>
      <c r="J81" s="20" t="s">
        <v>349</v>
      </c>
      <c r="K81" s="18" t="n">
        <v>0.009193649999999999</v>
      </c>
      <c r="L81" s="20" t="n">
        <v>0.31165357</v>
      </c>
      <c r="M81" s="18" t="n">
        <v>0</v>
      </c>
      <c r="N81" s="20" t="n">
        <v>0</v>
      </c>
      <c r="O81" s="18" t="n">
        <v>0</v>
      </c>
      <c r="P81" s="20" t="n">
        <v>0</v>
      </c>
      <c r="Q81" s="18" t="n">
        <v>7.66958201</v>
      </c>
      <c r="R81" s="20" t="n">
        <v>1.06287301</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(12774.0/B7*100)</f>
        <v/>
      </c>
      <c r="D7" s="19" t="n">
        <v>1756</v>
      </c>
      <c r="E7" s="18" t="n">
        <v>58.38941658</v>
      </c>
      <c r="F7" s="20" t="n">
        <v>1.3499114</v>
      </c>
      <c r="G7" s="18" t="n">
        <v>29.12810716</v>
      </c>
      <c r="H7" s="20" t="n">
        <v>1.21184068</v>
      </c>
      <c r="I7" s="18" t="s">
        <v>349</v>
      </c>
      <c r="J7" s="20" t="s">
        <v>349</v>
      </c>
      <c r="K7" s="18" t="n">
        <v>0.73142641</v>
      </c>
      <c r="L7" s="20" t="n">
        <v>0.22064447</v>
      </c>
      <c r="M7" s="18" t="n">
        <v>0</v>
      </c>
      <c r="N7" s="20" t="n">
        <v>0</v>
      </c>
      <c r="O7" s="18" t="n">
        <v>0</v>
      </c>
      <c r="P7" s="20" t="n">
        <v>0</v>
      </c>
      <c r="Q7" s="18" t="n">
        <v>11.75104985</v>
      </c>
      <c r="R7" s="20" t="n">
        <v>0.84563344</v>
      </c>
    </row>
    <row r="8" spans="1:18">
      <c r="A8" s="15" t="s">
        <v>350</v>
      </c>
      <c r="B8" s="17" t="n">
        <v>7007</v>
      </c>
      <c r="C8" s="18">
        <f>(6171.0/B8*100)</f>
        <v/>
      </c>
      <c r="D8" s="19" t="n">
        <v>836</v>
      </c>
      <c r="E8" s="18" t="n">
        <v>51.39732037</v>
      </c>
      <c r="F8" s="20" t="n">
        <v>1.72010425</v>
      </c>
      <c r="G8" s="18" t="n">
        <v>35.54883564</v>
      </c>
      <c r="H8" s="20" t="n">
        <v>1.75405539</v>
      </c>
      <c r="I8" s="18" t="s">
        <v>349</v>
      </c>
      <c r="J8" s="20" t="s">
        <v>349</v>
      </c>
      <c r="K8" s="18" t="n">
        <v>1.02592343</v>
      </c>
      <c r="L8" s="20" t="n">
        <v>0.35893684</v>
      </c>
      <c r="M8" s="18" t="n">
        <v>0</v>
      </c>
      <c r="N8" s="20" t="n">
        <v>0</v>
      </c>
      <c r="O8" s="18" t="n">
        <v>0</v>
      </c>
      <c r="P8" s="20" t="n">
        <v>0</v>
      </c>
      <c r="Q8" s="18" t="n">
        <v>12.02792056</v>
      </c>
      <c r="R8" s="20" t="n">
        <v>1.13811662</v>
      </c>
    </row>
    <row r="9" spans="1:18">
      <c r="A9" s="15" t="s">
        <v>351</v>
      </c>
      <c r="B9" s="17" t="n">
        <v>9651</v>
      </c>
      <c r="C9" s="18">
        <f>(8480.0/B9*100)</f>
        <v/>
      </c>
      <c r="D9" s="19" t="n">
        <v>1171</v>
      </c>
      <c r="E9" s="18" t="n">
        <v>57.7432149</v>
      </c>
      <c r="F9" s="20" t="n">
        <v>1.57061112</v>
      </c>
      <c r="G9" s="18" t="n">
        <v>31.28150459</v>
      </c>
      <c r="H9" s="20" t="n">
        <v>1.25417144</v>
      </c>
      <c r="I9" s="18" t="s">
        <v>349</v>
      </c>
      <c r="J9" s="20" t="s">
        <v>349</v>
      </c>
      <c r="K9" s="18" t="n">
        <v>0.92178653</v>
      </c>
      <c r="L9" s="20" t="n">
        <v>0.30799293</v>
      </c>
      <c r="M9" s="18" t="n">
        <v>0</v>
      </c>
      <c r="N9" s="20" t="n">
        <v>0</v>
      </c>
      <c r="O9" s="18" t="n">
        <v>0</v>
      </c>
      <c r="P9" s="20" t="n">
        <v>0</v>
      </c>
      <c r="Q9" s="18" t="n">
        <v>10.05349399</v>
      </c>
      <c r="R9" s="20" t="n">
        <v>1.11286884</v>
      </c>
    </row>
    <row r="10" spans="1:18">
      <c r="A10" s="15" t="s">
        <v>352</v>
      </c>
      <c r="B10" s="17" t="n">
        <v>20058</v>
      </c>
      <c r="C10" s="18">
        <f>(17607.0/B10*100)</f>
        <v/>
      </c>
      <c r="D10" s="19" t="n">
        <v>2451</v>
      </c>
      <c r="E10" s="18" t="n">
        <v>62.61669406</v>
      </c>
      <c r="F10" s="20" t="n">
        <v>1.25135993</v>
      </c>
      <c r="G10" s="18" t="n">
        <v>30.74719691</v>
      </c>
      <c r="H10" s="20" t="n">
        <v>1.2660142</v>
      </c>
      <c r="I10" s="18" t="s">
        <v>349</v>
      </c>
      <c r="J10" s="20" t="s">
        <v>349</v>
      </c>
      <c r="K10" s="18" t="n">
        <v>0.59650498</v>
      </c>
      <c r="L10" s="20" t="n">
        <v>0.20662155</v>
      </c>
      <c r="M10" s="18" t="n">
        <v>0</v>
      </c>
      <c r="N10" s="20" t="n">
        <v>0</v>
      </c>
      <c r="O10" s="18" t="n">
        <v>0</v>
      </c>
      <c r="P10" s="20" t="n">
        <v>0</v>
      </c>
      <c r="Q10" s="18" t="n">
        <v>6.03960405</v>
      </c>
      <c r="R10" s="20" t="n">
        <v>0.77554854</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(6071.0/B12*100)</f>
        <v/>
      </c>
      <c r="D12" s="19" t="n">
        <v>823</v>
      </c>
      <c r="E12" s="18" t="n">
        <v>63.08387044</v>
      </c>
      <c r="F12" s="20" t="n">
        <v>1.82486007</v>
      </c>
      <c r="G12" s="18" t="n">
        <v>25.68560989</v>
      </c>
      <c r="H12" s="20" t="n">
        <v>1.66013458</v>
      </c>
      <c r="I12" s="18" t="s">
        <v>349</v>
      </c>
      <c r="J12" s="20" t="s">
        <v>349</v>
      </c>
      <c r="K12" s="18" t="n">
        <v>0.45310506</v>
      </c>
      <c r="L12" s="20" t="n">
        <v>0.23001832</v>
      </c>
      <c r="M12" s="18" t="n">
        <v>0</v>
      </c>
      <c r="N12" s="20" t="n">
        <v>0</v>
      </c>
      <c r="O12" s="18" t="n">
        <v>0</v>
      </c>
      <c r="P12" s="20" t="n">
        <v>0</v>
      </c>
      <c r="Q12" s="18" t="n">
        <v>10.77741461</v>
      </c>
      <c r="R12" s="20" t="n">
        <v>1.40347503</v>
      </c>
    </row>
    <row r="13" spans="1:18">
      <c r="A13" s="15" t="s">
        <v>355</v>
      </c>
      <c r="B13" s="17" t="n">
        <v>7161</v>
      </c>
      <c r="C13" s="18">
        <f>(6323.0/B13*100)</f>
        <v/>
      </c>
      <c r="D13" s="19" t="n">
        <v>838</v>
      </c>
      <c r="E13" s="18" t="n">
        <v>65.55061997999999</v>
      </c>
      <c r="F13" s="20" t="n">
        <v>2.20845223</v>
      </c>
      <c r="G13" s="18" t="n">
        <v>25.37380484</v>
      </c>
      <c r="H13" s="20" t="n">
        <v>2.0054709</v>
      </c>
      <c r="I13" s="18" t="s">
        <v>349</v>
      </c>
      <c r="J13" s="20" t="s">
        <v>349</v>
      </c>
      <c r="K13" s="18" t="n">
        <v>0.55425597</v>
      </c>
      <c r="L13" s="20" t="n">
        <v>0.297416</v>
      </c>
      <c r="M13" s="18" t="n">
        <v>0</v>
      </c>
      <c r="N13" s="20" t="n">
        <v>0</v>
      </c>
      <c r="O13" s="18" t="n">
        <v>0</v>
      </c>
      <c r="P13" s="20" t="n">
        <v>0</v>
      </c>
      <c r="Q13" s="18" t="n">
        <v>8.521319220000001</v>
      </c>
      <c r="R13" s="20" t="n">
        <v>1.07442519</v>
      </c>
    </row>
    <row r="14" spans="1:18">
      <c r="A14" s="15" t="s">
        <v>356</v>
      </c>
      <c r="B14" s="17" t="n">
        <v>5587</v>
      </c>
      <c r="C14" s="18">
        <f>(4875.0/B14*100)</f>
        <v/>
      </c>
      <c r="D14" s="19" t="n">
        <v>712</v>
      </c>
      <c r="E14" s="18" t="n">
        <v>64.53060862</v>
      </c>
      <c r="F14" s="20" t="n">
        <v>1.80456222</v>
      </c>
      <c r="G14" s="18" t="n">
        <v>29.41677505</v>
      </c>
      <c r="H14" s="20" t="n">
        <v>1.73998927</v>
      </c>
      <c r="I14" s="18" t="s">
        <v>349</v>
      </c>
      <c r="J14" s="20" t="s">
        <v>349</v>
      </c>
      <c r="K14" s="18" t="n">
        <v>0.51544684</v>
      </c>
      <c r="L14" s="20" t="n">
        <v>0.33659072</v>
      </c>
      <c r="M14" s="18" t="n">
        <v>0</v>
      </c>
      <c r="N14" s="20" t="n">
        <v>0</v>
      </c>
      <c r="O14" s="18" t="n">
        <v>0</v>
      </c>
      <c r="P14" s="20" t="n">
        <v>0</v>
      </c>
      <c r="Q14" s="18" t="n">
        <v>5.53716949</v>
      </c>
      <c r="R14" s="20" t="n">
        <v>0.8467156300000001</v>
      </c>
    </row>
    <row r="15" spans="1:18">
      <c r="A15" s="15" t="s">
        <v>357</v>
      </c>
      <c r="B15" s="17" t="n">
        <v>5882</v>
      </c>
      <c r="C15" s="18">
        <f>(5157.0/B15*100)</f>
        <v/>
      </c>
      <c r="D15" s="19" t="n">
        <v>725</v>
      </c>
      <c r="E15" s="18" t="n">
        <v>54.83426476</v>
      </c>
      <c r="F15" s="20" t="n">
        <v>2.0141568</v>
      </c>
      <c r="G15" s="18" t="n">
        <v>26.25844856</v>
      </c>
      <c r="H15" s="20" t="n">
        <v>1.53589566</v>
      </c>
      <c r="I15" s="18" t="s">
        <v>349</v>
      </c>
      <c r="J15" s="20" t="s">
        <v>349</v>
      </c>
      <c r="K15" s="18" t="n">
        <v>0.6700459600000001</v>
      </c>
      <c r="L15" s="20" t="n">
        <v>0.29313508</v>
      </c>
      <c r="M15" s="18" t="n">
        <v>0</v>
      </c>
      <c r="N15" s="20" t="n">
        <v>0</v>
      </c>
      <c r="O15" s="18" t="n">
        <v>0</v>
      </c>
      <c r="P15" s="20" t="n">
        <v>0</v>
      </c>
      <c r="Q15" s="18" t="n">
        <v>18.23724072</v>
      </c>
      <c r="R15" s="20" t="n">
        <v>1.54133645</v>
      </c>
    </row>
    <row r="16" spans="1:18">
      <c r="A16" s="15" t="s">
        <v>358</v>
      </c>
      <c r="B16" s="17" t="n">
        <v>6108</v>
      </c>
      <c r="C16" s="18">
        <f>(5348.0/B16*100)</f>
        <v/>
      </c>
      <c r="D16" s="19" t="n">
        <v>760</v>
      </c>
      <c r="E16" s="18" t="n">
        <v>57.580085</v>
      </c>
      <c r="F16" s="20" t="n">
        <v>1.78024424</v>
      </c>
      <c r="G16" s="18" t="n">
        <v>23.72073962</v>
      </c>
      <c r="H16" s="20" t="n">
        <v>1.49206119</v>
      </c>
      <c r="I16" s="18" t="s">
        <v>349</v>
      </c>
      <c r="J16" s="20" t="s">
        <v>349</v>
      </c>
      <c r="K16" s="18" t="n">
        <v>1.44087429</v>
      </c>
      <c r="L16" s="20" t="n">
        <v>0.47875259</v>
      </c>
      <c r="M16" s="18" t="n">
        <v>0</v>
      </c>
      <c r="N16" s="20" t="n">
        <v>0</v>
      </c>
      <c r="O16" s="18" t="n">
        <v>0</v>
      </c>
      <c r="P16" s="20" t="n">
        <v>0</v>
      </c>
      <c r="Q16" s="18" t="n">
        <v>17.25830109</v>
      </c>
      <c r="R16" s="20" t="n">
        <v>1.4362403</v>
      </c>
    </row>
    <row r="17" spans="1:18">
      <c r="A17" s="15" t="s">
        <v>359</v>
      </c>
      <c r="B17" s="17" t="n">
        <v>6504</v>
      </c>
      <c r="C17" s="18">
        <f>(5707.0/B17*100)</f>
        <v/>
      </c>
      <c r="D17" s="19" t="n">
        <v>797</v>
      </c>
      <c r="E17" s="18" t="n">
        <v>50.88380931</v>
      </c>
      <c r="F17" s="20" t="n">
        <v>1.85378935</v>
      </c>
      <c r="G17" s="18" t="n">
        <v>35.03360579</v>
      </c>
      <c r="H17" s="20" t="n">
        <v>1.88463558</v>
      </c>
      <c r="I17" s="18" t="s">
        <v>349</v>
      </c>
      <c r="J17" s="20" t="s">
        <v>349</v>
      </c>
      <c r="K17" s="18" t="n">
        <v>0.73304158</v>
      </c>
      <c r="L17" s="20" t="n">
        <v>0.28306983</v>
      </c>
      <c r="M17" s="18" t="n">
        <v>0</v>
      </c>
      <c r="N17" s="20" t="n">
        <v>0</v>
      </c>
      <c r="O17" s="18" t="n">
        <v>0</v>
      </c>
      <c r="P17" s="20" t="n">
        <v>0</v>
      </c>
      <c r="Q17" s="18" t="n">
        <v>13.34954332</v>
      </c>
      <c r="R17" s="20" t="n">
        <v>1.57976483</v>
      </c>
    </row>
    <row r="18" spans="1:18">
      <c r="A18" s="15" t="s">
        <v>360</v>
      </c>
      <c r="B18" s="17" t="n">
        <v>5532</v>
      </c>
      <c r="C18" s="18">
        <f>(4846.0/B18*100)</f>
        <v/>
      </c>
      <c r="D18" s="19" t="n">
        <v>686</v>
      </c>
      <c r="E18" s="18" t="n">
        <v>73.21805510999999</v>
      </c>
      <c r="F18" s="20" t="n">
        <v>2.24014452</v>
      </c>
      <c r="G18" s="18" t="n">
        <v>8.15833127</v>
      </c>
      <c r="H18" s="20" t="n">
        <v>1.2098172</v>
      </c>
      <c r="I18" s="18" t="s">
        <v>349</v>
      </c>
      <c r="J18" s="20" t="s">
        <v>349</v>
      </c>
      <c r="K18" s="18" t="n">
        <v>1.31759484</v>
      </c>
      <c r="L18" s="20" t="n">
        <v>0.55208684</v>
      </c>
      <c r="M18" s="18" t="n">
        <v>0</v>
      </c>
      <c r="N18" s="20" t="n">
        <v>0</v>
      </c>
      <c r="O18" s="18" t="n">
        <v>0</v>
      </c>
      <c r="P18" s="20" t="n">
        <v>0</v>
      </c>
      <c r="Q18" s="18" t="n">
        <v>17.30601878</v>
      </c>
      <c r="R18" s="20" t="n">
        <v>1.80844033</v>
      </c>
    </row>
    <row r="19" spans="1:18">
      <c r="A19" s="15" t="s">
        <v>361</v>
      </c>
      <c r="B19" s="17" t="n">
        <v>5658</v>
      </c>
      <c r="C19" s="18">
        <f>(4992.0/B19*100)</f>
        <v/>
      </c>
      <c r="D19" s="19" t="n">
        <v>666</v>
      </c>
      <c r="E19" s="18" t="n">
        <v>70.37966111999999</v>
      </c>
      <c r="F19" s="20" t="n">
        <v>1.92080301</v>
      </c>
      <c r="G19" s="18" t="n">
        <v>14.2539098</v>
      </c>
      <c r="H19" s="20" t="n">
        <v>1.44592581</v>
      </c>
      <c r="I19" s="18" t="s">
        <v>349</v>
      </c>
      <c r="J19" s="20" t="s">
        <v>349</v>
      </c>
      <c r="K19" s="18" t="n">
        <v>0</v>
      </c>
      <c r="L19" s="20" t="n">
        <v>0</v>
      </c>
      <c r="M19" s="18" t="n">
        <v>0</v>
      </c>
      <c r="N19" s="20" t="n">
        <v>0</v>
      </c>
      <c r="O19" s="18" t="n">
        <v>0</v>
      </c>
      <c r="P19" s="20" t="n">
        <v>0</v>
      </c>
      <c r="Q19" s="18" t="n">
        <v>15.36642908</v>
      </c>
      <c r="R19" s="20" t="n">
        <v>1.62465301</v>
      </c>
    </row>
    <row r="20" spans="1:18">
      <c r="A20" s="15" t="s">
        <v>362</v>
      </c>
      <c r="B20" s="17" t="n">
        <v>3371</v>
      </c>
      <c r="C20" s="18">
        <f>(2953.0/B20*100)</f>
        <v/>
      </c>
      <c r="D20" s="19" t="n">
        <v>418</v>
      </c>
      <c r="E20" s="18" t="n">
        <v>64.54617328</v>
      </c>
      <c r="F20" s="20" t="n">
        <v>2.17480142</v>
      </c>
      <c r="G20" s="18" t="n">
        <v>20.88881838</v>
      </c>
      <c r="H20" s="20" t="n">
        <v>1.94904495</v>
      </c>
      <c r="I20" s="18" t="s">
        <v>349</v>
      </c>
      <c r="J20" s="20" t="s">
        <v>349</v>
      </c>
      <c r="K20" s="18" t="n">
        <v>1.87070966</v>
      </c>
      <c r="L20" s="20" t="n">
        <v>0.6595313</v>
      </c>
      <c r="M20" s="18" t="n">
        <v>0</v>
      </c>
      <c r="N20" s="20" t="n">
        <v>0</v>
      </c>
      <c r="O20" s="18" t="n">
        <v>0</v>
      </c>
      <c r="P20" s="20" t="n">
        <v>0</v>
      </c>
      <c r="Q20" s="18" t="n">
        <v>12.69429867</v>
      </c>
      <c r="R20" s="20" t="n">
        <v>1.71027298</v>
      </c>
    </row>
    <row r="21" spans="1:18">
      <c r="A21" s="15" t="s">
        <v>363</v>
      </c>
      <c r="B21" s="17" t="n">
        <v>5741</v>
      </c>
      <c r="C21" s="18">
        <f>(4801.0/B21*100)</f>
        <v/>
      </c>
      <c r="D21" s="19" t="n">
        <v>940</v>
      </c>
      <c r="E21" s="18" t="n">
        <v>57.79801906</v>
      </c>
      <c r="F21" s="20" t="n">
        <v>1.53032391</v>
      </c>
      <c r="G21" s="18" t="n">
        <v>32.82668134</v>
      </c>
      <c r="H21" s="20" t="n">
        <v>1.56465837</v>
      </c>
      <c r="I21" s="18" t="s">
        <v>349</v>
      </c>
      <c r="J21" s="20" t="s">
        <v>349</v>
      </c>
      <c r="K21" s="18" t="n">
        <v>0.74184598</v>
      </c>
      <c r="L21" s="20" t="n">
        <v>0.31630248</v>
      </c>
      <c r="M21" s="18" t="n">
        <v>0</v>
      </c>
      <c r="N21" s="20" t="n">
        <v>0</v>
      </c>
      <c r="O21" s="18" t="n">
        <v>0</v>
      </c>
      <c r="P21" s="20" t="n">
        <v>0</v>
      </c>
      <c r="Q21" s="18" t="n">
        <v>8.633453619999999</v>
      </c>
      <c r="R21" s="20" t="n">
        <v>0.808365</v>
      </c>
    </row>
    <row r="22" spans="1:18">
      <c r="A22" s="15" t="s">
        <v>364</v>
      </c>
      <c r="B22" s="17" t="n">
        <v>6598</v>
      </c>
      <c r="C22" s="18">
        <f>(5761.0/B22*100)</f>
        <v/>
      </c>
      <c r="D22" s="19" t="n">
        <v>837</v>
      </c>
      <c r="E22" s="18" t="n">
        <v>65.38089687</v>
      </c>
      <c r="F22" s="20" t="n">
        <v>1.61913638</v>
      </c>
      <c r="G22" s="18" t="n">
        <v>16.19928601</v>
      </c>
      <c r="H22" s="20" t="n">
        <v>1.26792307</v>
      </c>
      <c r="I22" s="18" t="s">
        <v>349</v>
      </c>
      <c r="J22" s="20" t="s">
        <v>349</v>
      </c>
      <c r="K22" s="18" t="n">
        <v>1.67876368</v>
      </c>
      <c r="L22" s="20" t="n">
        <v>0.44741764</v>
      </c>
      <c r="M22" s="18" t="n">
        <v>0</v>
      </c>
      <c r="N22" s="20" t="n">
        <v>0</v>
      </c>
      <c r="O22" s="18" t="n">
        <v>0</v>
      </c>
      <c r="P22" s="20" t="n">
        <v>0</v>
      </c>
      <c r="Q22" s="18" t="n">
        <v>16.74105344</v>
      </c>
      <c r="R22" s="20" t="n">
        <v>1.28887761</v>
      </c>
    </row>
    <row r="23" spans="1:18">
      <c r="A23" s="15" t="s">
        <v>365</v>
      </c>
      <c r="B23" s="17" t="n">
        <v>11583</v>
      </c>
      <c r="C23" s="18">
        <f>(10174.0/B23*100)</f>
        <v/>
      </c>
      <c r="D23" s="19" t="n">
        <v>1409</v>
      </c>
      <c r="E23" s="18" t="n">
        <v>66.04619278</v>
      </c>
      <c r="F23" s="20" t="n">
        <v>1.93063745</v>
      </c>
      <c r="G23" s="18" t="n">
        <v>17.45291751</v>
      </c>
      <c r="H23" s="20" t="n">
        <v>1.68186907</v>
      </c>
      <c r="I23" s="18" t="s">
        <v>349</v>
      </c>
      <c r="J23" s="20" t="s">
        <v>349</v>
      </c>
      <c r="K23" s="18" t="n">
        <v>1.33337968</v>
      </c>
      <c r="L23" s="20" t="n">
        <v>0.39274949</v>
      </c>
      <c r="M23" s="18" t="n">
        <v>0</v>
      </c>
      <c r="N23" s="20" t="n">
        <v>0</v>
      </c>
      <c r="O23" s="18" t="n">
        <v>0</v>
      </c>
      <c r="P23" s="20" t="n">
        <v>0</v>
      </c>
      <c r="Q23" s="18" t="n">
        <v>15.16751002</v>
      </c>
      <c r="R23" s="20" t="n">
        <v>1.3967078</v>
      </c>
    </row>
    <row r="24" spans="1:18">
      <c r="A24" s="15" t="s">
        <v>366</v>
      </c>
      <c r="B24" s="17" t="n">
        <v>6647</v>
      </c>
      <c r="C24" s="18">
        <f>(5848.0/B24*100)</f>
        <v/>
      </c>
      <c r="D24" s="19" t="n">
        <v>799</v>
      </c>
      <c r="E24" s="18" t="n">
        <v>55.49508266</v>
      </c>
      <c r="F24" s="20" t="n">
        <v>1.95873671</v>
      </c>
      <c r="G24" s="18" t="n">
        <v>27.16986995</v>
      </c>
      <c r="H24" s="20" t="n">
        <v>1.6416406</v>
      </c>
      <c r="I24" s="18" t="s">
        <v>349</v>
      </c>
      <c r="J24" s="20" t="s">
        <v>349</v>
      </c>
      <c r="K24" s="18" t="n">
        <v>0.54844974</v>
      </c>
      <c r="L24" s="20" t="n">
        <v>0.24880064</v>
      </c>
      <c r="M24" s="18" t="n">
        <v>0</v>
      </c>
      <c r="N24" s="20" t="n">
        <v>0</v>
      </c>
      <c r="O24" s="18" t="n">
        <v>0</v>
      </c>
      <c r="P24" s="20" t="n">
        <v>0</v>
      </c>
      <c r="Q24" s="18" t="n">
        <v>16.78659765</v>
      </c>
      <c r="R24" s="20" t="n">
        <v>1.3242338</v>
      </c>
    </row>
    <row r="25" spans="1:18">
      <c r="A25" s="15" t="s">
        <v>367</v>
      </c>
      <c r="B25" s="17" t="n">
        <v>5581</v>
      </c>
      <c r="C25" s="18">
        <f>(4903.0/B25*100)</f>
        <v/>
      </c>
      <c r="D25" s="19" t="n">
        <v>678</v>
      </c>
      <c r="E25" s="18" t="n">
        <v>58.64291228</v>
      </c>
      <c r="F25" s="20" t="n">
        <v>1.86057063</v>
      </c>
      <c r="G25" s="18" t="n">
        <v>27.5293322</v>
      </c>
      <c r="H25" s="20" t="n">
        <v>1.88067232</v>
      </c>
      <c r="I25" s="18" t="s">
        <v>349</v>
      </c>
      <c r="J25" s="20" t="s">
        <v>349</v>
      </c>
      <c r="K25" s="18" t="n">
        <v>0.29568168</v>
      </c>
      <c r="L25" s="20" t="n">
        <v>0.20984062</v>
      </c>
      <c r="M25" s="18" t="n">
        <v>0</v>
      </c>
      <c r="N25" s="20" t="n">
        <v>0</v>
      </c>
      <c r="O25" s="18" t="n">
        <v>0</v>
      </c>
      <c r="P25" s="20" t="n">
        <v>0</v>
      </c>
      <c r="Q25" s="18" t="n">
        <v>13.53207385</v>
      </c>
      <c r="R25" s="20" t="n">
        <v>1.55378521</v>
      </c>
    </row>
    <row r="26" spans="1:18">
      <c r="A26" s="15" t="s">
        <v>368</v>
      </c>
      <c r="B26" s="17" t="n">
        <v>4869</v>
      </c>
      <c r="C26" s="18">
        <f>(4270.0/B26*100)</f>
        <v/>
      </c>
      <c r="D26" s="19" t="n">
        <v>599</v>
      </c>
      <c r="E26" s="18" t="n">
        <v>70.96007407</v>
      </c>
      <c r="F26" s="20" t="n">
        <v>1.9173695</v>
      </c>
      <c r="G26" s="18" t="n">
        <v>19.18982334</v>
      </c>
      <c r="H26" s="20" t="n">
        <v>1.72544938</v>
      </c>
      <c r="I26" s="18" t="s">
        <v>349</v>
      </c>
      <c r="J26" s="20" t="s">
        <v>349</v>
      </c>
      <c r="K26" s="18" t="n">
        <v>0.27193139</v>
      </c>
      <c r="L26" s="20" t="n">
        <v>0.1881829</v>
      </c>
      <c r="M26" s="18" t="n">
        <v>0</v>
      </c>
      <c r="N26" s="20" t="n">
        <v>0</v>
      </c>
      <c r="O26" s="18" t="n">
        <v>0</v>
      </c>
      <c r="P26" s="20" t="n">
        <v>0</v>
      </c>
      <c r="Q26" s="18" t="n">
        <v>9.578171190000001</v>
      </c>
      <c r="R26" s="20" t="n">
        <v>1.29509076</v>
      </c>
    </row>
    <row r="27" spans="1:18">
      <c r="A27" s="15" t="s">
        <v>369</v>
      </c>
      <c r="B27" s="17" t="n">
        <v>5299</v>
      </c>
      <c r="C27" s="18">
        <f>(4648.0/B27*100)</f>
        <v/>
      </c>
      <c r="D27" s="19" t="n">
        <v>651</v>
      </c>
      <c r="E27" s="18" t="n">
        <v>55.43420922</v>
      </c>
      <c r="F27" s="20" t="n">
        <v>2.01083947</v>
      </c>
      <c r="G27" s="18" t="n">
        <v>29.29421652</v>
      </c>
      <c r="H27" s="20" t="n">
        <v>1.76793298</v>
      </c>
      <c r="I27" s="18" t="s">
        <v>349</v>
      </c>
      <c r="J27" s="20" t="s">
        <v>349</v>
      </c>
      <c r="K27" s="18" t="n">
        <v>0.77367579</v>
      </c>
      <c r="L27" s="20" t="n">
        <v>0.3451978</v>
      </c>
      <c r="M27" s="18" t="n">
        <v>0</v>
      </c>
      <c r="N27" s="20" t="n">
        <v>0</v>
      </c>
      <c r="O27" s="18" t="n">
        <v>0</v>
      </c>
      <c r="P27" s="20" t="n">
        <v>0</v>
      </c>
      <c r="Q27" s="18" t="n">
        <v>14.49789846</v>
      </c>
      <c r="R27" s="20" t="n">
        <v>1.29554386</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57.61575057</v>
      </c>
      <c r="F29" s="20" t="n">
        <v>1.86680039</v>
      </c>
      <c r="G29" s="18" t="n">
        <v>30.50813012</v>
      </c>
      <c r="H29" s="20" t="n">
        <v>1.646895</v>
      </c>
      <c r="I29" s="18" t="s">
        <v>349</v>
      </c>
      <c r="J29" s="20" t="s">
        <v>349</v>
      </c>
      <c r="K29" s="18" t="n">
        <v>0.7479467400000001</v>
      </c>
      <c r="L29" s="20" t="n">
        <v>0.33025805</v>
      </c>
      <c r="M29" s="18" t="n">
        <v>0</v>
      </c>
      <c r="N29" s="20" t="n">
        <v>0</v>
      </c>
      <c r="O29" s="18" t="n">
        <v>0</v>
      </c>
      <c r="P29" s="20" t="n">
        <v>0</v>
      </c>
      <c r="Q29" s="18" t="n">
        <v>11.12817258</v>
      </c>
      <c r="R29" s="20" t="n">
        <v>1.0855486</v>
      </c>
    </row>
    <row r="30" spans="1:18">
      <c r="A30" s="15" t="s">
        <v>372</v>
      </c>
      <c r="B30" s="17" t="n">
        <v>4520</v>
      </c>
      <c r="C30" s="18">
        <f>(3987.0/B30*100)</f>
        <v/>
      </c>
      <c r="D30" s="19" t="n">
        <v>533</v>
      </c>
      <c r="E30" s="18" t="n">
        <v>57.56725971</v>
      </c>
      <c r="F30" s="20" t="n">
        <v>2.17061459</v>
      </c>
      <c r="G30" s="18" t="n">
        <v>27.3029161</v>
      </c>
      <c r="H30" s="20" t="n">
        <v>1.98520905</v>
      </c>
      <c r="I30" s="18" t="s">
        <v>349</v>
      </c>
      <c r="J30" s="20" t="s">
        <v>349</v>
      </c>
      <c r="K30" s="18" t="n">
        <v>1.0939424</v>
      </c>
      <c r="L30" s="20" t="n">
        <v>0.41867749</v>
      </c>
      <c r="M30" s="18" t="n">
        <v>0</v>
      </c>
      <c r="N30" s="20" t="n">
        <v>0</v>
      </c>
      <c r="O30" s="18" t="n">
        <v>0</v>
      </c>
      <c r="P30" s="20" t="n">
        <v>0</v>
      </c>
      <c r="Q30" s="18" t="n">
        <v>14.03588178</v>
      </c>
      <c r="R30" s="20" t="n">
        <v>1.54890622</v>
      </c>
    </row>
    <row r="31" spans="1:18">
      <c r="A31" s="15" t="s">
        <v>373</v>
      </c>
      <c r="B31" s="17" t="n">
        <v>5456</v>
      </c>
      <c r="C31" s="18">
        <f>(4756.0/B31*100)</f>
        <v/>
      </c>
      <c r="D31" s="19" t="n">
        <v>700</v>
      </c>
      <c r="E31" s="18" t="n">
        <v>57.88005536</v>
      </c>
      <c r="F31" s="20" t="n">
        <v>1.75706179</v>
      </c>
      <c r="G31" s="18" t="n">
        <v>22.57287543</v>
      </c>
      <c r="H31" s="20" t="n">
        <v>1.63484894</v>
      </c>
      <c r="I31" s="18" t="s">
        <v>349</v>
      </c>
      <c r="J31" s="20" t="s">
        <v>349</v>
      </c>
      <c r="K31" s="18" t="n">
        <v>1.27811378</v>
      </c>
      <c r="L31" s="20" t="n">
        <v>0.37539048</v>
      </c>
      <c r="M31" s="18" t="n">
        <v>0</v>
      </c>
      <c r="N31" s="20" t="n">
        <v>0</v>
      </c>
      <c r="O31" s="18" t="n">
        <v>0</v>
      </c>
      <c r="P31" s="20" t="n">
        <v>0</v>
      </c>
      <c r="Q31" s="18" t="n">
        <v>18.26895544</v>
      </c>
      <c r="R31" s="20" t="n">
        <v>1.61263825</v>
      </c>
    </row>
    <row r="32" spans="1:18">
      <c r="A32" s="15" t="s">
        <v>374</v>
      </c>
      <c r="B32" s="17" t="n">
        <v>4478</v>
      </c>
      <c r="C32" s="18">
        <f>(3726.0/B32*100)</f>
        <v/>
      </c>
      <c r="D32" s="19" t="n">
        <v>752</v>
      </c>
      <c r="E32" s="18" t="n">
        <v>64.89747794</v>
      </c>
      <c r="F32" s="20" t="n">
        <v>1.97306523</v>
      </c>
      <c r="G32" s="18" t="n">
        <v>22.06204712</v>
      </c>
      <c r="H32" s="20" t="n">
        <v>1.59706698</v>
      </c>
      <c r="I32" s="18" t="s">
        <v>349</v>
      </c>
      <c r="J32" s="20" t="s">
        <v>349</v>
      </c>
      <c r="K32" s="18" t="n">
        <v>0.65869403</v>
      </c>
      <c r="L32" s="20" t="n">
        <v>0.28746409</v>
      </c>
      <c r="M32" s="18" t="n">
        <v>0</v>
      </c>
      <c r="N32" s="20" t="n">
        <v>0</v>
      </c>
      <c r="O32" s="18" t="n">
        <v>0</v>
      </c>
      <c r="P32" s="20" t="n">
        <v>0</v>
      </c>
      <c r="Q32" s="18" t="n">
        <v>12.38178091</v>
      </c>
      <c r="R32" s="20" t="n">
        <v>1.36169366</v>
      </c>
    </row>
    <row r="33" spans="1:18">
      <c r="A33" s="15" t="s">
        <v>375</v>
      </c>
      <c r="B33" s="17" t="n">
        <v>7325</v>
      </c>
      <c r="C33" s="18">
        <f>(6444.0/B33*100)</f>
        <v/>
      </c>
      <c r="D33" s="19" t="n">
        <v>881</v>
      </c>
      <c r="E33" s="18" t="n">
        <v>58.68486986</v>
      </c>
      <c r="F33" s="20" t="n">
        <v>1.78078607</v>
      </c>
      <c r="G33" s="18" t="n">
        <v>26.01781837</v>
      </c>
      <c r="H33" s="20" t="n">
        <v>2.20666765</v>
      </c>
      <c r="I33" s="18" t="s">
        <v>349</v>
      </c>
      <c r="J33" s="20" t="s">
        <v>349</v>
      </c>
      <c r="K33" s="18" t="n">
        <v>1.18681621</v>
      </c>
      <c r="L33" s="20" t="n">
        <v>0.46288448</v>
      </c>
      <c r="M33" s="18" t="n">
        <v>0</v>
      </c>
      <c r="N33" s="20" t="n">
        <v>0</v>
      </c>
      <c r="O33" s="18" t="n">
        <v>0</v>
      </c>
      <c r="P33" s="20" t="n">
        <v>0</v>
      </c>
      <c r="Q33" s="18" t="n">
        <v>14.11049557</v>
      </c>
      <c r="R33" s="20" t="n">
        <v>1.70965784</v>
      </c>
    </row>
    <row r="34" spans="1:18">
      <c r="A34" s="15" t="s">
        <v>376</v>
      </c>
      <c r="B34" s="17" t="n">
        <v>6350</v>
      </c>
      <c r="C34" s="18">
        <f>(5585.0/B34*100)</f>
        <v/>
      </c>
      <c r="D34" s="19" t="n">
        <v>765</v>
      </c>
      <c r="E34" s="18" t="n">
        <v>62.47019354</v>
      </c>
      <c r="F34" s="20" t="n">
        <v>2.11017819</v>
      </c>
      <c r="G34" s="18" t="n">
        <v>30.56646133</v>
      </c>
      <c r="H34" s="20" t="n">
        <v>2.08428481</v>
      </c>
      <c r="I34" s="18" t="s">
        <v>349</v>
      </c>
      <c r="J34" s="20" t="s">
        <v>349</v>
      </c>
      <c r="K34" s="18" t="n">
        <v>0.50188221</v>
      </c>
      <c r="L34" s="20" t="n">
        <v>0.30896735</v>
      </c>
      <c r="M34" s="18" t="n">
        <v>0</v>
      </c>
      <c r="N34" s="20" t="n">
        <v>0</v>
      </c>
      <c r="O34" s="18" t="n">
        <v>0</v>
      </c>
      <c r="P34" s="20" t="n">
        <v>0</v>
      </c>
      <c r="Q34" s="18" t="n">
        <v>6.46146292</v>
      </c>
      <c r="R34" s="20" t="n">
        <v>0.79522556</v>
      </c>
    </row>
    <row r="35" spans="1:18">
      <c r="A35" s="15" t="s">
        <v>377</v>
      </c>
      <c r="B35" s="17" t="n">
        <v>6406</v>
      </c>
      <c r="C35" s="18">
        <f>(5607.0/B35*100)</f>
        <v/>
      </c>
      <c r="D35" s="19" t="n">
        <v>799</v>
      </c>
      <c r="E35" s="18" t="n">
        <v>57.20919322</v>
      </c>
      <c r="F35" s="20" t="n">
        <v>2.32407319</v>
      </c>
      <c r="G35" s="18" t="n">
        <v>30.06764611</v>
      </c>
      <c r="H35" s="20" t="n">
        <v>1.94189454</v>
      </c>
      <c r="I35" s="18" t="s">
        <v>349</v>
      </c>
      <c r="J35" s="20" t="s">
        <v>349</v>
      </c>
      <c r="K35" s="18" t="n">
        <v>0.33531526</v>
      </c>
      <c r="L35" s="20" t="n">
        <v>0.16285378</v>
      </c>
      <c r="M35" s="18" t="n">
        <v>0</v>
      </c>
      <c r="N35" s="20" t="n">
        <v>0</v>
      </c>
      <c r="O35" s="18" t="n">
        <v>0</v>
      </c>
      <c r="P35" s="20" t="n">
        <v>0</v>
      </c>
      <c r="Q35" s="18" t="n">
        <v>12.38784541</v>
      </c>
      <c r="R35" s="20" t="n">
        <v>1.42614281</v>
      </c>
    </row>
    <row r="36" spans="1:18">
      <c r="A36" s="15" t="s">
        <v>378</v>
      </c>
      <c r="B36" s="17" t="n">
        <v>6736</v>
      </c>
      <c r="C36" s="18">
        <f>(5918.0/B36*100)</f>
        <v/>
      </c>
      <c r="D36" s="19" t="n">
        <v>818</v>
      </c>
      <c r="E36" s="18" t="n">
        <v>66.44248195</v>
      </c>
      <c r="F36" s="20" t="n">
        <v>1.71691639</v>
      </c>
      <c r="G36" s="18" t="n">
        <v>20.22475026</v>
      </c>
      <c r="H36" s="20" t="n">
        <v>1.46138045</v>
      </c>
      <c r="I36" s="18" t="s">
        <v>349</v>
      </c>
      <c r="J36" s="20" t="s">
        <v>349</v>
      </c>
      <c r="K36" s="18" t="n">
        <v>0.82832074</v>
      </c>
      <c r="L36" s="20" t="n">
        <v>0.32279589</v>
      </c>
      <c r="M36" s="18" t="n">
        <v>0</v>
      </c>
      <c r="N36" s="20" t="n">
        <v>0</v>
      </c>
      <c r="O36" s="18" t="n">
        <v>0</v>
      </c>
      <c r="P36" s="20" t="n">
        <v>0</v>
      </c>
      <c r="Q36" s="18" t="n">
        <v>12.50444705</v>
      </c>
      <c r="R36" s="20" t="n">
        <v>1.23540689</v>
      </c>
    </row>
    <row r="37" spans="1:18">
      <c r="A37" s="15" t="s">
        <v>379</v>
      </c>
      <c r="B37" s="17" t="n">
        <v>5458</v>
      </c>
      <c r="C37" s="18">
        <f>(4802.0/B37*100)</f>
        <v/>
      </c>
      <c r="D37" s="19" t="n">
        <v>656</v>
      </c>
      <c r="E37" s="18" t="n">
        <v>55.61889944</v>
      </c>
      <c r="F37" s="20" t="n">
        <v>2.13384051</v>
      </c>
      <c r="G37" s="18" t="n">
        <v>18.65372585</v>
      </c>
      <c r="H37" s="20" t="n">
        <v>1.64671841</v>
      </c>
      <c r="I37" s="18" t="s">
        <v>349</v>
      </c>
      <c r="J37" s="20" t="s">
        <v>349</v>
      </c>
      <c r="K37" s="18" t="n">
        <v>3.2802036</v>
      </c>
      <c r="L37" s="20" t="n">
        <v>0.79701563</v>
      </c>
      <c r="M37" s="18" t="n">
        <v>0</v>
      </c>
      <c r="N37" s="20" t="n">
        <v>0</v>
      </c>
      <c r="O37" s="18" t="n">
        <v>0</v>
      </c>
      <c r="P37" s="20" t="n">
        <v>0</v>
      </c>
      <c r="Q37" s="18" t="n">
        <v>22.44717112</v>
      </c>
      <c r="R37" s="20" t="n">
        <v>2.00853916</v>
      </c>
    </row>
    <row r="38" spans="1:18">
      <c r="A38" s="15" t="s">
        <v>380</v>
      </c>
      <c r="B38" s="17" t="n">
        <v>5860</v>
      </c>
      <c r="C38" s="18">
        <f>(4908.0/B38*100)</f>
        <v/>
      </c>
      <c r="D38" s="19" t="n">
        <v>952</v>
      </c>
      <c r="E38" s="18" t="n">
        <v>53.54554621</v>
      </c>
      <c r="F38" s="20" t="n">
        <v>2.21751405</v>
      </c>
      <c r="G38" s="18" t="n">
        <v>34.89953519</v>
      </c>
      <c r="H38" s="20" t="n">
        <v>2.23355543</v>
      </c>
      <c r="I38" s="18" t="s">
        <v>349</v>
      </c>
      <c r="J38" s="20" t="s">
        <v>349</v>
      </c>
      <c r="K38" s="18" t="n">
        <v>0.83963219</v>
      </c>
      <c r="L38" s="20" t="n">
        <v>0.29940295</v>
      </c>
      <c r="M38" s="18" t="n">
        <v>0</v>
      </c>
      <c r="N38" s="20" t="n">
        <v>0</v>
      </c>
      <c r="O38" s="18" t="n">
        <v>0</v>
      </c>
      <c r="P38" s="20" t="n">
        <v>0</v>
      </c>
      <c r="Q38" s="18" t="n">
        <v>10.71528641</v>
      </c>
      <c r="R38" s="20" t="n">
        <v>1.19270923</v>
      </c>
    </row>
    <row r="39" spans="1:18">
      <c r="A39" s="15" t="s">
        <v>381</v>
      </c>
      <c r="B39" s="17" t="n">
        <v>5895</v>
      </c>
      <c r="C39" s="18">
        <f>(5147.0/B39*100)</f>
        <v/>
      </c>
      <c r="D39" s="19" t="n">
        <v>748</v>
      </c>
      <c r="E39" s="18" t="n">
        <v>77.81822535000001</v>
      </c>
      <c r="F39" s="20" t="n">
        <v>1.69164823</v>
      </c>
      <c r="G39" s="18" t="n">
        <v>3.67862312</v>
      </c>
      <c r="H39" s="20" t="n">
        <v>0.7909017</v>
      </c>
      <c r="I39" s="18" t="s">
        <v>349</v>
      </c>
      <c r="J39" s="20" t="s">
        <v>349</v>
      </c>
      <c r="K39" s="18" t="n">
        <v>0.38375257</v>
      </c>
      <c r="L39" s="20" t="n">
        <v>0.23374679</v>
      </c>
      <c r="M39" s="18" t="n">
        <v>0</v>
      </c>
      <c r="N39" s="20" t="n">
        <v>0</v>
      </c>
      <c r="O39" s="18" t="n">
        <v>0</v>
      </c>
      <c r="P39" s="20" t="n">
        <v>0</v>
      </c>
      <c r="Q39" s="18" t="n">
        <v>18.11939895</v>
      </c>
      <c r="R39" s="20" t="n">
        <v>1.54816465</v>
      </c>
    </row>
    <row r="40" spans="1:18">
      <c r="A40" s="15" t="s">
        <v>382</v>
      </c>
      <c r="B40" s="17" t="n">
        <v>14157</v>
      </c>
      <c r="C40" s="18">
        <f>(12383.0/B40*100)</f>
        <v/>
      </c>
      <c r="D40" s="19" t="n">
        <v>1774</v>
      </c>
      <c r="E40" s="18" t="n">
        <v>53.21203012</v>
      </c>
      <c r="F40" s="20" t="n">
        <v>1.87041031</v>
      </c>
      <c r="G40" s="18" t="n">
        <v>32.27983094</v>
      </c>
      <c r="H40" s="20" t="n">
        <v>1.77407885</v>
      </c>
      <c r="I40" s="18" t="s">
        <v>349</v>
      </c>
      <c r="J40" s="20" t="s">
        <v>349</v>
      </c>
      <c r="K40" s="18" t="n">
        <v>0.76180796</v>
      </c>
      <c r="L40" s="20" t="n">
        <v>0.30098719</v>
      </c>
      <c r="M40" s="18" t="n">
        <v>0</v>
      </c>
      <c r="N40" s="20" t="n">
        <v>0</v>
      </c>
      <c r="O40" s="18" t="n">
        <v>0</v>
      </c>
      <c r="P40" s="20" t="n">
        <v>0</v>
      </c>
      <c r="Q40" s="18" t="n">
        <v>13.74633098</v>
      </c>
      <c r="R40" s="20" t="n">
        <v>1.23522989</v>
      </c>
    </row>
    <row r="41" spans="1:18">
      <c r="A41" s="15" t="s">
        <v>383</v>
      </c>
      <c r="B41" s="17" t="n">
        <v>5712</v>
      </c>
      <c r="C41" s="18">
        <f>(5029.0/B41*100)</f>
        <v/>
      </c>
      <c r="D41" s="19" t="n">
        <v>683</v>
      </c>
      <c r="E41" s="18" t="n">
        <v>69.04325498999999</v>
      </c>
      <c r="F41" s="20" t="n">
        <v>1.95186926</v>
      </c>
      <c r="G41" s="18" t="n">
        <v>26.13793708</v>
      </c>
      <c r="H41" s="20" t="n">
        <v>1.94519792</v>
      </c>
      <c r="I41" s="18" t="s">
        <v>349</v>
      </c>
      <c r="J41" s="20" t="s">
        <v>349</v>
      </c>
      <c r="K41" s="18" t="n">
        <v>0</v>
      </c>
      <c r="L41" s="20" t="n">
        <v>0</v>
      </c>
      <c r="M41" s="18" t="n">
        <v>0</v>
      </c>
      <c r="N41" s="20" t="n">
        <v>0</v>
      </c>
      <c r="O41" s="18" t="n">
        <v>0</v>
      </c>
      <c r="P41" s="20" t="n">
        <v>0</v>
      </c>
      <c r="Q41" s="18" t="n">
        <v>4.81880794</v>
      </c>
      <c r="R41" s="20" t="n">
        <v>0.93626814</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(8620.0/B48*100)</f>
        <v/>
      </c>
      <c r="D48" s="19" t="n">
        <v>1221</v>
      </c>
      <c r="E48" s="18" t="n">
        <v>66.10976053</v>
      </c>
      <c r="F48" s="20" t="n">
        <v>2.04892457</v>
      </c>
      <c r="G48" s="18" t="n">
        <v>29.73796303</v>
      </c>
      <c r="H48" s="20" t="n">
        <v>2.1689592</v>
      </c>
      <c r="I48" s="18" t="s">
        <v>349</v>
      </c>
      <c r="J48" s="20" t="s">
        <v>349</v>
      </c>
      <c r="K48" s="18" t="n">
        <v>0.29613209</v>
      </c>
      <c r="L48" s="20" t="n">
        <v>0.18947695</v>
      </c>
      <c r="M48" s="18" t="n">
        <v>0</v>
      </c>
      <c r="N48" s="20" t="n">
        <v>0</v>
      </c>
      <c r="O48" s="18" t="n">
        <v>0</v>
      </c>
      <c r="P48" s="20" t="n">
        <v>0</v>
      </c>
      <c r="Q48" s="18" t="n">
        <v>3.85614435</v>
      </c>
      <c r="R48" s="20" t="n">
        <v>0.71487429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(5089.0/B52*100)</f>
        <v/>
      </c>
      <c r="D52" s="19" t="n">
        <v>720</v>
      </c>
      <c r="E52" s="18" t="n">
        <v>62.9516237</v>
      </c>
      <c r="F52" s="20" t="n">
        <v>1.91739138</v>
      </c>
      <c r="G52" s="18" t="n">
        <v>20.05853317</v>
      </c>
      <c r="H52" s="20" t="n">
        <v>1.99566804</v>
      </c>
      <c r="I52" s="18" t="s">
        <v>349</v>
      </c>
      <c r="J52" s="20" t="s">
        <v>349</v>
      </c>
      <c r="K52" s="18" t="n">
        <v>1.20861696</v>
      </c>
      <c r="L52" s="20" t="n">
        <v>0.3997021</v>
      </c>
      <c r="M52" s="18" t="n">
        <v>0</v>
      </c>
      <c r="N52" s="20" t="n">
        <v>0</v>
      </c>
      <c r="O52" s="18" t="n">
        <v>0</v>
      </c>
      <c r="P52" s="20" t="n">
        <v>0</v>
      </c>
      <c r="Q52" s="18" t="n">
        <v>15.78122618</v>
      </c>
      <c r="R52" s="20" t="n">
        <v>1.20507638</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55.7906206</v>
      </c>
      <c r="F56" s="20" t="n">
        <v>1.98354317</v>
      </c>
      <c r="G56" s="18" t="n">
        <v>40.35821589</v>
      </c>
      <c r="H56" s="20" t="n">
        <v>2.03872838</v>
      </c>
      <c r="I56" s="18" t="s">
        <v>349</v>
      </c>
      <c r="J56" s="20" t="s">
        <v>349</v>
      </c>
      <c r="K56" s="18" t="n">
        <v>0.27646964</v>
      </c>
      <c r="L56" s="20" t="n">
        <v>0.30854574</v>
      </c>
      <c r="M56" s="18" t="n">
        <v>0</v>
      </c>
      <c r="N56" s="20" t="n">
        <v>0</v>
      </c>
      <c r="O56" s="18" t="n">
        <v>0</v>
      </c>
      <c r="P56" s="20" t="n">
        <v>0</v>
      </c>
      <c r="Q56" s="18" t="n">
        <v>3.57469387</v>
      </c>
      <c r="R56" s="20" t="n">
        <v>0.70211954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(5709.0/B61*100)</f>
        <v/>
      </c>
      <c r="D61" s="19" t="n">
        <v>816</v>
      </c>
      <c r="E61" s="18" t="n">
        <v>71.65700868</v>
      </c>
      <c r="F61" s="20" t="n">
        <v>1.8827995</v>
      </c>
      <c r="G61" s="18" t="n">
        <v>17.32621432</v>
      </c>
      <c r="H61" s="20" t="n">
        <v>1.48607323</v>
      </c>
      <c r="I61" s="18" t="s">
        <v>349</v>
      </c>
      <c r="J61" s="20" t="s">
        <v>349</v>
      </c>
      <c r="K61" s="18" t="n">
        <v>0.64384796</v>
      </c>
      <c r="L61" s="20" t="n">
        <v>0.30616001</v>
      </c>
      <c r="M61" s="18" t="n">
        <v>0</v>
      </c>
      <c r="N61" s="20" t="n">
        <v>0</v>
      </c>
      <c r="O61" s="18" t="n">
        <v>0</v>
      </c>
      <c r="P61" s="20" t="n">
        <v>0</v>
      </c>
      <c r="Q61" s="18" t="n">
        <v>10.37292905</v>
      </c>
      <c r="R61" s="20" t="n">
        <v>1.18123571</v>
      </c>
    </row>
    <row r="62" spans="1:18">
      <c r="A62" s="15" t="s">
        <v>404</v>
      </c>
      <c r="B62" s="17" t="n">
        <v>4476</v>
      </c>
      <c r="C62" s="18">
        <f>(3919.0/B62*100)</f>
        <v/>
      </c>
      <c r="D62" s="19" t="n">
        <v>557</v>
      </c>
      <c r="E62" s="18" t="n">
        <v>61.65862578</v>
      </c>
      <c r="F62" s="20" t="n">
        <v>2.08573822</v>
      </c>
      <c r="G62" s="18" t="n">
        <v>35.99781494</v>
      </c>
      <c r="H62" s="20" t="n">
        <v>2.06954961</v>
      </c>
      <c r="I62" s="18" t="s">
        <v>349</v>
      </c>
      <c r="J62" s="20" t="s">
        <v>349</v>
      </c>
      <c r="K62" s="18" t="n">
        <v>0</v>
      </c>
      <c r="L62" s="20" t="n">
        <v>0</v>
      </c>
      <c r="M62" s="18" t="n">
        <v>0</v>
      </c>
      <c r="N62" s="20" t="n">
        <v>0</v>
      </c>
      <c r="O62" s="18" t="n">
        <v>0</v>
      </c>
      <c r="P62" s="20" t="n">
        <v>0</v>
      </c>
      <c r="Q62" s="18" t="n">
        <v>2.34355928</v>
      </c>
      <c r="R62" s="20" t="n">
        <v>0.64346781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(4971.0/B66*100)</f>
        <v/>
      </c>
      <c r="D66" s="19" t="n">
        <v>694</v>
      </c>
      <c r="E66" s="18" t="n">
        <v>66.12137305</v>
      </c>
      <c r="F66" s="20" t="n">
        <v>1.75069805</v>
      </c>
      <c r="G66" s="18" t="n">
        <v>5.50103414</v>
      </c>
      <c r="H66" s="20" t="n">
        <v>0.95597199</v>
      </c>
      <c r="I66" s="18" t="s">
        <v>349</v>
      </c>
      <c r="J66" s="20" t="s">
        <v>349</v>
      </c>
      <c r="K66" s="18" t="n">
        <v>1.71849681</v>
      </c>
      <c r="L66" s="20" t="n">
        <v>0.49379922</v>
      </c>
      <c r="M66" s="18" t="n">
        <v>0</v>
      </c>
      <c r="N66" s="20" t="n">
        <v>0</v>
      </c>
      <c r="O66" s="18" t="n">
        <v>0</v>
      </c>
      <c r="P66" s="20" t="n">
        <v>0</v>
      </c>
      <c r="Q66" s="18" t="n">
        <v>26.659096</v>
      </c>
      <c r="R66" s="20" t="n">
        <v>1.9150184</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(10059.0/B68*100)</f>
        <v/>
      </c>
      <c r="D68" s="19" t="n">
        <v>2024</v>
      </c>
      <c r="E68" s="18" t="n">
        <v>72.47073997</v>
      </c>
      <c r="F68" s="20" t="n">
        <v>0.90942234</v>
      </c>
      <c r="G68" s="18" t="n">
        <v>10.55204336</v>
      </c>
      <c r="H68" s="20" t="n">
        <v>0.69671732</v>
      </c>
      <c r="I68" s="18" t="s">
        <v>349</v>
      </c>
      <c r="J68" s="20" t="s">
        <v>349</v>
      </c>
      <c r="K68" s="18" t="n">
        <v>2.72362057</v>
      </c>
      <c r="L68" s="20" t="n">
        <v>0.32396347</v>
      </c>
      <c r="M68" s="18" t="n">
        <v>0</v>
      </c>
      <c r="N68" s="20" t="n">
        <v>0</v>
      </c>
      <c r="O68" s="18" t="n">
        <v>0</v>
      </c>
      <c r="P68" s="20" t="n">
        <v>0</v>
      </c>
      <c r="Q68" s="18" t="n">
        <v>14.2535961</v>
      </c>
      <c r="R68" s="20" t="n">
        <v>0.7617262</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(5275.0/B70*100)</f>
        <v/>
      </c>
      <c r="D70" s="19" t="n">
        <v>761</v>
      </c>
      <c r="E70" s="18" t="n">
        <v>68.79569976000001</v>
      </c>
      <c r="F70" s="20" t="n">
        <v>1.97889657</v>
      </c>
      <c r="G70" s="18" t="n">
        <v>20.44147367</v>
      </c>
      <c r="H70" s="20" t="n">
        <v>1.48610341</v>
      </c>
      <c r="I70" s="18" t="s">
        <v>349</v>
      </c>
      <c r="J70" s="20" t="s">
        <v>349</v>
      </c>
      <c r="K70" s="18" t="n">
        <v>0.33102152</v>
      </c>
      <c r="L70" s="20" t="n">
        <v>0.19086133</v>
      </c>
      <c r="M70" s="18" t="n">
        <v>0</v>
      </c>
      <c r="N70" s="20" t="n">
        <v>0</v>
      </c>
      <c r="O70" s="18" t="n">
        <v>0</v>
      </c>
      <c r="P70" s="20" t="n">
        <v>0</v>
      </c>
      <c r="Q70" s="18" t="n">
        <v>10.43180505</v>
      </c>
      <c r="R70" s="20" t="n">
        <v>1.47638353</v>
      </c>
    </row>
    <row r="71" spans="1:18">
      <c r="A71" s="15" t="s">
        <v>413</v>
      </c>
      <c r="B71" s="17" t="n">
        <v>6115</v>
      </c>
      <c r="C71" s="18">
        <f>(5352.0/B71*100)</f>
        <v/>
      </c>
      <c r="D71" s="19" t="n">
        <v>763</v>
      </c>
      <c r="E71" s="18" t="n">
        <v>35.29563851</v>
      </c>
      <c r="F71" s="20" t="n">
        <v>1.75609484</v>
      </c>
      <c r="G71" s="18" t="n">
        <v>61.19005713</v>
      </c>
      <c r="H71" s="20" t="n">
        <v>1.72981886</v>
      </c>
      <c r="I71" s="18" t="s">
        <v>349</v>
      </c>
      <c r="J71" s="20" t="s">
        <v>349</v>
      </c>
      <c r="K71" s="18" t="n">
        <v>0.20529296</v>
      </c>
      <c r="L71" s="20" t="n">
        <v>0.14620143</v>
      </c>
      <c r="M71" s="18" t="n">
        <v>0</v>
      </c>
      <c r="N71" s="20" t="n">
        <v>0</v>
      </c>
      <c r="O71" s="18" t="n">
        <v>0</v>
      </c>
      <c r="P71" s="20" t="n">
        <v>0</v>
      </c>
      <c r="Q71" s="18" t="n">
        <v>3.3090114</v>
      </c>
      <c r="R71" s="20" t="n">
        <v>0.53488082</v>
      </c>
    </row>
    <row r="72" spans="1:18">
      <c r="A72" s="15" t="s">
        <v>414</v>
      </c>
      <c r="B72" s="17" t="n">
        <v>7708</v>
      </c>
      <c r="C72" s="18">
        <f>(6756.0/B72*100)</f>
        <v/>
      </c>
      <c r="D72" s="19" t="n">
        <v>952</v>
      </c>
      <c r="E72" s="18" t="n">
        <v>64.672071</v>
      </c>
      <c r="F72" s="20" t="n">
        <v>1.4729981</v>
      </c>
      <c r="G72" s="18" t="n">
        <v>29.7552788</v>
      </c>
      <c r="H72" s="20" t="n">
        <v>1.48363708</v>
      </c>
      <c r="I72" s="18" t="s">
        <v>349</v>
      </c>
      <c r="J72" s="20" t="s">
        <v>349</v>
      </c>
      <c r="K72" s="18" t="n">
        <v>0.247881</v>
      </c>
      <c r="L72" s="20" t="n">
        <v>0.16168085</v>
      </c>
      <c r="M72" s="18" t="n">
        <v>0</v>
      </c>
      <c r="N72" s="20" t="n">
        <v>0</v>
      </c>
      <c r="O72" s="18" t="n">
        <v>0</v>
      </c>
      <c r="P72" s="20" t="n">
        <v>0</v>
      </c>
      <c r="Q72" s="18" t="n">
        <v>5.3247692</v>
      </c>
      <c r="R72" s="20" t="n">
        <v>0.66896676</v>
      </c>
    </row>
    <row r="73" spans="1:18">
      <c r="A73" s="15" t="s">
        <v>415</v>
      </c>
      <c r="B73" s="17" t="n">
        <v>8249</v>
      </c>
      <c r="C73" s="18">
        <f>(7240.0/B73*100)</f>
        <v/>
      </c>
      <c r="D73" s="19" t="n">
        <v>1009</v>
      </c>
      <c r="E73" s="18" t="n">
        <v>87.72465567</v>
      </c>
      <c r="F73" s="20" t="n">
        <v>1.3971735</v>
      </c>
      <c r="G73" s="18" t="n">
        <v>7.60786587</v>
      </c>
      <c r="H73" s="20" t="n">
        <v>1.11014299</v>
      </c>
      <c r="I73" s="18" t="s">
        <v>349</v>
      </c>
      <c r="J73" s="20" t="s">
        <v>349</v>
      </c>
      <c r="K73" s="18" t="n">
        <v>0</v>
      </c>
      <c r="L73" s="20" t="n">
        <v>0</v>
      </c>
      <c r="M73" s="18" t="n">
        <v>0</v>
      </c>
      <c r="N73" s="20" t="n">
        <v>0</v>
      </c>
      <c r="O73" s="18" t="n">
        <v>0</v>
      </c>
      <c r="P73" s="20" t="n">
        <v>0</v>
      </c>
      <c r="Q73" s="18" t="n">
        <v>4.66747845</v>
      </c>
      <c r="R73" s="20" t="n">
        <v>0.90447852</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(7750.0/B81*100)</f>
        <v/>
      </c>
      <c r="D81" s="19" t="n">
        <v>1111</v>
      </c>
      <c r="E81" s="18" t="n">
        <v>78.7878724</v>
      </c>
      <c r="F81" s="20" t="n">
        <v>1.59364258</v>
      </c>
      <c r="G81" s="18" t="n">
        <v>17.46788397</v>
      </c>
      <c r="H81" s="20" t="n">
        <v>1.48970631</v>
      </c>
      <c r="I81" s="18" t="s">
        <v>349</v>
      </c>
      <c r="J81" s="20" t="s">
        <v>349</v>
      </c>
      <c r="K81" s="18" t="n">
        <v>0.009193649999999999</v>
      </c>
      <c r="L81" s="20" t="n">
        <v>0.31165357</v>
      </c>
      <c r="M81" s="18" t="n">
        <v>0</v>
      </c>
      <c r="N81" s="20" t="n">
        <v>0</v>
      </c>
      <c r="O81" s="18" t="n">
        <v>0</v>
      </c>
      <c r="P81" s="20" t="n">
        <v>0</v>
      </c>
      <c r="Q81" s="18" t="n">
        <v>3.73504999</v>
      </c>
      <c r="R81" s="20" t="n">
        <v>0.80633678</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(12784.0/B7*100)</f>
        <v/>
      </c>
      <c r="D7" s="19" t="n">
        <v>1746</v>
      </c>
      <c r="E7" s="18" t="n">
        <v>51.27244138</v>
      </c>
      <c r="F7" s="20" t="n">
        <v>1.42260592</v>
      </c>
      <c r="G7" s="18" t="n">
        <v>46.81425205</v>
      </c>
      <c r="H7" s="20" t="n">
        <v>1.42982691</v>
      </c>
      <c r="I7" s="18" t="s">
        <v>349</v>
      </c>
      <c r="J7" s="20" t="s">
        <v>349</v>
      </c>
      <c r="K7" s="18" t="n">
        <v>0.83663456</v>
      </c>
      <c r="L7" s="20" t="n">
        <v>0.2449076</v>
      </c>
      <c r="M7" s="18" t="n">
        <v>0</v>
      </c>
      <c r="N7" s="20" t="n">
        <v>0</v>
      </c>
      <c r="O7" s="18" t="n">
        <v>0</v>
      </c>
      <c r="P7" s="20" t="n">
        <v>0</v>
      </c>
      <c r="Q7" s="18" t="n">
        <v>1.07667201</v>
      </c>
      <c r="R7" s="20" t="n">
        <v>0.28531176</v>
      </c>
    </row>
    <row r="8" spans="1:18">
      <c r="A8" s="15" t="s">
        <v>350</v>
      </c>
      <c r="B8" s="17" t="n">
        <v>7007</v>
      </c>
      <c r="C8" s="18">
        <f>(6171.0/B8*100)</f>
        <v/>
      </c>
      <c r="D8" s="19" t="n">
        <v>836</v>
      </c>
      <c r="E8" s="18" t="n">
        <v>43.08739403</v>
      </c>
      <c r="F8" s="20" t="n">
        <v>1.93357599</v>
      </c>
      <c r="G8" s="18" t="n">
        <v>54.60649872</v>
      </c>
      <c r="H8" s="20" t="n">
        <v>1.98279296</v>
      </c>
      <c r="I8" s="18" t="s">
        <v>349</v>
      </c>
      <c r="J8" s="20" t="s">
        <v>349</v>
      </c>
      <c r="K8" s="18" t="n">
        <v>1.13518734</v>
      </c>
      <c r="L8" s="20" t="n">
        <v>0.36784992</v>
      </c>
      <c r="M8" s="18" t="n">
        <v>0</v>
      </c>
      <c r="N8" s="20" t="n">
        <v>0</v>
      </c>
      <c r="O8" s="18" t="n">
        <v>0</v>
      </c>
      <c r="P8" s="20" t="n">
        <v>0</v>
      </c>
      <c r="Q8" s="18" t="n">
        <v>1.17091992</v>
      </c>
      <c r="R8" s="20" t="n">
        <v>0.40498577</v>
      </c>
    </row>
    <row r="9" spans="1:18">
      <c r="A9" s="15" t="s">
        <v>351</v>
      </c>
      <c r="B9" s="17" t="n">
        <v>9651</v>
      </c>
      <c r="C9" s="18">
        <f>(8484.0/B9*100)</f>
        <v/>
      </c>
      <c r="D9" s="19" t="n">
        <v>1167</v>
      </c>
      <c r="E9" s="18" t="n">
        <v>39.95423035</v>
      </c>
      <c r="F9" s="20" t="n">
        <v>1.36321007</v>
      </c>
      <c r="G9" s="18" t="n">
        <v>56.73327374</v>
      </c>
      <c r="H9" s="20" t="n">
        <v>1.36279368</v>
      </c>
      <c r="I9" s="18" t="s">
        <v>349</v>
      </c>
      <c r="J9" s="20" t="s">
        <v>349</v>
      </c>
      <c r="K9" s="18" t="n">
        <v>1.0215977</v>
      </c>
      <c r="L9" s="20" t="n">
        <v>0.32365258</v>
      </c>
      <c r="M9" s="18" t="n">
        <v>0</v>
      </c>
      <c r="N9" s="20" t="n">
        <v>0</v>
      </c>
      <c r="O9" s="18" t="n">
        <v>0</v>
      </c>
      <c r="P9" s="20" t="n">
        <v>0</v>
      </c>
      <c r="Q9" s="18" t="n">
        <v>2.2908982</v>
      </c>
      <c r="R9" s="20" t="n">
        <v>0.39658022</v>
      </c>
    </row>
    <row r="10" spans="1:18">
      <c r="A10" s="15" t="s">
        <v>352</v>
      </c>
      <c r="B10" s="17" t="n">
        <v>20058</v>
      </c>
      <c r="C10" s="18">
        <f>(17612.0/B10*100)</f>
        <v/>
      </c>
      <c r="D10" s="19" t="n">
        <v>2446</v>
      </c>
      <c r="E10" s="18" t="n">
        <v>45.20629479</v>
      </c>
      <c r="F10" s="20" t="n">
        <v>1.15745205</v>
      </c>
      <c r="G10" s="18" t="n">
        <v>53.57533862</v>
      </c>
      <c r="H10" s="20" t="n">
        <v>1.13380584</v>
      </c>
      <c r="I10" s="18" t="s">
        <v>349</v>
      </c>
      <c r="J10" s="20" t="s">
        <v>349</v>
      </c>
      <c r="K10" s="18" t="n">
        <v>0.63888451</v>
      </c>
      <c r="L10" s="20" t="n">
        <v>0.21017019</v>
      </c>
      <c r="M10" s="18" t="n">
        <v>0</v>
      </c>
      <c r="N10" s="20" t="n">
        <v>0</v>
      </c>
      <c r="O10" s="18" t="n">
        <v>0</v>
      </c>
      <c r="P10" s="20" t="n">
        <v>0</v>
      </c>
      <c r="Q10" s="18" t="n">
        <v>0.57948208</v>
      </c>
      <c r="R10" s="20" t="n">
        <v>0.19371092</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(6072.0/B12*100)</f>
        <v/>
      </c>
      <c r="D12" s="19" t="n">
        <v>822</v>
      </c>
      <c r="E12" s="18" t="n">
        <v>49.01602204</v>
      </c>
      <c r="F12" s="20" t="n">
        <v>1.99979233</v>
      </c>
      <c r="G12" s="18" t="n">
        <v>49.4224242</v>
      </c>
      <c r="H12" s="20" t="n">
        <v>2.01515424</v>
      </c>
      <c r="I12" s="18" t="s">
        <v>349</v>
      </c>
      <c r="J12" s="20" t="s">
        <v>349</v>
      </c>
      <c r="K12" s="18" t="n">
        <v>0.45351015</v>
      </c>
      <c r="L12" s="20" t="n">
        <v>0.23026209</v>
      </c>
      <c r="M12" s="18" t="n">
        <v>0</v>
      </c>
      <c r="N12" s="20" t="n">
        <v>0</v>
      </c>
      <c r="O12" s="18" t="n">
        <v>0</v>
      </c>
      <c r="P12" s="20" t="n">
        <v>0</v>
      </c>
      <c r="Q12" s="18" t="n">
        <v>1.10804361</v>
      </c>
      <c r="R12" s="20" t="n">
        <v>0.44037207</v>
      </c>
    </row>
    <row r="13" spans="1:18">
      <c r="A13" s="15" t="s">
        <v>355</v>
      </c>
      <c r="B13" s="17" t="n">
        <v>7161</v>
      </c>
      <c r="C13" s="18">
        <f>(6324.0/B13*100)</f>
        <v/>
      </c>
      <c r="D13" s="19" t="n">
        <v>837</v>
      </c>
      <c r="E13" s="18" t="n">
        <v>43.79179732</v>
      </c>
      <c r="F13" s="20" t="n">
        <v>2.13583643</v>
      </c>
      <c r="G13" s="18" t="n">
        <v>55.3556361</v>
      </c>
      <c r="H13" s="20" t="n">
        <v>2.21475629</v>
      </c>
      <c r="I13" s="18" t="s">
        <v>349</v>
      </c>
      <c r="J13" s="20" t="s">
        <v>349</v>
      </c>
      <c r="K13" s="18" t="n">
        <v>0.80378103</v>
      </c>
      <c r="L13" s="20" t="n">
        <v>0.37799455</v>
      </c>
      <c r="M13" s="18" t="n">
        <v>0</v>
      </c>
      <c r="N13" s="20" t="n">
        <v>0</v>
      </c>
      <c r="O13" s="18" t="n">
        <v>0</v>
      </c>
      <c r="P13" s="20" t="n">
        <v>0</v>
      </c>
      <c r="Q13" s="18" t="n">
        <v>0.04878555</v>
      </c>
      <c r="R13" s="20" t="n">
        <v>0.03425739</v>
      </c>
    </row>
    <row r="14" spans="1:18">
      <c r="A14" s="15" t="s">
        <v>356</v>
      </c>
      <c r="B14" s="17" t="n">
        <v>5587</v>
      </c>
      <c r="C14" s="18">
        <f>(4877.0/B14*100)</f>
        <v/>
      </c>
      <c r="D14" s="19" t="n">
        <v>710</v>
      </c>
      <c r="E14" s="18" t="n">
        <v>43.52714234</v>
      </c>
      <c r="F14" s="20" t="n">
        <v>2.12962724</v>
      </c>
      <c r="G14" s="18" t="n">
        <v>54.88243981</v>
      </c>
      <c r="H14" s="20" t="n">
        <v>2.16173722</v>
      </c>
      <c r="I14" s="18" t="s">
        <v>349</v>
      </c>
      <c r="J14" s="20" t="s">
        <v>349</v>
      </c>
      <c r="K14" s="18" t="n">
        <v>0.62559378</v>
      </c>
      <c r="L14" s="20" t="n">
        <v>0.35658554</v>
      </c>
      <c r="M14" s="18" t="n">
        <v>0</v>
      </c>
      <c r="N14" s="20" t="n">
        <v>0</v>
      </c>
      <c r="O14" s="18" t="n">
        <v>0</v>
      </c>
      <c r="P14" s="20" t="n">
        <v>0</v>
      </c>
      <c r="Q14" s="18" t="n">
        <v>0.96482407</v>
      </c>
      <c r="R14" s="20" t="n">
        <v>0.47325688</v>
      </c>
    </row>
    <row r="15" spans="1:18">
      <c r="A15" s="15" t="s">
        <v>357</v>
      </c>
      <c r="B15" s="17" t="n">
        <v>5882</v>
      </c>
      <c r="C15" s="18">
        <f>(5158.0/B15*100)</f>
        <v/>
      </c>
      <c r="D15" s="19" t="n">
        <v>724</v>
      </c>
      <c r="E15" s="18" t="n">
        <v>49.33065281</v>
      </c>
      <c r="F15" s="20" t="n">
        <v>1.79656859</v>
      </c>
      <c r="G15" s="18" t="n">
        <v>47.84370002</v>
      </c>
      <c r="H15" s="20" t="n">
        <v>1.76797486</v>
      </c>
      <c r="I15" s="18" t="s">
        <v>349</v>
      </c>
      <c r="J15" s="20" t="s">
        <v>349</v>
      </c>
      <c r="K15" s="18" t="n">
        <v>0.81097862</v>
      </c>
      <c r="L15" s="20" t="n">
        <v>0.32756893</v>
      </c>
      <c r="M15" s="18" t="n">
        <v>0</v>
      </c>
      <c r="N15" s="20" t="n">
        <v>0</v>
      </c>
      <c r="O15" s="18" t="n">
        <v>0</v>
      </c>
      <c r="P15" s="20" t="n">
        <v>0</v>
      </c>
      <c r="Q15" s="18" t="n">
        <v>2.01466855</v>
      </c>
      <c r="R15" s="20" t="n">
        <v>0.61044742</v>
      </c>
    </row>
    <row r="16" spans="1:18">
      <c r="A16" s="15" t="s">
        <v>358</v>
      </c>
      <c r="B16" s="17" t="n">
        <v>6108</v>
      </c>
      <c r="C16" s="18">
        <f>(5348.0/B16*100)</f>
        <v/>
      </c>
      <c r="D16" s="19" t="n">
        <v>760</v>
      </c>
      <c r="E16" s="18" t="n">
        <v>47.36730496</v>
      </c>
      <c r="F16" s="20" t="n">
        <v>1.84770738</v>
      </c>
      <c r="G16" s="18" t="n">
        <v>49.07482952</v>
      </c>
      <c r="H16" s="20" t="n">
        <v>1.96131005</v>
      </c>
      <c r="I16" s="18" t="s">
        <v>349</v>
      </c>
      <c r="J16" s="20" t="s">
        <v>349</v>
      </c>
      <c r="K16" s="18" t="n">
        <v>1.56748608</v>
      </c>
      <c r="L16" s="20" t="n">
        <v>0.49233589</v>
      </c>
      <c r="M16" s="18" t="n">
        <v>0</v>
      </c>
      <c r="N16" s="20" t="n">
        <v>0</v>
      </c>
      <c r="O16" s="18" t="n">
        <v>0</v>
      </c>
      <c r="P16" s="20" t="n">
        <v>0</v>
      </c>
      <c r="Q16" s="18" t="n">
        <v>1.99037944</v>
      </c>
      <c r="R16" s="20" t="n">
        <v>0.51603169</v>
      </c>
    </row>
    <row r="17" spans="1:18">
      <c r="A17" s="15" t="s">
        <v>359</v>
      </c>
      <c r="B17" s="17" t="n">
        <v>6504</v>
      </c>
      <c r="C17" s="18">
        <f>(5708.0/B17*100)</f>
        <v/>
      </c>
      <c r="D17" s="19" t="n">
        <v>796</v>
      </c>
      <c r="E17" s="18" t="n">
        <v>43.06889588</v>
      </c>
      <c r="F17" s="20" t="n">
        <v>1.71423363</v>
      </c>
      <c r="G17" s="18" t="n">
        <v>53.56308199</v>
      </c>
      <c r="H17" s="20" t="n">
        <v>1.71023211</v>
      </c>
      <c r="I17" s="18" t="s">
        <v>349</v>
      </c>
      <c r="J17" s="20" t="s">
        <v>349</v>
      </c>
      <c r="K17" s="18" t="n">
        <v>0.85246387</v>
      </c>
      <c r="L17" s="20" t="n">
        <v>0.30892949</v>
      </c>
      <c r="M17" s="18" t="n">
        <v>0</v>
      </c>
      <c r="N17" s="20" t="n">
        <v>0</v>
      </c>
      <c r="O17" s="18" t="n">
        <v>0</v>
      </c>
      <c r="P17" s="20" t="n">
        <v>0</v>
      </c>
      <c r="Q17" s="18" t="n">
        <v>2.51555826</v>
      </c>
      <c r="R17" s="20" t="n">
        <v>0.60617164</v>
      </c>
    </row>
    <row r="18" spans="1:18">
      <c r="A18" s="15" t="s">
        <v>360</v>
      </c>
      <c r="B18" s="17" t="n">
        <v>5532</v>
      </c>
      <c r="C18" s="18">
        <f>(4844.0/B18*100)</f>
        <v/>
      </c>
      <c r="D18" s="19" t="n">
        <v>688</v>
      </c>
      <c r="E18" s="18" t="n">
        <v>48.99734184</v>
      </c>
      <c r="F18" s="20" t="n">
        <v>2.30450334</v>
      </c>
      <c r="G18" s="18" t="n">
        <v>49.0415731</v>
      </c>
      <c r="H18" s="20" t="n">
        <v>2.39128111</v>
      </c>
      <c r="I18" s="18" t="s">
        <v>349</v>
      </c>
      <c r="J18" s="20" t="s">
        <v>349</v>
      </c>
      <c r="K18" s="18" t="n">
        <v>1.3115459</v>
      </c>
      <c r="L18" s="20" t="n">
        <v>0.54791973</v>
      </c>
      <c r="M18" s="18" t="n">
        <v>0</v>
      </c>
      <c r="N18" s="20" t="n">
        <v>0</v>
      </c>
      <c r="O18" s="18" t="n">
        <v>0</v>
      </c>
      <c r="P18" s="20" t="n">
        <v>0</v>
      </c>
      <c r="Q18" s="18" t="n">
        <v>0.6495391700000001</v>
      </c>
      <c r="R18" s="20" t="n">
        <v>0.29511922</v>
      </c>
    </row>
    <row r="19" spans="1:18">
      <c r="A19" s="15" t="s">
        <v>361</v>
      </c>
      <c r="B19" s="17" t="n">
        <v>5658</v>
      </c>
      <c r="C19" s="18">
        <f>(4993.0/B19*100)</f>
        <v/>
      </c>
      <c r="D19" s="19" t="n">
        <v>665</v>
      </c>
      <c r="E19" s="18" t="n">
        <v>43.81047313</v>
      </c>
      <c r="F19" s="20" t="n">
        <v>2.046776</v>
      </c>
      <c r="G19" s="18" t="n">
        <v>55.81109365</v>
      </c>
      <c r="H19" s="20" t="n">
        <v>2.10292979</v>
      </c>
      <c r="I19" s="18" t="s">
        <v>349</v>
      </c>
      <c r="J19" s="20" t="s">
        <v>349</v>
      </c>
      <c r="K19" s="18" t="n">
        <v>0</v>
      </c>
      <c r="L19" s="20" t="n">
        <v>0</v>
      </c>
      <c r="M19" s="18" t="n">
        <v>0</v>
      </c>
      <c r="N19" s="20" t="n">
        <v>0</v>
      </c>
      <c r="O19" s="18" t="n">
        <v>0</v>
      </c>
      <c r="P19" s="20" t="n">
        <v>0</v>
      </c>
      <c r="Q19" s="18" t="n">
        <v>0.37843322</v>
      </c>
      <c r="R19" s="20" t="n">
        <v>0.28778922</v>
      </c>
    </row>
    <row r="20" spans="1:18">
      <c r="A20" s="15" t="s">
        <v>362</v>
      </c>
      <c r="B20" s="17" t="n">
        <v>3371</v>
      </c>
      <c r="C20" s="18">
        <f>(2954.0/B20*100)</f>
        <v/>
      </c>
      <c r="D20" s="19" t="n">
        <v>417</v>
      </c>
      <c r="E20" s="18" t="n">
        <v>48.29608901</v>
      </c>
      <c r="F20" s="20" t="n">
        <v>2.62475926</v>
      </c>
      <c r="G20" s="18" t="n">
        <v>47.63900142</v>
      </c>
      <c r="H20" s="20" t="n">
        <v>2.45579388</v>
      </c>
      <c r="I20" s="18" t="s">
        <v>349</v>
      </c>
      <c r="J20" s="20" t="s">
        <v>349</v>
      </c>
      <c r="K20" s="18" t="n">
        <v>2.31685482</v>
      </c>
      <c r="L20" s="20" t="n">
        <v>0.7290614</v>
      </c>
      <c r="M20" s="18" t="n">
        <v>0</v>
      </c>
      <c r="N20" s="20" t="n">
        <v>0</v>
      </c>
      <c r="O20" s="18" t="n">
        <v>0</v>
      </c>
      <c r="P20" s="20" t="n">
        <v>0</v>
      </c>
      <c r="Q20" s="18" t="n">
        <v>1.74805476</v>
      </c>
      <c r="R20" s="20" t="n">
        <v>0.63668737</v>
      </c>
    </row>
    <row r="21" spans="1:18">
      <c r="A21" s="15" t="s">
        <v>363</v>
      </c>
      <c r="B21" s="17" t="n">
        <v>5741</v>
      </c>
      <c r="C21" s="18">
        <f>(4801.0/B21*100)</f>
        <v/>
      </c>
      <c r="D21" s="19" t="n">
        <v>940</v>
      </c>
      <c r="E21" s="18" t="n">
        <v>49.07047237</v>
      </c>
      <c r="F21" s="20" t="n">
        <v>1.64815799</v>
      </c>
      <c r="G21" s="18" t="n">
        <v>49.62738455</v>
      </c>
      <c r="H21" s="20" t="n">
        <v>1.61528232</v>
      </c>
      <c r="I21" s="18" t="s">
        <v>349</v>
      </c>
      <c r="J21" s="20" t="s">
        <v>349</v>
      </c>
      <c r="K21" s="18" t="n">
        <v>0.74184598</v>
      </c>
      <c r="L21" s="20" t="n">
        <v>0.31630248</v>
      </c>
      <c r="M21" s="18" t="n">
        <v>0</v>
      </c>
      <c r="N21" s="20" t="n">
        <v>0</v>
      </c>
      <c r="O21" s="18" t="n">
        <v>0</v>
      </c>
      <c r="P21" s="20" t="n">
        <v>0</v>
      </c>
      <c r="Q21" s="18" t="n">
        <v>0.5602971</v>
      </c>
      <c r="R21" s="20" t="n">
        <v>0.23270414</v>
      </c>
    </row>
    <row r="22" spans="1:18">
      <c r="A22" s="15" t="s">
        <v>364</v>
      </c>
      <c r="B22" s="17" t="n">
        <v>6598</v>
      </c>
      <c r="C22" s="18">
        <f>(5765.0/B22*100)</f>
        <v/>
      </c>
      <c r="D22" s="19" t="n">
        <v>833</v>
      </c>
      <c r="E22" s="18" t="n">
        <v>48.16786809</v>
      </c>
      <c r="F22" s="20" t="n">
        <v>1.89915471</v>
      </c>
      <c r="G22" s="18" t="n">
        <v>47.35418561</v>
      </c>
      <c r="H22" s="20" t="n">
        <v>1.83981296</v>
      </c>
      <c r="I22" s="18" t="s">
        <v>349</v>
      </c>
      <c r="J22" s="20" t="s">
        <v>349</v>
      </c>
      <c r="K22" s="18" t="n">
        <v>2.11394117</v>
      </c>
      <c r="L22" s="20" t="n">
        <v>0.51733101</v>
      </c>
      <c r="M22" s="18" t="n">
        <v>0</v>
      </c>
      <c r="N22" s="20" t="n">
        <v>0</v>
      </c>
      <c r="O22" s="18" t="n">
        <v>0</v>
      </c>
      <c r="P22" s="20" t="n">
        <v>0</v>
      </c>
      <c r="Q22" s="18" t="n">
        <v>2.36400514</v>
      </c>
      <c r="R22" s="20" t="n">
        <v>0.66027687</v>
      </c>
    </row>
    <row r="23" spans="1:18">
      <c r="A23" s="15" t="s">
        <v>365</v>
      </c>
      <c r="B23" s="17" t="n">
        <v>11583</v>
      </c>
      <c r="C23" s="18">
        <f>(10173.0/B23*100)</f>
        <v/>
      </c>
      <c r="D23" s="19" t="n">
        <v>1410</v>
      </c>
      <c r="E23" s="18" t="n">
        <v>41.8802565</v>
      </c>
      <c r="F23" s="20" t="n">
        <v>1.69340229</v>
      </c>
      <c r="G23" s="18" t="n">
        <v>55.72419589</v>
      </c>
      <c r="H23" s="20" t="n">
        <v>1.69364062</v>
      </c>
      <c r="I23" s="18" t="s">
        <v>349</v>
      </c>
      <c r="J23" s="20" t="s">
        <v>349</v>
      </c>
      <c r="K23" s="18" t="n">
        <v>1.33569905</v>
      </c>
      <c r="L23" s="20" t="n">
        <v>0.39129579</v>
      </c>
      <c r="M23" s="18" t="n">
        <v>0</v>
      </c>
      <c r="N23" s="20" t="n">
        <v>0</v>
      </c>
      <c r="O23" s="18" t="n">
        <v>0</v>
      </c>
      <c r="P23" s="20" t="n">
        <v>0</v>
      </c>
      <c r="Q23" s="18" t="n">
        <v>1.05984856</v>
      </c>
      <c r="R23" s="20" t="n">
        <v>0.37267836</v>
      </c>
    </row>
    <row r="24" spans="1:18">
      <c r="A24" s="15" t="s">
        <v>366</v>
      </c>
      <c r="B24" s="17" t="n">
        <v>6647</v>
      </c>
      <c r="C24" s="18">
        <f>(5848.0/B24*100)</f>
        <v/>
      </c>
      <c r="D24" s="19" t="n">
        <v>799</v>
      </c>
      <c r="E24" s="18" t="n">
        <v>35.86763559</v>
      </c>
      <c r="F24" s="20" t="n">
        <v>1.74001278</v>
      </c>
      <c r="G24" s="18" t="n">
        <v>62.96248857</v>
      </c>
      <c r="H24" s="20" t="n">
        <v>1.74782264</v>
      </c>
      <c r="I24" s="18" t="s">
        <v>349</v>
      </c>
      <c r="J24" s="20" t="s">
        <v>349</v>
      </c>
      <c r="K24" s="18" t="n">
        <v>0.54844974</v>
      </c>
      <c r="L24" s="20" t="n">
        <v>0.24880064</v>
      </c>
      <c r="M24" s="18" t="n">
        <v>0</v>
      </c>
      <c r="N24" s="20" t="n">
        <v>0</v>
      </c>
      <c r="O24" s="18" t="n">
        <v>0</v>
      </c>
      <c r="P24" s="20" t="n">
        <v>0</v>
      </c>
      <c r="Q24" s="18" t="n">
        <v>0.6214261</v>
      </c>
      <c r="R24" s="20" t="n">
        <v>0.27896384</v>
      </c>
    </row>
    <row r="25" spans="1:18">
      <c r="A25" s="15" t="s">
        <v>367</v>
      </c>
      <c r="B25" s="17" t="n">
        <v>5581</v>
      </c>
      <c r="C25" s="18">
        <f>(4903.0/B25*100)</f>
        <v/>
      </c>
      <c r="D25" s="19" t="n">
        <v>678</v>
      </c>
      <c r="E25" s="18" t="n">
        <v>39.32523191</v>
      </c>
      <c r="F25" s="20" t="n">
        <v>2.00235211</v>
      </c>
      <c r="G25" s="18" t="n">
        <v>60.06179148</v>
      </c>
      <c r="H25" s="20" t="n">
        <v>2.06498703</v>
      </c>
      <c r="I25" s="18" t="s">
        <v>349</v>
      </c>
      <c r="J25" s="20" t="s">
        <v>349</v>
      </c>
      <c r="K25" s="18" t="n">
        <v>0.29568168</v>
      </c>
      <c r="L25" s="20" t="n">
        <v>0.20984062</v>
      </c>
      <c r="M25" s="18" t="n">
        <v>0</v>
      </c>
      <c r="N25" s="20" t="n">
        <v>0</v>
      </c>
      <c r="O25" s="18" t="n">
        <v>0</v>
      </c>
      <c r="P25" s="20" t="n">
        <v>0</v>
      </c>
      <c r="Q25" s="18" t="n">
        <v>0.31729493</v>
      </c>
      <c r="R25" s="20" t="n">
        <v>0.22431635</v>
      </c>
    </row>
    <row r="26" spans="1:18">
      <c r="A26" s="15" t="s">
        <v>368</v>
      </c>
      <c r="B26" s="17" t="n">
        <v>4869</v>
      </c>
      <c r="C26" s="18">
        <f>(4272.0/B26*100)</f>
        <v/>
      </c>
      <c r="D26" s="19" t="n">
        <v>597</v>
      </c>
      <c r="E26" s="18" t="n">
        <v>49.63157396</v>
      </c>
      <c r="F26" s="20" t="n">
        <v>2.04969071</v>
      </c>
      <c r="G26" s="18" t="n">
        <v>49.69519085</v>
      </c>
      <c r="H26" s="20" t="n">
        <v>2.06938356</v>
      </c>
      <c r="I26" s="18" t="s">
        <v>349</v>
      </c>
      <c r="J26" s="20" t="s">
        <v>349</v>
      </c>
      <c r="K26" s="18" t="n">
        <v>0.27269925</v>
      </c>
      <c r="L26" s="20" t="n">
        <v>0.18871806</v>
      </c>
      <c r="M26" s="18" t="n">
        <v>0</v>
      </c>
      <c r="N26" s="20" t="n">
        <v>0</v>
      </c>
      <c r="O26" s="18" t="n">
        <v>0</v>
      </c>
      <c r="P26" s="20" t="n">
        <v>0</v>
      </c>
      <c r="Q26" s="18" t="n">
        <v>0.40053595</v>
      </c>
      <c r="R26" s="20" t="n">
        <v>0.23750566</v>
      </c>
    </row>
    <row r="27" spans="1:18">
      <c r="A27" s="15" t="s">
        <v>369</v>
      </c>
      <c r="B27" s="17" t="n">
        <v>5299</v>
      </c>
      <c r="C27" s="18">
        <f>(4649.0/B27*100)</f>
        <v/>
      </c>
      <c r="D27" s="19" t="n">
        <v>650</v>
      </c>
      <c r="E27" s="18" t="n">
        <v>49.57753968</v>
      </c>
      <c r="F27" s="20" t="n">
        <v>1.91451313</v>
      </c>
      <c r="G27" s="18" t="n">
        <v>48.72806703</v>
      </c>
      <c r="H27" s="20" t="n">
        <v>1.93540944</v>
      </c>
      <c r="I27" s="18" t="s">
        <v>349</v>
      </c>
      <c r="J27" s="20" t="s">
        <v>349</v>
      </c>
      <c r="K27" s="18" t="n">
        <v>0.93138509</v>
      </c>
      <c r="L27" s="20" t="n">
        <v>0.38010636</v>
      </c>
      <c r="M27" s="18" t="n">
        <v>0</v>
      </c>
      <c r="N27" s="20" t="n">
        <v>0</v>
      </c>
      <c r="O27" s="18" t="n">
        <v>0</v>
      </c>
      <c r="P27" s="20" t="n">
        <v>0</v>
      </c>
      <c r="Q27" s="18" t="n">
        <v>0.76300819</v>
      </c>
      <c r="R27" s="20" t="n">
        <v>0.34071053</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49.12390459</v>
      </c>
      <c r="F29" s="20" t="n">
        <v>1.93727001</v>
      </c>
      <c r="G29" s="18" t="n">
        <v>48.83529938</v>
      </c>
      <c r="H29" s="20" t="n">
        <v>1.90229066</v>
      </c>
      <c r="I29" s="18" t="s">
        <v>349</v>
      </c>
      <c r="J29" s="20" t="s">
        <v>349</v>
      </c>
      <c r="K29" s="18" t="n">
        <v>0.91195901</v>
      </c>
      <c r="L29" s="20" t="n">
        <v>0.36486111</v>
      </c>
      <c r="M29" s="18" t="n">
        <v>0</v>
      </c>
      <c r="N29" s="20" t="n">
        <v>0</v>
      </c>
      <c r="O29" s="18" t="n">
        <v>0</v>
      </c>
      <c r="P29" s="20" t="n">
        <v>0</v>
      </c>
      <c r="Q29" s="18" t="n">
        <v>1.12883703</v>
      </c>
      <c r="R29" s="20" t="n">
        <v>0.36525441</v>
      </c>
    </row>
    <row r="30" spans="1:18">
      <c r="A30" s="15" t="s">
        <v>372</v>
      </c>
      <c r="B30" s="17" t="n">
        <v>4520</v>
      </c>
      <c r="C30" s="18">
        <f>(3990.0/B30*100)</f>
        <v/>
      </c>
      <c r="D30" s="19" t="n">
        <v>530</v>
      </c>
      <c r="E30" s="18" t="n">
        <v>45.82363975</v>
      </c>
      <c r="F30" s="20" t="n">
        <v>2.37210952</v>
      </c>
      <c r="G30" s="18" t="n">
        <v>51.67139379</v>
      </c>
      <c r="H30" s="20" t="n">
        <v>2.4699607</v>
      </c>
      <c r="I30" s="18" t="s">
        <v>349</v>
      </c>
      <c r="J30" s="20" t="s">
        <v>349</v>
      </c>
      <c r="K30" s="18" t="n">
        <v>1.10094675</v>
      </c>
      <c r="L30" s="20" t="n">
        <v>0.42236955</v>
      </c>
      <c r="M30" s="18" t="n">
        <v>0</v>
      </c>
      <c r="N30" s="20" t="n">
        <v>0</v>
      </c>
      <c r="O30" s="18" t="n">
        <v>0</v>
      </c>
      <c r="P30" s="20" t="n">
        <v>0</v>
      </c>
      <c r="Q30" s="18" t="n">
        <v>1.40401971</v>
      </c>
      <c r="R30" s="20" t="n">
        <v>0.48051313</v>
      </c>
    </row>
    <row r="31" spans="1:18">
      <c r="A31" s="15" t="s">
        <v>373</v>
      </c>
      <c r="B31" s="17" t="n">
        <v>5456</v>
      </c>
      <c r="C31" s="18">
        <f>(4759.0/B31*100)</f>
        <v/>
      </c>
      <c r="D31" s="19" t="n">
        <v>697</v>
      </c>
      <c r="E31" s="18" t="n">
        <v>47.03945866</v>
      </c>
      <c r="F31" s="20" t="n">
        <v>2.10900599</v>
      </c>
      <c r="G31" s="18" t="n">
        <v>50.04925763</v>
      </c>
      <c r="H31" s="20" t="n">
        <v>2.16136348</v>
      </c>
      <c r="I31" s="18" t="s">
        <v>349</v>
      </c>
      <c r="J31" s="20" t="s">
        <v>349</v>
      </c>
      <c r="K31" s="18" t="n">
        <v>1.5570974</v>
      </c>
      <c r="L31" s="20" t="n">
        <v>0.43063131</v>
      </c>
      <c r="M31" s="18" t="n">
        <v>0</v>
      </c>
      <c r="N31" s="20" t="n">
        <v>0</v>
      </c>
      <c r="O31" s="18" t="n">
        <v>0</v>
      </c>
      <c r="P31" s="20" t="n">
        <v>0</v>
      </c>
      <c r="Q31" s="18" t="n">
        <v>1.35418632</v>
      </c>
      <c r="R31" s="20" t="n">
        <v>0.45215967</v>
      </c>
    </row>
    <row r="32" spans="1:18">
      <c r="A32" s="15" t="s">
        <v>374</v>
      </c>
      <c r="B32" s="17" t="n">
        <v>4478</v>
      </c>
      <c r="C32" s="18">
        <f>(3728.0/B32*100)</f>
        <v/>
      </c>
      <c r="D32" s="19" t="n">
        <v>750</v>
      </c>
      <c r="E32" s="18" t="n">
        <v>43.39081256</v>
      </c>
      <c r="F32" s="20" t="n">
        <v>1.7842</v>
      </c>
      <c r="G32" s="18" t="n">
        <v>55.4212726</v>
      </c>
      <c r="H32" s="20" t="n">
        <v>1.83029568</v>
      </c>
      <c r="I32" s="18" t="s">
        <v>349</v>
      </c>
      <c r="J32" s="20" t="s">
        <v>349</v>
      </c>
      <c r="K32" s="18" t="n">
        <v>0.6605737</v>
      </c>
      <c r="L32" s="20" t="n">
        <v>0.28833529</v>
      </c>
      <c r="M32" s="18" t="n">
        <v>0</v>
      </c>
      <c r="N32" s="20" t="n">
        <v>0</v>
      </c>
      <c r="O32" s="18" t="n">
        <v>0</v>
      </c>
      <c r="P32" s="20" t="n">
        <v>0</v>
      </c>
      <c r="Q32" s="18" t="n">
        <v>0.52734113</v>
      </c>
      <c r="R32" s="20" t="n">
        <v>0.24976723</v>
      </c>
    </row>
    <row r="33" spans="1:18">
      <c r="A33" s="15" t="s">
        <v>375</v>
      </c>
      <c r="B33" s="17" t="n">
        <v>7325</v>
      </c>
      <c r="C33" s="18">
        <f>(6448.0/B33*100)</f>
        <v/>
      </c>
      <c r="D33" s="19" t="n">
        <v>877</v>
      </c>
      <c r="E33" s="18" t="n">
        <v>45.59911351</v>
      </c>
      <c r="F33" s="20" t="n">
        <v>2.16400938</v>
      </c>
      <c r="G33" s="18" t="n">
        <v>52.39762806</v>
      </c>
      <c r="H33" s="20" t="n">
        <v>2.15221782</v>
      </c>
      <c r="I33" s="18" t="s">
        <v>349</v>
      </c>
      <c r="J33" s="20" t="s">
        <v>349</v>
      </c>
      <c r="K33" s="18" t="n">
        <v>1.21734909</v>
      </c>
      <c r="L33" s="20" t="n">
        <v>0.46449563</v>
      </c>
      <c r="M33" s="18" t="n">
        <v>0</v>
      </c>
      <c r="N33" s="20" t="n">
        <v>0</v>
      </c>
      <c r="O33" s="18" t="n">
        <v>0</v>
      </c>
      <c r="P33" s="20" t="n">
        <v>0</v>
      </c>
      <c r="Q33" s="18" t="n">
        <v>0.78590934</v>
      </c>
      <c r="R33" s="20" t="n">
        <v>0.22593307</v>
      </c>
    </row>
    <row r="34" spans="1:18">
      <c r="A34" s="15" t="s">
        <v>376</v>
      </c>
      <c r="B34" s="17" t="n">
        <v>6350</v>
      </c>
      <c r="C34" s="18">
        <f>(5585.0/B34*100)</f>
        <v/>
      </c>
      <c r="D34" s="19" t="n">
        <v>765</v>
      </c>
      <c r="E34" s="18" t="n">
        <v>50.49590536</v>
      </c>
      <c r="F34" s="20" t="n">
        <v>2.01983399</v>
      </c>
      <c r="G34" s="18" t="n">
        <v>48.31063025</v>
      </c>
      <c r="H34" s="20" t="n">
        <v>1.94602031</v>
      </c>
      <c r="I34" s="18" t="s">
        <v>349</v>
      </c>
      <c r="J34" s="20" t="s">
        <v>349</v>
      </c>
      <c r="K34" s="18" t="n">
        <v>0.50191767</v>
      </c>
      <c r="L34" s="20" t="n">
        <v>0.30877603</v>
      </c>
      <c r="M34" s="18" t="n">
        <v>0</v>
      </c>
      <c r="N34" s="20" t="n">
        <v>0</v>
      </c>
      <c r="O34" s="18" t="n">
        <v>0</v>
      </c>
      <c r="P34" s="20" t="n">
        <v>0</v>
      </c>
      <c r="Q34" s="18" t="n">
        <v>0.69154671</v>
      </c>
      <c r="R34" s="20" t="n">
        <v>0.39641006</v>
      </c>
    </row>
    <row r="35" spans="1:18">
      <c r="A35" s="15" t="s">
        <v>377</v>
      </c>
      <c r="B35" s="17" t="n">
        <v>6406</v>
      </c>
      <c r="C35" s="18">
        <f>(5607.0/B35*100)</f>
        <v/>
      </c>
      <c r="D35" s="19" t="n">
        <v>799</v>
      </c>
      <c r="E35" s="18" t="n">
        <v>42.26677442</v>
      </c>
      <c r="F35" s="20" t="n">
        <v>2.42337276</v>
      </c>
      <c r="G35" s="18" t="n">
        <v>56.52417482</v>
      </c>
      <c r="H35" s="20" t="n">
        <v>2.38205797</v>
      </c>
      <c r="I35" s="18" t="s">
        <v>349</v>
      </c>
      <c r="J35" s="20" t="s">
        <v>349</v>
      </c>
      <c r="K35" s="18" t="n">
        <v>0.33531526</v>
      </c>
      <c r="L35" s="20" t="n">
        <v>0.16285378</v>
      </c>
      <c r="M35" s="18" t="n">
        <v>0</v>
      </c>
      <c r="N35" s="20" t="n">
        <v>0</v>
      </c>
      <c r="O35" s="18" t="n">
        <v>0</v>
      </c>
      <c r="P35" s="20" t="n">
        <v>0</v>
      </c>
      <c r="Q35" s="18" t="n">
        <v>0.8737355</v>
      </c>
      <c r="R35" s="20" t="n">
        <v>0.4089055</v>
      </c>
    </row>
    <row r="36" spans="1:18">
      <c r="A36" s="15" t="s">
        <v>378</v>
      </c>
      <c r="B36" s="17" t="n">
        <v>6736</v>
      </c>
      <c r="C36" s="18">
        <f>(5922.0/B36*100)</f>
        <v/>
      </c>
      <c r="D36" s="19" t="n">
        <v>814</v>
      </c>
      <c r="E36" s="18" t="n">
        <v>51.40685055</v>
      </c>
      <c r="F36" s="20" t="n">
        <v>1.68631145</v>
      </c>
      <c r="G36" s="18" t="n">
        <v>46.16614897</v>
      </c>
      <c r="H36" s="20" t="n">
        <v>1.73582076</v>
      </c>
      <c r="I36" s="18" t="s">
        <v>349</v>
      </c>
      <c r="J36" s="20" t="s">
        <v>349</v>
      </c>
      <c r="K36" s="18" t="n">
        <v>0.95527612</v>
      </c>
      <c r="L36" s="20" t="n">
        <v>0.34552572</v>
      </c>
      <c r="M36" s="18" t="n">
        <v>0</v>
      </c>
      <c r="N36" s="20" t="n">
        <v>0</v>
      </c>
      <c r="O36" s="18" t="n">
        <v>0</v>
      </c>
      <c r="P36" s="20" t="n">
        <v>0</v>
      </c>
      <c r="Q36" s="18" t="n">
        <v>1.47172436</v>
      </c>
      <c r="R36" s="20" t="n">
        <v>0.49915449</v>
      </c>
    </row>
    <row r="37" spans="1:18">
      <c r="A37" s="15" t="s">
        <v>379</v>
      </c>
      <c r="B37" s="17" t="n">
        <v>5458</v>
      </c>
      <c r="C37" s="18">
        <f>(4806.0/B37*100)</f>
        <v/>
      </c>
      <c r="D37" s="19" t="n">
        <v>652</v>
      </c>
      <c r="E37" s="18" t="n">
        <v>50.68701909</v>
      </c>
      <c r="F37" s="20" t="n">
        <v>1.90506088</v>
      </c>
      <c r="G37" s="18" t="n">
        <v>43.75948225</v>
      </c>
      <c r="H37" s="20" t="n">
        <v>1.96506385</v>
      </c>
      <c r="I37" s="18" t="s">
        <v>349</v>
      </c>
      <c r="J37" s="20" t="s">
        <v>349</v>
      </c>
      <c r="K37" s="18" t="n">
        <v>4.11045626</v>
      </c>
      <c r="L37" s="20" t="n">
        <v>0.90273453</v>
      </c>
      <c r="M37" s="18" t="n">
        <v>0</v>
      </c>
      <c r="N37" s="20" t="n">
        <v>0</v>
      </c>
      <c r="O37" s="18" t="n">
        <v>0</v>
      </c>
      <c r="P37" s="20" t="n">
        <v>0</v>
      </c>
      <c r="Q37" s="18" t="n">
        <v>1.44304241</v>
      </c>
      <c r="R37" s="20" t="n">
        <v>0.4611922</v>
      </c>
    </row>
    <row r="38" spans="1:18">
      <c r="A38" s="15" t="s">
        <v>380</v>
      </c>
      <c r="B38" s="17" t="n">
        <v>5860</v>
      </c>
      <c r="C38" s="18">
        <f>(4911.0/B38*100)</f>
        <v/>
      </c>
      <c r="D38" s="19" t="n">
        <v>949</v>
      </c>
      <c r="E38" s="18" t="n">
        <v>36.99772153</v>
      </c>
      <c r="F38" s="20" t="n">
        <v>1.7923529</v>
      </c>
      <c r="G38" s="18" t="n">
        <v>60.44346708</v>
      </c>
      <c r="H38" s="20" t="n">
        <v>1.82567011</v>
      </c>
      <c r="I38" s="18" t="s">
        <v>349</v>
      </c>
      <c r="J38" s="20" t="s">
        <v>349</v>
      </c>
      <c r="K38" s="18" t="n">
        <v>1.53040727</v>
      </c>
      <c r="L38" s="20" t="n">
        <v>0.37460016</v>
      </c>
      <c r="M38" s="18" t="n">
        <v>0</v>
      </c>
      <c r="N38" s="20" t="n">
        <v>0</v>
      </c>
      <c r="O38" s="18" t="n">
        <v>0</v>
      </c>
      <c r="P38" s="20" t="n">
        <v>0</v>
      </c>
      <c r="Q38" s="18" t="n">
        <v>1.02840413</v>
      </c>
      <c r="R38" s="20" t="n">
        <v>0.35097818</v>
      </c>
    </row>
    <row r="39" spans="1:18">
      <c r="A39" s="15" t="s">
        <v>381</v>
      </c>
      <c r="B39" s="17" t="n">
        <v>5895</v>
      </c>
      <c r="C39" s="18">
        <f>(5148.0/B39*100)</f>
        <v/>
      </c>
      <c r="D39" s="19" t="n">
        <v>747</v>
      </c>
      <c r="E39" s="18" t="n">
        <v>58.19544794</v>
      </c>
      <c r="F39" s="20" t="n">
        <v>1.91498546</v>
      </c>
      <c r="G39" s="18" t="n">
        <v>40.39557071</v>
      </c>
      <c r="H39" s="20" t="n">
        <v>1.92677114</v>
      </c>
      <c r="I39" s="18" t="s">
        <v>349</v>
      </c>
      <c r="J39" s="20" t="s">
        <v>349</v>
      </c>
      <c r="K39" s="18" t="n">
        <v>0.38430539</v>
      </c>
      <c r="L39" s="20" t="n">
        <v>0.23408779</v>
      </c>
      <c r="M39" s="18" t="n">
        <v>0</v>
      </c>
      <c r="N39" s="20" t="n">
        <v>0</v>
      </c>
      <c r="O39" s="18" t="n">
        <v>0</v>
      </c>
      <c r="P39" s="20" t="n">
        <v>0</v>
      </c>
      <c r="Q39" s="18" t="n">
        <v>1.02467596</v>
      </c>
      <c r="R39" s="20" t="n">
        <v>0.30574437</v>
      </c>
    </row>
    <row r="40" spans="1:18">
      <c r="A40" s="15" t="s">
        <v>382</v>
      </c>
      <c r="B40" s="17" t="n">
        <v>14157</v>
      </c>
      <c r="C40" s="18">
        <f>(12383.0/B40*100)</f>
        <v/>
      </c>
      <c r="D40" s="19" t="n">
        <v>1774</v>
      </c>
      <c r="E40" s="18" t="n">
        <v>50.60537702</v>
      </c>
      <c r="F40" s="20" t="n">
        <v>1.64025804</v>
      </c>
      <c r="G40" s="18" t="n">
        <v>47.584496</v>
      </c>
      <c r="H40" s="20" t="n">
        <v>1.51334645</v>
      </c>
      <c r="I40" s="18" t="s">
        <v>349</v>
      </c>
      <c r="J40" s="20" t="s">
        <v>349</v>
      </c>
      <c r="K40" s="18" t="n">
        <v>0.76180796</v>
      </c>
      <c r="L40" s="20" t="n">
        <v>0.30098719</v>
      </c>
      <c r="M40" s="18" t="n">
        <v>0</v>
      </c>
      <c r="N40" s="20" t="n">
        <v>0</v>
      </c>
      <c r="O40" s="18" t="n">
        <v>0</v>
      </c>
      <c r="P40" s="20" t="n">
        <v>0</v>
      </c>
      <c r="Q40" s="18" t="n">
        <v>1.04831903</v>
      </c>
      <c r="R40" s="20" t="n">
        <v>0.41623614</v>
      </c>
    </row>
    <row r="41" spans="1:18">
      <c r="A41" s="15" t="s">
        <v>383</v>
      </c>
      <c r="B41" s="17" t="n">
        <v>5712</v>
      </c>
      <c r="C41" s="18">
        <f>(5030.0/B41*100)</f>
        <v/>
      </c>
      <c r="D41" s="19" t="n">
        <v>682</v>
      </c>
      <c r="E41" s="18" t="n">
        <v>50.24057144</v>
      </c>
      <c r="F41" s="20" t="n">
        <v>2.42026907</v>
      </c>
      <c r="G41" s="18" t="n">
        <v>49.31098944</v>
      </c>
      <c r="H41" s="20" t="n">
        <v>2.39921567</v>
      </c>
      <c r="I41" s="18" t="s">
        <v>349</v>
      </c>
      <c r="J41" s="20" t="s">
        <v>349</v>
      </c>
      <c r="K41" s="18" t="n">
        <v>0</v>
      </c>
      <c r="L41" s="20" t="n">
        <v>0</v>
      </c>
      <c r="M41" s="18" t="n">
        <v>0</v>
      </c>
      <c r="N41" s="20" t="n">
        <v>0</v>
      </c>
      <c r="O41" s="18" t="n">
        <v>0</v>
      </c>
      <c r="P41" s="20" t="n">
        <v>0</v>
      </c>
      <c r="Q41" s="18" t="n">
        <v>0.44843912</v>
      </c>
      <c r="R41" s="20" t="n">
        <v>0.2482058</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(8620.0/B48*100)</f>
        <v/>
      </c>
      <c r="D48" s="19" t="n">
        <v>1221</v>
      </c>
      <c r="E48" s="18" t="n">
        <v>34.15304993</v>
      </c>
      <c r="F48" s="20" t="n">
        <v>1.95303241</v>
      </c>
      <c r="G48" s="18" t="n">
        <v>65.35842834</v>
      </c>
      <c r="H48" s="20" t="n">
        <v>1.95215203</v>
      </c>
      <c r="I48" s="18" t="s">
        <v>349</v>
      </c>
      <c r="J48" s="20" t="s">
        <v>349</v>
      </c>
      <c r="K48" s="18" t="n">
        <v>0.29613209</v>
      </c>
      <c r="L48" s="20" t="n">
        <v>0.18947695</v>
      </c>
      <c r="M48" s="18" t="n">
        <v>0</v>
      </c>
      <c r="N48" s="20" t="n">
        <v>0</v>
      </c>
      <c r="O48" s="18" t="n">
        <v>0</v>
      </c>
      <c r="P48" s="20" t="n">
        <v>0</v>
      </c>
      <c r="Q48" s="18" t="n">
        <v>0.19238965</v>
      </c>
      <c r="R48" s="20" t="n">
        <v>0.12959668</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(5092.0/B52*100)</f>
        <v/>
      </c>
      <c r="D52" s="19" t="n">
        <v>717</v>
      </c>
      <c r="E52" s="18" t="n">
        <v>41.75952874</v>
      </c>
      <c r="F52" s="20" t="n">
        <v>1.88256689</v>
      </c>
      <c r="G52" s="18" t="n">
        <v>54.7707956</v>
      </c>
      <c r="H52" s="20" t="n">
        <v>1.88824597</v>
      </c>
      <c r="I52" s="18" t="s">
        <v>349</v>
      </c>
      <c r="J52" s="20" t="s">
        <v>349</v>
      </c>
      <c r="K52" s="18" t="n">
        <v>1.74382722</v>
      </c>
      <c r="L52" s="20" t="n">
        <v>0.53639238</v>
      </c>
      <c r="M52" s="18" t="n">
        <v>0</v>
      </c>
      <c r="N52" s="20" t="n">
        <v>0</v>
      </c>
      <c r="O52" s="18" t="n">
        <v>0</v>
      </c>
      <c r="P52" s="20" t="n">
        <v>0</v>
      </c>
      <c r="Q52" s="18" t="n">
        <v>1.72584844</v>
      </c>
      <c r="R52" s="20" t="n">
        <v>0.50817321</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(4694.0/B56*100)</f>
        <v/>
      </c>
      <c r="D56" s="19" t="n">
        <v>665</v>
      </c>
      <c r="E56" s="18" t="n">
        <v>35.04308343</v>
      </c>
      <c r="F56" s="20" t="n">
        <v>2.42300033</v>
      </c>
      <c r="G56" s="18" t="n">
        <v>64.14177711000001</v>
      </c>
      <c r="H56" s="20" t="n">
        <v>2.40717948</v>
      </c>
      <c r="I56" s="18" t="s">
        <v>349</v>
      </c>
      <c r="J56" s="20" t="s">
        <v>349</v>
      </c>
      <c r="K56" s="18" t="n">
        <v>0.27684844</v>
      </c>
      <c r="L56" s="20" t="n">
        <v>0.30898223</v>
      </c>
      <c r="M56" s="18" t="n">
        <v>0</v>
      </c>
      <c r="N56" s="20" t="n">
        <v>0</v>
      </c>
      <c r="O56" s="18" t="n">
        <v>0</v>
      </c>
      <c r="P56" s="20" t="n">
        <v>0</v>
      </c>
      <c r="Q56" s="18" t="n">
        <v>0.53829102</v>
      </c>
      <c r="R56" s="20" t="n">
        <v>0.27421846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(5710.0/B61*100)</f>
        <v/>
      </c>
      <c r="D61" s="19" t="n">
        <v>815</v>
      </c>
      <c r="E61" s="18" t="n">
        <v>53.04795512</v>
      </c>
      <c r="F61" s="20" t="n">
        <v>1.94261892</v>
      </c>
      <c r="G61" s="18" t="n">
        <v>45.94065523</v>
      </c>
      <c r="H61" s="20" t="n">
        <v>1.94230803</v>
      </c>
      <c r="I61" s="18" t="s">
        <v>349</v>
      </c>
      <c r="J61" s="20" t="s">
        <v>349</v>
      </c>
      <c r="K61" s="18" t="n">
        <v>0.71059536</v>
      </c>
      <c r="L61" s="20" t="n">
        <v>0.3123632</v>
      </c>
      <c r="M61" s="18" t="n">
        <v>0</v>
      </c>
      <c r="N61" s="20" t="n">
        <v>0</v>
      </c>
      <c r="O61" s="18" t="n">
        <v>0</v>
      </c>
      <c r="P61" s="20" t="n">
        <v>0</v>
      </c>
      <c r="Q61" s="18" t="n">
        <v>0.30079428</v>
      </c>
      <c r="R61" s="20" t="n">
        <v>0.17053479</v>
      </c>
    </row>
    <row r="62" spans="1:18">
      <c r="A62" s="15" t="s">
        <v>404</v>
      </c>
      <c r="B62" s="17" t="n">
        <v>4476</v>
      </c>
      <c r="C62" s="18">
        <f>(3921.0/B62*100)</f>
        <v/>
      </c>
      <c r="D62" s="19" t="n">
        <v>555</v>
      </c>
      <c r="E62" s="18" t="n">
        <v>37.10439084</v>
      </c>
      <c r="F62" s="20" t="n">
        <v>1.97261832</v>
      </c>
      <c r="G62" s="18" t="n">
        <v>62.71669825</v>
      </c>
      <c r="H62" s="20" t="n">
        <v>1.99979202</v>
      </c>
      <c r="I62" s="18" t="s">
        <v>349</v>
      </c>
      <c r="J62" s="20" t="s">
        <v>349</v>
      </c>
      <c r="K62" s="18" t="n">
        <v>0</v>
      </c>
      <c r="L62" s="20" t="n">
        <v>0</v>
      </c>
      <c r="M62" s="18" t="n">
        <v>0</v>
      </c>
      <c r="N62" s="20" t="n">
        <v>0</v>
      </c>
      <c r="O62" s="18" t="n">
        <v>0</v>
      </c>
      <c r="P62" s="20" t="n">
        <v>0</v>
      </c>
      <c r="Q62" s="18" t="n">
        <v>0.17891092</v>
      </c>
      <c r="R62" s="20" t="n">
        <v>0.17968614</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(4975.0/B66*100)</f>
        <v/>
      </c>
      <c r="D66" s="19" t="n">
        <v>690</v>
      </c>
      <c r="E66" s="18" t="n">
        <v>48.58776539</v>
      </c>
      <c r="F66" s="20" t="n">
        <v>1.91991834</v>
      </c>
      <c r="G66" s="18" t="n">
        <v>47.44516185</v>
      </c>
      <c r="H66" s="20" t="n">
        <v>1.93911977</v>
      </c>
      <c r="I66" s="18" t="s">
        <v>349</v>
      </c>
      <c r="J66" s="20" t="s">
        <v>349</v>
      </c>
      <c r="K66" s="18" t="n">
        <v>2.12558505</v>
      </c>
      <c r="L66" s="20" t="n">
        <v>0.54036351</v>
      </c>
      <c r="M66" s="18" t="n">
        <v>0</v>
      </c>
      <c r="N66" s="20" t="n">
        <v>0</v>
      </c>
      <c r="O66" s="18" t="n">
        <v>0</v>
      </c>
      <c r="P66" s="20" t="n">
        <v>0</v>
      </c>
      <c r="Q66" s="18" t="n">
        <v>1.8414877</v>
      </c>
      <c r="R66" s="20" t="n">
        <v>0.5558128</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(10060.0/B68*100)</f>
        <v/>
      </c>
      <c r="D68" s="19" t="n">
        <v>2023</v>
      </c>
      <c r="E68" s="18" t="n">
        <v>62.01779225</v>
      </c>
      <c r="F68" s="20" t="n">
        <v>0.94421451</v>
      </c>
      <c r="G68" s="18" t="n">
        <v>33.95127734</v>
      </c>
      <c r="H68" s="20" t="n">
        <v>0.9640672300000001</v>
      </c>
      <c r="I68" s="18" t="s">
        <v>349</v>
      </c>
      <c r="J68" s="20" t="s">
        <v>349</v>
      </c>
      <c r="K68" s="18" t="n">
        <v>2.97886011</v>
      </c>
      <c r="L68" s="20" t="n">
        <v>0.35830079</v>
      </c>
      <c r="M68" s="18" t="n">
        <v>0</v>
      </c>
      <c r="N68" s="20" t="n">
        <v>0</v>
      </c>
      <c r="O68" s="18" t="n">
        <v>0</v>
      </c>
      <c r="P68" s="20" t="n">
        <v>0</v>
      </c>
      <c r="Q68" s="18" t="n">
        <v>1.0520703</v>
      </c>
      <c r="R68" s="20" t="n">
        <v>0.21084146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(5282.0/B70*100)</f>
        <v/>
      </c>
      <c r="D70" s="19" t="n">
        <v>754</v>
      </c>
      <c r="E70" s="18" t="n">
        <v>38.30798355</v>
      </c>
      <c r="F70" s="20" t="n">
        <v>1.743302</v>
      </c>
      <c r="G70" s="18" t="n">
        <v>59.96785747</v>
      </c>
      <c r="H70" s="20" t="n">
        <v>1.94388763</v>
      </c>
      <c r="I70" s="18" t="s">
        <v>349</v>
      </c>
      <c r="J70" s="20" t="s">
        <v>349</v>
      </c>
      <c r="K70" s="18" t="n">
        <v>0.33353393</v>
      </c>
      <c r="L70" s="20" t="n">
        <v>0.19231137</v>
      </c>
      <c r="M70" s="18" t="n">
        <v>0</v>
      </c>
      <c r="N70" s="20" t="n">
        <v>0</v>
      </c>
      <c r="O70" s="18" t="n">
        <v>0</v>
      </c>
      <c r="P70" s="20" t="n">
        <v>0</v>
      </c>
      <c r="Q70" s="18" t="n">
        <v>1.39062505</v>
      </c>
      <c r="R70" s="20" t="n">
        <v>0.54387142</v>
      </c>
    </row>
    <row r="71" spans="1:18">
      <c r="A71" s="15" t="s">
        <v>413</v>
      </c>
      <c r="B71" s="17" t="n">
        <v>6115</v>
      </c>
      <c r="C71" s="18">
        <f>(5352.0/B71*100)</f>
        <v/>
      </c>
      <c r="D71" s="19" t="n">
        <v>763</v>
      </c>
      <c r="E71" s="18" t="n">
        <v>32.53185953</v>
      </c>
      <c r="F71" s="20" t="n">
        <v>1.68160685</v>
      </c>
      <c r="G71" s="18" t="n">
        <v>66.8924998</v>
      </c>
      <c r="H71" s="20" t="n">
        <v>1.68430399</v>
      </c>
      <c r="I71" s="18" t="s">
        <v>349</v>
      </c>
      <c r="J71" s="20" t="s">
        <v>349</v>
      </c>
      <c r="K71" s="18" t="n">
        <v>0.20529296</v>
      </c>
      <c r="L71" s="20" t="n">
        <v>0.14620143</v>
      </c>
      <c r="M71" s="18" t="n">
        <v>0</v>
      </c>
      <c r="N71" s="20" t="n">
        <v>0</v>
      </c>
      <c r="O71" s="18" t="n">
        <v>0</v>
      </c>
      <c r="P71" s="20" t="n">
        <v>0</v>
      </c>
      <c r="Q71" s="18" t="n">
        <v>0.37034772</v>
      </c>
      <c r="R71" s="20" t="n">
        <v>0.2133163</v>
      </c>
    </row>
    <row r="72" spans="1:18">
      <c r="A72" s="15" t="s">
        <v>414</v>
      </c>
      <c r="B72" s="17" t="n">
        <v>7708</v>
      </c>
      <c r="C72" s="18">
        <f>(6757.0/B72*100)</f>
        <v/>
      </c>
      <c r="D72" s="19" t="n">
        <v>951</v>
      </c>
      <c r="E72" s="18" t="n">
        <v>32.59513792</v>
      </c>
      <c r="F72" s="20" t="n">
        <v>1.64659564</v>
      </c>
      <c r="G72" s="18" t="n">
        <v>67.0114396</v>
      </c>
      <c r="H72" s="20" t="n">
        <v>1.63899214</v>
      </c>
      <c r="I72" s="18" t="s">
        <v>349</v>
      </c>
      <c r="J72" s="20" t="s">
        <v>349</v>
      </c>
      <c r="K72" s="18" t="n">
        <v>0.24822546</v>
      </c>
      <c r="L72" s="20" t="n">
        <v>0.16190706</v>
      </c>
      <c r="M72" s="18" t="n">
        <v>0</v>
      </c>
      <c r="N72" s="20" t="n">
        <v>0</v>
      </c>
      <c r="O72" s="18" t="n">
        <v>0</v>
      </c>
      <c r="P72" s="20" t="n">
        <v>0</v>
      </c>
      <c r="Q72" s="18" t="n">
        <v>0.14519703</v>
      </c>
      <c r="R72" s="20" t="n">
        <v>0.14372824</v>
      </c>
    </row>
    <row r="73" spans="1:18">
      <c r="A73" s="15" t="s">
        <v>415</v>
      </c>
      <c r="B73" s="17" t="n">
        <v>8249</v>
      </c>
      <c r="C73" s="18">
        <f>(7245.0/B73*100)</f>
        <v/>
      </c>
      <c r="D73" s="19" t="n">
        <v>1004</v>
      </c>
      <c r="E73" s="18" t="n">
        <v>58.7100918</v>
      </c>
      <c r="F73" s="20" t="n">
        <v>1.95423726</v>
      </c>
      <c r="G73" s="18" t="n">
        <v>41.2899082</v>
      </c>
      <c r="H73" s="20" t="n">
        <v>1.95423726</v>
      </c>
      <c r="I73" s="18" t="s">
        <v>349</v>
      </c>
      <c r="J73" s="20" t="s">
        <v>349</v>
      </c>
      <c r="K73" s="18" t="n">
        <v>0</v>
      </c>
      <c r="L73" s="20" t="n">
        <v>0</v>
      </c>
      <c r="M73" s="18" t="n">
        <v>0</v>
      </c>
      <c r="N73" s="20" t="n">
        <v>0</v>
      </c>
      <c r="O73" s="18" t="n">
        <v>0</v>
      </c>
      <c r="P73" s="20" t="n">
        <v>0</v>
      </c>
      <c r="Q73" s="18" t="n">
        <v>0</v>
      </c>
      <c r="R73" s="20" t="n">
        <v>0</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(7751.0/B81*100)</f>
        <v/>
      </c>
      <c r="D81" s="19" t="n">
        <v>1110</v>
      </c>
      <c r="E81" s="18" t="n">
        <v>61.1314457</v>
      </c>
      <c r="F81" s="20" t="n">
        <v>1.87432343</v>
      </c>
      <c r="G81" s="18" t="n">
        <v>38.72704047</v>
      </c>
      <c r="H81" s="20" t="n">
        <v>1.91960917</v>
      </c>
      <c r="I81" s="18" t="s">
        <v>349</v>
      </c>
      <c r="J81" s="20" t="s">
        <v>349</v>
      </c>
      <c r="K81" s="18" t="n">
        <v>0.009194020000000001</v>
      </c>
      <c r="L81" s="20" t="n">
        <v>0.31166602</v>
      </c>
      <c r="M81" s="18" t="n">
        <v>0</v>
      </c>
      <c r="N81" s="20" t="n">
        <v>0</v>
      </c>
      <c r="O81" s="18" t="n">
        <v>0</v>
      </c>
      <c r="P81" s="20" t="n">
        <v>0</v>
      </c>
      <c r="Q81" s="18" t="n">
        <v>0.13231982</v>
      </c>
      <c r="R81" s="20" t="n">
        <v>0.13081634</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(12788.0/B7*100)</f>
        <v/>
      </c>
      <c r="D7" s="19" t="n">
        <v>1742</v>
      </c>
      <c r="E7" s="18" t="n">
        <v>80.76570262</v>
      </c>
      <c r="F7" s="20" t="n">
        <v>1.13735365</v>
      </c>
      <c r="G7" s="18" t="n">
        <v>2.72177582</v>
      </c>
      <c r="H7" s="20" t="n">
        <v>0.46855565</v>
      </c>
      <c r="I7" s="18" t="s">
        <v>349</v>
      </c>
      <c r="J7" s="20" t="s">
        <v>349</v>
      </c>
      <c r="K7" s="18" t="n">
        <v>2.66944976</v>
      </c>
      <c r="L7" s="20" t="n">
        <v>0.50614601</v>
      </c>
      <c r="M7" s="18" t="n">
        <v>0</v>
      </c>
      <c r="N7" s="20" t="n">
        <v>0</v>
      </c>
      <c r="O7" s="18" t="n">
        <v>0</v>
      </c>
      <c r="P7" s="20" t="n">
        <v>0</v>
      </c>
      <c r="Q7" s="18" t="n">
        <v>13.8430718</v>
      </c>
      <c r="R7" s="20" t="n">
        <v>0.97394579</v>
      </c>
    </row>
    <row r="8" spans="1:18">
      <c r="A8" s="15" t="s">
        <v>350</v>
      </c>
      <c r="B8" s="17" t="n">
        <v>7007</v>
      </c>
      <c r="C8" s="18">
        <f>(6171.0/B8*100)</f>
        <v/>
      </c>
      <c r="D8" s="19" t="n">
        <v>836</v>
      </c>
      <c r="E8" s="18" t="n">
        <v>71.01482710000001</v>
      </c>
      <c r="F8" s="20" t="n">
        <v>1.53442418</v>
      </c>
      <c r="G8" s="18" t="n">
        <v>3.08717129</v>
      </c>
      <c r="H8" s="20" t="n">
        <v>0.57330518</v>
      </c>
      <c r="I8" s="18" t="s">
        <v>349</v>
      </c>
      <c r="J8" s="20" t="s">
        <v>349</v>
      </c>
      <c r="K8" s="18" t="n">
        <v>4.55132105</v>
      </c>
      <c r="L8" s="20" t="n">
        <v>1.00833667</v>
      </c>
      <c r="M8" s="18" t="n">
        <v>0</v>
      </c>
      <c r="N8" s="20" t="n">
        <v>0</v>
      </c>
      <c r="O8" s="18" t="n">
        <v>0</v>
      </c>
      <c r="P8" s="20" t="n">
        <v>0</v>
      </c>
      <c r="Q8" s="18" t="n">
        <v>21.34668055</v>
      </c>
      <c r="R8" s="20" t="n">
        <v>1.55034696</v>
      </c>
    </row>
    <row r="9" spans="1:18">
      <c r="A9" s="15" t="s">
        <v>351</v>
      </c>
      <c r="B9" s="17" t="n">
        <v>9651</v>
      </c>
      <c r="C9" s="18">
        <f>(8486.0/B9*100)</f>
        <v/>
      </c>
      <c r="D9" s="19" t="n">
        <v>1165</v>
      </c>
      <c r="E9" s="18" t="n">
        <v>74.27311167000001</v>
      </c>
      <c r="F9" s="20" t="n">
        <v>1.45642154</v>
      </c>
      <c r="G9" s="18" t="n">
        <v>4.43578065</v>
      </c>
      <c r="H9" s="20" t="n">
        <v>0.50507919</v>
      </c>
      <c r="I9" s="18" t="s">
        <v>349</v>
      </c>
      <c r="J9" s="20" t="s">
        <v>349</v>
      </c>
      <c r="K9" s="18" t="n">
        <v>2.02330063</v>
      </c>
      <c r="L9" s="20" t="n">
        <v>0.47576428</v>
      </c>
      <c r="M9" s="18" t="n">
        <v>0</v>
      </c>
      <c r="N9" s="20" t="n">
        <v>0</v>
      </c>
      <c r="O9" s="18" t="n">
        <v>0</v>
      </c>
      <c r="P9" s="20" t="n">
        <v>0</v>
      </c>
      <c r="Q9" s="18" t="n">
        <v>19.26780706</v>
      </c>
      <c r="R9" s="20" t="n">
        <v>1.45945675</v>
      </c>
    </row>
    <row r="10" spans="1:18">
      <c r="A10" s="15" t="s">
        <v>352</v>
      </c>
      <c r="B10" s="17" t="n">
        <v>20058</v>
      </c>
      <c r="C10" s="18">
        <f>(17614.0/B10*100)</f>
        <v/>
      </c>
      <c r="D10" s="19" t="n">
        <v>2444</v>
      </c>
      <c r="E10" s="18" t="n">
        <v>83.09297327</v>
      </c>
      <c r="F10" s="20" t="n">
        <v>1.18834213</v>
      </c>
      <c r="G10" s="18" t="n">
        <v>2.69029486</v>
      </c>
      <c r="H10" s="20" t="n">
        <v>0.43418979</v>
      </c>
      <c r="I10" s="18" t="s">
        <v>349</v>
      </c>
      <c r="J10" s="20" t="s">
        <v>349</v>
      </c>
      <c r="K10" s="18" t="n">
        <v>1.65263347</v>
      </c>
      <c r="L10" s="20" t="n">
        <v>0.36679592</v>
      </c>
      <c r="M10" s="18" t="n">
        <v>0</v>
      </c>
      <c r="N10" s="20" t="n">
        <v>0</v>
      </c>
      <c r="O10" s="18" t="n">
        <v>0</v>
      </c>
      <c r="P10" s="20" t="n">
        <v>0</v>
      </c>
      <c r="Q10" s="18" t="n">
        <v>12.5640984</v>
      </c>
      <c r="R10" s="20" t="n">
        <v>1.07273457</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(6071.0/B12*100)</f>
        <v/>
      </c>
      <c r="D12" s="19" t="n">
        <v>823</v>
      </c>
      <c r="E12" s="18" t="n">
        <v>82.52620328</v>
      </c>
      <c r="F12" s="20" t="n">
        <v>1.23143399</v>
      </c>
      <c r="G12" s="18" t="n">
        <v>3.10150947</v>
      </c>
      <c r="H12" s="20" t="n">
        <v>0.49401952</v>
      </c>
      <c r="I12" s="18" t="s">
        <v>349</v>
      </c>
      <c r="J12" s="20" t="s">
        <v>349</v>
      </c>
      <c r="K12" s="18" t="n">
        <v>3.31505524</v>
      </c>
      <c r="L12" s="20" t="n">
        <v>0.75181645</v>
      </c>
      <c r="M12" s="18" t="n">
        <v>0</v>
      </c>
      <c r="N12" s="20" t="n">
        <v>0</v>
      </c>
      <c r="O12" s="18" t="n">
        <v>0</v>
      </c>
      <c r="P12" s="20" t="n">
        <v>0</v>
      </c>
      <c r="Q12" s="18" t="n">
        <v>11.05723201</v>
      </c>
      <c r="R12" s="20" t="n">
        <v>1.04729584</v>
      </c>
    </row>
    <row r="13" spans="1:18">
      <c r="A13" s="15" t="s">
        <v>355</v>
      </c>
      <c r="B13" s="17" t="n">
        <v>7161</v>
      </c>
      <c r="C13" s="18">
        <f>(6327.0/B13*100)</f>
        <v/>
      </c>
      <c r="D13" s="19" t="n">
        <v>834</v>
      </c>
      <c r="E13" s="18" t="n">
        <v>87.00841792</v>
      </c>
      <c r="F13" s="20" t="n">
        <v>1.26334815</v>
      </c>
      <c r="G13" s="18" t="n">
        <v>0.9850245399999999</v>
      </c>
      <c r="H13" s="20" t="n">
        <v>0.44089975</v>
      </c>
      <c r="I13" s="18" t="s">
        <v>349</v>
      </c>
      <c r="J13" s="20" t="s">
        <v>349</v>
      </c>
      <c r="K13" s="18" t="n">
        <v>2.54799147</v>
      </c>
      <c r="L13" s="20" t="n">
        <v>0.63201545</v>
      </c>
      <c r="M13" s="18" t="n">
        <v>0</v>
      </c>
      <c r="N13" s="20" t="n">
        <v>0</v>
      </c>
      <c r="O13" s="18" t="n">
        <v>0</v>
      </c>
      <c r="P13" s="20" t="n">
        <v>0</v>
      </c>
      <c r="Q13" s="18" t="n">
        <v>9.45856607</v>
      </c>
      <c r="R13" s="20" t="n">
        <v>1.07777946</v>
      </c>
    </row>
    <row r="14" spans="1:18">
      <c r="A14" s="15" t="s">
        <v>356</v>
      </c>
      <c r="B14" s="17" t="n">
        <v>5587</v>
      </c>
      <c r="C14" s="18">
        <f>(4876.0/B14*100)</f>
        <v/>
      </c>
      <c r="D14" s="19" t="n">
        <v>711</v>
      </c>
      <c r="E14" s="18" t="n">
        <v>78.96293817999999</v>
      </c>
      <c r="F14" s="20" t="n">
        <v>1.52626597</v>
      </c>
      <c r="G14" s="18" t="n">
        <v>4.48206511</v>
      </c>
      <c r="H14" s="20" t="n">
        <v>0.9364739</v>
      </c>
      <c r="I14" s="18" t="s">
        <v>349</v>
      </c>
      <c r="J14" s="20" t="s">
        <v>349</v>
      </c>
      <c r="K14" s="18" t="n">
        <v>1.54138122</v>
      </c>
      <c r="L14" s="20" t="n">
        <v>0.5183546</v>
      </c>
      <c r="M14" s="18" t="n">
        <v>0</v>
      </c>
      <c r="N14" s="20" t="n">
        <v>0</v>
      </c>
      <c r="O14" s="18" t="n">
        <v>0</v>
      </c>
      <c r="P14" s="20" t="n">
        <v>0</v>
      </c>
      <c r="Q14" s="18" t="n">
        <v>15.01361549</v>
      </c>
      <c r="R14" s="20" t="n">
        <v>1.34308073</v>
      </c>
    </row>
    <row r="15" spans="1:18">
      <c r="A15" s="15" t="s">
        <v>357</v>
      </c>
      <c r="B15" s="17" t="n">
        <v>5882</v>
      </c>
      <c r="C15" s="18">
        <f>(5162.0/B15*100)</f>
        <v/>
      </c>
      <c r="D15" s="19" t="n">
        <v>720</v>
      </c>
      <c r="E15" s="18" t="n">
        <v>79.38654783</v>
      </c>
      <c r="F15" s="20" t="n">
        <v>1.51612998</v>
      </c>
      <c r="G15" s="18" t="n">
        <v>2.0257212</v>
      </c>
      <c r="H15" s="20" t="n">
        <v>0.54161109</v>
      </c>
      <c r="I15" s="18" t="s">
        <v>349</v>
      </c>
      <c r="J15" s="20" t="s">
        <v>349</v>
      </c>
      <c r="K15" s="18" t="n">
        <v>1.73820707</v>
      </c>
      <c r="L15" s="20" t="n">
        <v>0.52249274</v>
      </c>
      <c r="M15" s="18" t="n">
        <v>0</v>
      </c>
      <c r="N15" s="20" t="n">
        <v>0</v>
      </c>
      <c r="O15" s="18" t="n">
        <v>0</v>
      </c>
      <c r="P15" s="20" t="n">
        <v>0</v>
      </c>
      <c r="Q15" s="18" t="n">
        <v>16.8495239</v>
      </c>
      <c r="R15" s="20" t="n">
        <v>1.45322649</v>
      </c>
    </row>
    <row r="16" spans="1:18">
      <c r="A16" s="15" t="s">
        <v>358</v>
      </c>
      <c r="B16" s="17" t="n">
        <v>6108</v>
      </c>
      <c r="C16" s="18">
        <f>(5350.0/B16*100)</f>
        <v/>
      </c>
      <c r="D16" s="19" t="n">
        <v>758</v>
      </c>
      <c r="E16" s="18" t="n">
        <v>69.47602022</v>
      </c>
      <c r="F16" s="20" t="n">
        <v>1.69497712</v>
      </c>
      <c r="G16" s="18" t="n">
        <v>1.96001681</v>
      </c>
      <c r="H16" s="20" t="n">
        <v>0.4914356</v>
      </c>
      <c r="I16" s="18" t="s">
        <v>349</v>
      </c>
      <c r="J16" s="20" t="s">
        <v>349</v>
      </c>
      <c r="K16" s="18" t="n">
        <v>6.41243699</v>
      </c>
      <c r="L16" s="20" t="n">
        <v>0.98879644</v>
      </c>
      <c r="M16" s="18" t="n">
        <v>0</v>
      </c>
      <c r="N16" s="20" t="n">
        <v>0</v>
      </c>
      <c r="O16" s="18" t="n">
        <v>0</v>
      </c>
      <c r="P16" s="20" t="n">
        <v>0</v>
      </c>
      <c r="Q16" s="18" t="n">
        <v>22.15152598</v>
      </c>
      <c r="R16" s="20" t="n">
        <v>1.45069155</v>
      </c>
    </row>
    <row r="17" spans="1:18">
      <c r="A17" s="15" t="s">
        <v>359</v>
      </c>
      <c r="B17" s="17" t="n">
        <v>6504</v>
      </c>
      <c r="C17" s="18">
        <f>(5709.0/B17*100)</f>
        <v/>
      </c>
      <c r="D17" s="19" t="n">
        <v>795</v>
      </c>
      <c r="E17" s="18" t="n">
        <v>68.51732228</v>
      </c>
      <c r="F17" s="20" t="n">
        <v>1.70529941</v>
      </c>
      <c r="G17" s="18" t="n">
        <v>3.43599942</v>
      </c>
      <c r="H17" s="20" t="n">
        <v>0.64292885</v>
      </c>
      <c r="I17" s="18" t="s">
        <v>349</v>
      </c>
      <c r="J17" s="20" t="s">
        <v>349</v>
      </c>
      <c r="K17" s="18" t="n">
        <v>3.09645333</v>
      </c>
      <c r="L17" s="20" t="n">
        <v>0.62068535</v>
      </c>
      <c r="M17" s="18" t="n">
        <v>0</v>
      </c>
      <c r="N17" s="20" t="n">
        <v>0</v>
      </c>
      <c r="O17" s="18" t="n">
        <v>0</v>
      </c>
      <c r="P17" s="20" t="n">
        <v>0</v>
      </c>
      <c r="Q17" s="18" t="n">
        <v>24.95022497</v>
      </c>
      <c r="R17" s="20" t="n">
        <v>1.73727388</v>
      </c>
    </row>
    <row r="18" spans="1:18">
      <c r="A18" s="15" t="s">
        <v>360</v>
      </c>
      <c r="B18" s="17" t="n">
        <v>5532</v>
      </c>
      <c r="C18" s="18">
        <f>(4846.0/B18*100)</f>
        <v/>
      </c>
      <c r="D18" s="19" t="n">
        <v>686</v>
      </c>
      <c r="E18" s="18" t="n">
        <v>79.95662618</v>
      </c>
      <c r="F18" s="20" t="n">
        <v>1.47467935</v>
      </c>
      <c r="G18" s="18" t="n">
        <v>1.85863002</v>
      </c>
      <c r="H18" s="20" t="n">
        <v>0.48001374</v>
      </c>
      <c r="I18" s="18" t="s">
        <v>349</v>
      </c>
      <c r="J18" s="20" t="s">
        <v>349</v>
      </c>
      <c r="K18" s="18" t="n">
        <v>2.58892709</v>
      </c>
      <c r="L18" s="20" t="n">
        <v>0.71971419</v>
      </c>
      <c r="M18" s="18" t="n">
        <v>0</v>
      </c>
      <c r="N18" s="20" t="n">
        <v>0</v>
      </c>
      <c r="O18" s="18" t="n">
        <v>0</v>
      </c>
      <c r="P18" s="20" t="n">
        <v>0</v>
      </c>
      <c r="Q18" s="18" t="n">
        <v>15.59581671</v>
      </c>
      <c r="R18" s="20" t="n">
        <v>1.38786649</v>
      </c>
    </row>
    <row r="19" spans="1:18">
      <c r="A19" s="15" t="s">
        <v>361</v>
      </c>
      <c r="B19" s="17" t="n">
        <v>5658</v>
      </c>
      <c r="C19" s="18">
        <f>(4994.0/B19*100)</f>
        <v/>
      </c>
      <c r="D19" s="19" t="n">
        <v>664</v>
      </c>
      <c r="E19" s="18" t="n">
        <v>74.31780956</v>
      </c>
      <c r="F19" s="20" t="n">
        <v>1.59623139</v>
      </c>
      <c r="G19" s="18" t="n">
        <v>3.32234728</v>
      </c>
      <c r="H19" s="20" t="n">
        <v>0.6769343</v>
      </c>
      <c r="I19" s="18" t="s">
        <v>349</v>
      </c>
      <c r="J19" s="20" t="s">
        <v>349</v>
      </c>
      <c r="K19" s="18" t="n">
        <v>1.50809715</v>
      </c>
      <c r="L19" s="20" t="n">
        <v>0.55861155</v>
      </c>
      <c r="M19" s="18" t="n">
        <v>0</v>
      </c>
      <c r="N19" s="20" t="n">
        <v>0</v>
      </c>
      <c r="O19" s="18" t="n">
        <v>0</v>
      </c>
      <c r="P19" s="20" t="n">
        <v>0</v>
      </c>
      <c r="Q19" s="18" t="n">
        <v>20.85174601</v>
      </c>
      <c r="R19" s="20" t="n">
        <v>1.53563018</v>
      </c>
    </row>
    <row r="20" spans="1:18">
      <c r="A20" s="15" t="s">
        <v>362</v>
      </c>
      <c r="B20" s="17" t="n">
        <v>3371</v>
      </c>
      <c r="C20" s="18">
        <f>(2956.0/B20*100)</f>
        <v/>
      </c>
      <c r="D20" s="19" t="n">
        <v>415</v>
      </c>
      <c r="E20" s="18" t="n">
        <v>77.39418854</v>
      </c>
      <c r="F20" s="20" t="n">
        <v>2.28913471</v>
      </c>
      <c r="G20" s="18" t="n">
        <v>0.22686812</v>
      </c>
      <c r="H20" s="20" t="n">
        <v>0.22870852</v>
      </c>
      <c r="I20" s="18" t="s">
        <v>349</v>
      </c>
      <c r="J20" s="20" t="s">
        <v>349</v>
      </c>
      <c r="K20" s="18" t="n">
        <v>4.51551096</v>
      </c>
      <c r="L20" s="20" t="n">
        <v>1.00952476</v>
      </c>
      <c r="M20" s="18" t="n">
        <v>0</v>
      </c>
      <c r="N20" s="20" t="n">
        <v>0</v>
      </c>
      <c r="O20" s="18" t="n">
        <v>0</v>
      </c>
      <c r="P20" s="20" t="n">
        <v>0</v>
      </c>
      <c r="Q20" s="18" t="n">
        <v>17.86343238</v>
      </c>
      <c r="R20" s="20" t="n">
        <v>2.09757667</v>
      </c>
    </row>
    <row r="21" spans="1:18">
      <c r="A21" s="15" t="s">
        <v>363</v>
      </c>
      <c r="B21" s="17" t="n">
        <v>5741</v>
      </c>
      <c r="C21" s="18">
        <f>(4802.0/B21*100)</f>
        <v/>
      </c>
      <c r="D21" s="19" t="n">
        <v>939</v>
      </c>
      <c r="E21" s="18" t="n">
        <v>81.54066462</v>
      </c>
      <c r="F21" s="20" t="n">
        <v>1.29099796</v>
      </c>
      <c r="G21" s="18" t="n">
        <v>1.46226332</v>
      </c>
      <c r="H21" s="20" t="n">
        <v>0.40373673</v>
      </c>
      <c r="I21" s="18" t="s">
        <v>349</v>
      </c>
      <c r="J21" s="20" t="s">
        <v>349</v>
      </c>
      <c r="K21" s="18" t="n">
        <v>1.39145423</v>
      </c>
      <c r="L21" s="20" t="n">
        <v>0.44709472</v>
      </c>
      <c r="M21" s="18" t="n">
        <v>0</v>
      </c>
      <c r="N21" s="20" t="n">
        <v>0</v>
      </c>
      <c r="O21" s="18" t="n">
        <v>0</v>
      </c>
      <c r="P21" s="20" t="n">
        <v>0</v>
      </c>
      <c r="Q21" s="18" t="n">
        <v>15.60561782</v>
      </c>
      <c r="R21" s="20" t="n">
        <v>1.14960597</v>
      </c>
    </row>
    <row r="22" spans="1:18">
      <c r="A22" s="15" t="s">
        <v>364</v>
      </c>
      <c r="B22" s="17" t="n">
        <v>6598</v>
      </c>
      <c r="C22" s="18">
        <f>(5767.0/B22*100)</f>
        <v/>
      </c>
      <c r="D22" s="19" t="n">
        <v>831</v>
      </c>
      <c r="E22" s="18" t="n">
        <v>72.29133154</v>
      </c>
      <c r="F22" s="20" t="n">
        <v>1.67298374</v>
      </c>
      <c r="G22" s="18" t="n">
        <v>1.48220362</v>
      </c>
      <c r="H22" s="20" t="n">
        <v>0.37432769</v>
      </c>
      <c r="I22" s="18" t="s">
        <v>349</v>
      </c>
      <c r="J22" s="20" t="s">
        <v>349</v>
      </c>
      <c r="K22" s="18" t="n">
        <v>4.81608456</v>
      </c>
      <c r="L22" s="20" t="n">
        <v>0.86394931</v>
      </c>
      <c r="M22" s="18" t="n">
        <v>0</v>
      </c>
      <c r="N22" s="20" t="n">
        <v>0</v>
      </c>
      <c r="O22" s="18" t="n">
        <v>0</v>
      </c>
      <c r="P22" s="20" t="n">
        <v>0</v>
      </c>
      <c r="Q22" s="18" t="n">
        <v>21.41038028</v>
      </c>
      <c r="R22" s="20" t="n">
        <v>1.31923409</v>
      </c>
    </row>
    <row r="23" spans="1:18">
      <c r="A23" s="15" t="s">
        <v>365</v>
      </c>
      <c r="B23" s="17" t="n">
        <v>11583</v>
      </c>
      <c r="C23" s="18">
        <f>(10178.0/B23*100)</f>
        <v/>
      </c>
      <c r="D23" s="19" t="n">
        <v>1405</v>
      </c>
      <c r="E23" s="18" t="n">
        <v>65.62400323999999</v>
      </c>
      <c r="F23" s="20" t="n">
        <v>1.80251243</v>
      </c>
      <c r="G23" s="18" t="n">
        <v>5.88648824</v>
      </c>
      <c r="H23" s="20" t="n">
        <v>0.95034966</v>
      </c>
      <c r="I23" s="18" t="s">
        <v>349</v>
      </c>
      <c r="J23" s="20" t="s">
        <v>349</v>
      </c>
      <c r="K23" s="18" t="n">
        <v>5.15325746</v>
      </c>
      <c r="L23" s="20" t="n">
        <v>0.80349174</v>
      </c>
      <c r="M23" s="18" t="n">
        <v>0</v>
      </c>
      <c r="N23" s="20" t="n">
        <v>0</v>
      </c>
      <c r="O23" s="18" t="n">
        <v>0</v>
      </c>
      <c r="P23" s="20" t="n">
        <v>0</v>
      </c>
      <c r="Q23" s="18" t="n">
        <v>23.33625106</v>
      </c>
      <c r="R23" s="20" t="n">
        <v>1.45953957</v>
      </c>
    </row>
    <row r="24" spans="1:18">
      <c r="A24" s="15" t="s">
        <v>366</v>
      </c>
      <c r="B24" s="17" t="n">
        <v>6647</v>
      </c>
      <c r="C24" s="18">
        <f>(5848.0/B24*100)</f>
        <v/>
      </c>
      <c r="D24" s="19" t="n">
        <v>799</v>
      </c>
      <c r="E24" s="18" t="n">
        <v>47.32097863</v>
      </c>
      <c r="F24" s="20" t="n">
        <v>1.87883376</v>
      </c>
      <c r="G24" s="18" t="n">
        <v>12.9920051</v>
      </c>
      <c r="H24" s="20" t="n">
        <v>1.42944698</v>
      </c>
      <c r="I24" s="18" t="s">
        <v>349</v>
      </c>
      <c r="J24" s="20" t="s">
        <v>349</v>
      </c>
      <c r="K24" s="18" t="n">
        <v>2.97503932</v>
      </c>
      <c r="L24" s="20" t="n">
        <v>0.6568991</v>
      </c>
      <c r="M24" s="18" t="n">
        <v>0</v>
      </c>
      <c r="N24" s="20" t="n">
        <v>0</v>
      </c>
      <c r="O24" s="18" t="n">
        <v>0</v>
      </c>
      <c r="P24" s="20" t="n">
        <v>0</v>
      </c>
      <c r="Q24" s="18" t="n">
        <v>36.71197694</v>
      </c>
      <c r="R24" s="20" t="n">
        <v>1.95910497</v>
      </c>
    </row>
    <row r="25" spans="1:18">
      <c r="A25" s="15" t="s">
        <v>367</v>
      </c>
      <c r="B25" s="17" t="n">
        <v>5581</v>
      </c>
      <c r="C25" s="18">
        <f>(4903.0/B25*100)</f>
        <v/>
      </c>
      <c r="D25" s="19" t="n">
        <v>678</v>
      </c>
      <c r="E25" s="18" t="n">
        <v>59.60264202</v>
      </c>
      <c r="F25" s="20" t="n">
        <v>1.98960615</v>
      </c>
      <c r="G25" s="18" t="n">
        <v>13.60605586</v>
      </c>
      <c r="H25" s="20" t="n">
        <v>1.63657485</v>
      </c>
      <c r="I25" s="18" t="s">
        <v>349</v>
      </c>
      <c r="J25" s="20" t="s">
        <v>349</v>
      </c>
      <c r="K25" s="18" t="n">
        <v>2.95760022</v>
      </c>
      <c r="L25" s="20" t="n">
        <v>0.72194806</v>
      </c>
      <c r="M25" s="18" t="n">
        <v>0</v>
      </c>
      <c r="N25" s="20" t="n">
        <v>0</v>
      </c>
      <c r="O25" s="18" t="n">
        <v>0</v>
      </c>
      <c r="P25" s="20" t="n">
        <v>0</v>
      </c>
      <c r="Q25" s="18" t="n">
        <v>23.8337019</v>
      </c>
      <c r="R25" s="20" t="n">
        <v>1.75657227</v>
      </c>
    </row>
    <row r="26" spans="1:18">
      <c r="A26" s="15" t="s">
        <v>368</v>
      </c>
      <c r="B26" s="17" t="n">
        <v>4869</v>
      </c>
      <c r="C26" s="18">
        <f>(4271.0/B26*100)</f>
        <v/>
      </c>
      <c r="D26" s="19" t="n">
        <v>598</v>
      </c>
      <c r="E26" s="18" t="n">
        <v>78.75814852000001</v>
      </c>
      <c r="F26" s="20" t="n">
        <v>1.70425949</v>
      </c>
      <c r="G26" s="18" t="n">
        <v>2.33253558</v>
      </c>
      <c r="H26" s="20" t="n">
        <v>0.6018902699999999</v>
      </c>
      <c r="I26" s="18" t="s">
        <v>349</v>
      </c>
      <c r="J26" s="20" t="s">
        <v>349</v>
      </c>
      <c r="K26" s="18" t="n">
        <v>0.94330021</v>
      </c>
      <c r="L26" s="20" t="n">
        <v>0.39537927</v>
      </c>
      <c r="M26" s="18" t="n">
        <v>0</v>
      </c>
      <c r="N26" s="20" t="n">
        <v>0</v>
      </c>
      <c r="O26" s="18" t="n">
        <v>0</v>
      </c>
      <c r="P26" s="20" t="n">
        <v>0</v>
      </c>
      <c r="Q26" s="18" t="n">
        <v>17.9660157</v>
      </c>
      <c r="R26" s="20" t="n">
        <v>1.61145287</v>
      </c>
    </row>
    <row r="27" spans="1:18">
      <c r="A27" s="15" t="s">
        <v>369</v>
      </c>
      <c r="B27" s="17" t="n">
        <v>5299</v>
      </c>
      <c r="C27" s="18">
        <f>(4655.0/B27*100)</f>
        <v/>
      </c>
      <c r="D27" s="19" t="n">
        <v>644</v>
      </c>
      <c r="E27" s="18" t="n">
        <v>72.10873337</v>
      </c>
      <c r="F27" s="20" t="n">
        <v>1.84063316</v>
      </c>
      <c r="G27" s="18" t="n">
        <v>2.79392453</v>
      </c>
      <c r="H27" s="20" t="n">
        <v>0.69660738</v>
      </c>
      <c r="I27" s="18" t="s">
        <v>349</v>
      </c>
      <c r="J27" s="20" t="s">
        <v>349</v>
      </c>
      <c r="K27" s="18" t="n">
        <v>4.52870487</v>
      </c>
      <c r="L27" s="20" t="n">
        <v>0.90895098</v>
      </c>
      <c r="M27" s="18" t="n">
        <v>0</v>
      </c>
      <c r="N27" s="20" t="n">
        <v>0</v>
      </c>
      <c r="O27" s="18" t="n">
        <v>0</v>
      </c>
      <c r="P27" s="20" t="n">
        <v>0</v>
      </c>
      <c r="Q27" s="18" t="n">
        <v>20.56863723</v>
      </c>
      <c r="R27" s="20" t="n">
        <v>1.61746849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86.59299157</v>
      </c>
      <c r="F29" s="20" t="n">
        <v>1.436872</v>
      </c>
      <c r="G29" s="18" t="n">
        <v>2.2417211</v>
      </c>
      <c r="H29" s="20" t="n">
        <v>0.55133265</v>
      </c>
      <c r="I29" s="18" t="s">
        <v>349</v>
      </c>
      <c r="J29" s="20" t="s">
        <v>349</v>
      </c>
      <c r="K29" s="18" t="n">
        <v>1.48632202</v>
      </c>
      <c r="L29" s="20" t="n">
        <v>0.46191567</v>
      </c>
      <c r="M29" s="18" t="n">
        <v>0</v>
      </c>
      <c r="N29" s="20" t="n">
        <v>0</v>
      </c>
      <c r="O29" s="18" t="n">
        <v>0</v>
      </c>
      <c r="P29" s="20" t="n">
        <v>0</v>
      </c>
      <c r="Q29" s="18" t="n">
        <v>9.6789653</v>
      </c>
      <c r="R29" s="20" t="n">
        <v>1.1592089</v>
      </c>
    </row>
    <row r="30" spans="1:18">
      <c r="A30" s="15" t="s">
        <v>372</v>
      </c>
      <c r="B30" s="17" t="n">
        <v>4520</v>
      </c>
      <c r="C30" s="18">
        <f>(3989.0/B30*100)</f>
        <v/>
      </c>
      <c r="D30" s="19" t="n">
        <v>531</v>
      </c>
      <c r="E30" s="18" t="n">
        <v>76.79021947</v>
      </c>
      <c r="F30" s="20" t="n">
        <v>2.10951831</v>
      </c>
      <c r="G30" s="18" t="n">
        <v>3.17120619</v>
      </c>
      <c r="H30" s="20" t="n">
        <v>0.80257775</v>
      </c>
      <c r="I30" s="18" t="s">
        <v>349</v>
      </c>
      <c r="J30" s="20" t="s">
        <v>349</v>
      </c>
      <c r="K30" s="18" t="n">
        <v>4.93316544</v>
      </c>
      <c r="L30" s="20" t="n">
        <v>1.16973292</v>
      </c>
      <c r="M30" s="18" t="n">
        <v>0</v>
      </c>
      <c r="N30" s="20" t="n">
        <v>0</v>
      </c>
      <c r="O30" s="18" t="n">
        <v>0</v>
      </c>
      <c r="P30" s="20" t="n">
        <v>0</v>
      </c>
      <c r="Q30" s="18" t="n">
        <v>15.1054089</v>
      </c>
      <c r="R30" s="20" t="n">
        <v>1.69467025</v>
      </c>
    </row>
    <row r="31" spans="1:18">
      <c r="A31" s="15" t="s">
        <v>373</v>
      </c>
      <c r="B31" s="17" t="n">
        <v>5456</v>
      </c>
      <c r="C31" s="18">
        <f>(4763.0/B31*100)</f>
        <v/>
      </c>
      <c r="D31" s="19" t="n">
        <v>693</v>
      </c>
      <c r="E31" s="18" t="n">
        <v>74.27293491</v>
      </c>
      <c r="F31" s="20" t="n">
        <v>1.40068921</v>
      </c>
      <c r="G31" s="18" t="n">
        <v>2.00994359</v>
      </c>
      <c r="H31" s="20" t="n">
        <v>0.50104706</v>
      </c>
      <c r="I31" s="18" t="s">
        <v>349</v>
      </c>
      <c r="J31" s="20" t="s">
        <v>349</v>
      </c>
      <c r="K31" s="18" t="n">
        <v>4.65866277</v>
      </c>
      <c r="L31" s="20" t="n">
        <v>0.74417557</v>
      </c>
      <c r="M31" s="18" t="n">
        <v>0</v>
      </c>
      <c r="N31" s="20" t="n">
        <v>0</v>
      </c>
      <c r="O31" s="18" t="n">
        <v>0</v>
      </c>
      <c r="P31" s="20" t="n">
        <v>0</v>
      </c>
      <c r="Q31" s="18" t="n">
        <v>19.05845873</v>
      </c>
      <c r="R31" s="20" t="n">
        <v>1.31205112</v>
      </c>
    </row>
    <row r="32" spans="1:18">
      <c r="A32" s="15" t="s">
        <v>374</v>
      </c>
      <c r="B32" s="17" t="n">
        <v>4478</v>
      </c>
      <c r="C32" s="18">
        <f>(3729.0/B32*100)</f>
        <v/>
      </c>
      <c r="D32" s="19" t="n">
        <v>749</v>
      </c>
      <c r="E32" s="18" t="n">
        <v>69.56774741</v>
      </c>
      <c r="F32" s="20" t="n">
        <v>1.5480778</v>
      </c>
      <c r="G32" s="18" t="n">
        <v>4.88785976</v>
      </c>
      <c r="H32" s="20" t="n">
        <v>0.84755707</v>
      </c>
      <c r="I32" s="18" t="s">
        <v>349</v>
      </c>
      <c r="J32" s="20" t="s">
        <v>349</v>
      </c>
      <c r="K32" s="18" t="n">
        <v>2.15203575</v>
      </c>
      <c r="L32" s="20" t="n">
        <v>0.45379727</v>
      </c>
      <c r="M32" s="18" t="n">
        <v>0</v>
      </c>
      <c r="N32" s="20" t="n">
        <v>0</v>
      </c>
      <c r="O32" s="18" t="n">
        <v>0</v>
      </c>
      <c r="P32" s="20" t="n">
        <v>0</v>
      </c>
      <c r="Q32" s="18" t="n">
        <v>23.39235708</v>
      </c>
      <c r="R32" s="20" t="n">
        <v>1.47251979</v>
      </c>
    </row>
    <row r="33" spans="1:18">
      <c r="A33" s="15" t="s">
        <v>375</v>
      </c>
      <c r="B33" s="17" t="n">
        <v>7325</v>
      </c>
      <c r="C33" s="18">
        <f>(6452.0/B33*100)</f>
        <v/>
      </c>
      <c r="D33" s="19" t="n">
        <v>873</v>
      </c>
      <c r="E33" s="18" t="n">
        <v>67.75825322999999</v>
      </c>
      <c r="F33" s="20" t="n">
        <v>2.42865906</v>
      </c>
      <c r="G33" s="18" t="n">
        <v>8.05708478</v>
      </c>
      <c r="H33" s="20" t="n">
        <v>1.2758461</v>
      </c>
      <c r="I33" s="18" t="s">
        <v>349</v>
      </c>
      <c r="J33" s="20" t="s">
        <v>349</v>
      </c>
      <c r="K33" s="18" t="n">
        <v>3.57284846</v>
      </c>
      <c r="L33" s="20" t="n">
        <v>0.77085698</v>
      </c>
      <c r="M33" s="18" t="n">
        <v>0</v>
      </c>
      <c r="N33" s="20" t="n">
        <v>0</v>
      </c>
      <c r="O33" s="18" t="n">
        <v>0</v>
      </c>
      <c r="P33" s="20" t="n">
        <v>0</v>
      </c>
      <c r="Q33" s="18" t="n">
        <v>20.61181353</v>
      </c>
      <c r="R33" s="20" t="n">
        <v>1.97602212</v>
      </c>
    </row>
    <row r="34" spans="1:18">
      <c r="A34" s="15" t="s">
        <v>376</v>
      </c>
      <c r="B34" s="17" t="n">
        <v>6350</v>
      </c>
      <c r="C34" s="18">
        <f>(5587.0/B34*100)</f>
        <v/>
      </c>
      <c r="D34" s="19" t="n">
        <v>763</v>
      </c>
      <c r="E34" s="18" t="n">
        <v>79.24901748000001</v>
      </c>
      <c r="F34" s="20" t="n">
        <v>1.40506015</v>
      </c>
      <c r="G34" s="18" t="n">
        <v>3.19903381</v>
      </c>
      <c r="H34" s="20" t="n">
        <v>0.77840482</v>
      </c>
      <c r="I34" s="18" t="s">
        <v>349</v>
      </c>
      <c r="J34" s="20" t="s">
        <v>349</v>
      </c>
      <c r="K34" s="18" t="n">
        <v>2.4397348</v>
      </c>
      <c r="L34" s="20" t="n">
        <v>0.55651955</v>
      </c>
      <c r="M34" s="18" t="n">
        <v>0</v>
      </c>
      <c r="N34" s="20" t="n">
        <v>0</v>
      </c>
      <c r="O34" s="18" t="n">
        <v>0</v>
      </c>
      <c r="P34" s="20" t="n">
        <v>0</v>
      </c>
      <c r="Q34" s="18" t="n">
        <v>15.11221392</v>
      </c>
      <c r="R34" s="20" t="n">
        <v>1.16608403</v>
      </c>
    </row>
    <row r="35" spans="1:18">
      <c r="A35" s="15" t="s">
        <v>377</v>
      </c>
      <c r="B35" s="17" t="n">
        <v>6406</v>
      </c>
      <c r="C35" s="18">
        <f>(5609.0/B35*100)</f>
        <v/>
      </c>
      <c r="D35" s="19" t="n">
        <v>797</v>
      </c>
      <c r="E35" s="18" t="n">
        <v>75.59244817</v>
      </c>
      <c r="F35" s="20" t="n">
        <v>1.98056295</v>
      </c>
      <c r="G35" s="18" t="n">
        <v>3.2153709</v>
      </c>
      <c r="H35" s="20" t="n">
        <v>0.58483489</v>
      </c>
      <c r="I35" s="18" t="s">
        <v>349</v>
      </c>
      <c r="J35" s="20" t="s">
        <v>349</v>
      </c>
      <c r="K35" s="18" t="n">
        <v>1.51798376</v>
      </c>
      <c r="L35" s="20" t="n">
        <v>0.35135592</v>
      </c>
      <c r="M35" s="18" t="n">
        <v>0</v>
      </c>
      <c r="N35" s="20" t="n">
        <v>0</v>
      </c>
      <c r="O35" s="18" t="n">
        <v>0</v>
      </c>
      <c r="P35" s="20" t="n">
        <v>0</v>
      </c>
      <c r="Q35" s="18" t="n">
        <v>19.67419717</v>
      </c>
      <c r="R35" s="20" t="n">
        <v>1.81233414</v>
      </c>
    </row>
    <row r="36" spans="1:18">
      <c r="A36" s="15" t="s">
        <v>378</v>
      </c>
      <c r="B36" s="17" t="n">
        <v>6736</v>
      </c>
      <c r="C36" s="18">
        <f>(5925.0/B36*100)</f>
        <v/>
      </c>
      <c r="D36" s="19" t="n">
        <v>811</v>
      </c>
      <c r="E36" s="18" t="n">
        <v>68.69264362</v>
      </c>
      <c r="F36" s="20" t="n">
        <v>1.74256629</v>
      </c>
      <c r="G36" s="18" t="n">
        <v>4.36229683</v>
      </c>
      <c r="H36" s="20" t="n">
        <v>0.80436697</v>
      </c>
      <c r="I36" s="18" t="s">
        <v>349</v>
      </c>
      <c r="J36" s="20" t="s">
        <v>349</v>
      </c>
      <c r="K36" s="18" t="n">
        <v>2.28447567</v>
      </c>
      <c r="L36" s="20" t="n">
        <v>0.44365226</v>
      </c>
      <c r="M36" s="18" t="n">
        <v>0</v>
      </c>
      <c r="N36" s="20" t="n">
        <v>0</v>
      </c>
      <c r="O36" s="18" t="n">
        <v>0</v>
      </c>
      <c r="P36" s="20" t="n">
        <v>0</v>
      </c>
      <c r="Q36" s="18" t="n">
        <v>24.66058388</v>
      </c>
      <c r="R36" s="20" t="n">
        <v>1.80700776</v>
      </c>
    </row>
    <row r="37" spans="1:18">
      <c r="A37" s="15" t="s">
        <v>379</v>
      </c>
      <c r="B37" s="17" t="n">
        <v>5458</v>
      </c>
      <c r="C37" s="18">
        <f>(4812.0/B37*100)</f>
        <v/>
      </c>
      <c r="D37" s="19" t="n">
        <v>646</v>
      </c>
      <c r="E37" s="18" t="n">
        <v>62.10723306</v>
      </c>
      <c r="F37" s="20" t="n">
        <v>2.13782152</v>
      </c>
      <c r="G37" s="18" t="n">
        <v>0.52133243</v>
      </c>
      <c r="H37" s="20" t="n">
        <v>0.31103865</v>
      </c>
      <c r="I37" s="18" t="s">
        <v>349</v>
      </c>
      <c r="J37" s="20" t="s">
        <v>349</v>
      </c>
      <c r="K37" s="18" t="n">
        <v>10.51795874</v>
      </c>
      <c r="L37" s="20" t="n">
        <v>1.45282004</v>
      </c>
      <c r="M37" s="18" t="n">
        <v>0</v>
      </c>
      <c r="N37" s="20" t="n">
        <v>0</v>
      </c>
      <c r="O37" s="18" t="n">
        <v>0</v>
      </c>
      <c r="P37" s="20" t="n">
        <v>0</v>
      </c>
      <c r="Q37" s="18" t="n">
        <v>26.85347577</v>
      </c>
      <c r="R37" s="20" t="n">
        <v>1.66868578</v>
      </c>
    </row>
    <row r="38" spans="1:18">
      <c r="A38" s="15" t="s">
        <v>380</v>
      </c>
      <c r="B38" s="17" t="n">
        <v>5860</v>
      </c>
      <c r="C38" s="18">
        <f>(4912.0/B38*100)</f>
        <v/>
      </c>
      <c r="D38" s="19" t="n">
        <v>948</v>
      </c>
      <c r="E38" s="18" t="n">
        <v>68.70579240000001</v>
      </c>
      <c r="F38" s="20" t="n">
        <v>1.76057719</v>
      </c>
      <c r="G38" s="18" t="n">
        <v>8.07060023</v>
      </c>
      <c r="H38" s="20" t="n">
        <v>0.91895011</v>
      </c>
      <c r="I38" s="18" t="s">
        <v>349</v>
      </c>
      <c r="J38" s="20" t="s">
        <v>349</v>
      </c>
      <c r="K38" s="18" t="n">
        <v>3.56870346</v>
      </c>
      <c r="L38" s="20" t="n">
        <v>0.59150263</v>
      </c>
      <c r="M38" s="18" t="n">
        <v>0</v>
      </c>
      <c r="N38" s="20" t="n">
        <v>0</v>
      </c>
      <c r="O38" s="18" t="n">
        <v>0</v>
      </c>
      <c r="P38" s="20" t="n">
        <v>0</v>
      </c>
      <c r="Q38" s="18" t="n">
        <v>19.65490391</v>
      </c>
      <c r="R38" s="20" t="n">
        <v>1.63988619</v>
      </c>
    </row>
    <row r="39" spans="1:18">
      <c r="A39" s="15" t="s">
        <v>381</v>
      </c>
      <c r="B39" s="17" t="n">
        <v>5895</v>
      </c>
      <c r="C39" s="18">
        <f>(5148.0/B39*100)</f>
        <v/>
      </c>
      <c r="D39" s="19" t="n">
        <v>747</v>
      </c>
      <c r="E39" s="18" t="n">
        <v>87.94054197</v>
      </c>
      <c r="F39" s="20" t="n">
        <v>1.48363814</v>
      </c>
      <c r="G39" s="18" t="n">
        <v>0.39610486</v>
      </c>
      <c r="H39" s="20" t="n">
        <v>0.23329364</v>
      </c>
      <c r="I39" s="18" t="s">
        <v>349</v>
      </c>
      <c r="J39" s="20" t="s">
        <v>349</v>
      </c>
      <c r="K39" s="18" t="n">
        <v>1.53439083</v>
      </c>
      <c r="L39" s="20" t="n">
        <v>0.44713735</v>
      </c>
      <c r="M39" s="18" t="n">
        <v>0</v>
      </c>
      <c r="N39" s="20" t="n">
        <v>0</v>
      </c>
      <c r="O39" s="18" t="n">
        <v>0</v>
      </c>
      <c r="P39" s="20" t="n">
        <v>0</v>
      </c>
      <c r="Q39" s="18" t="n">
        <v>10.12896234</v>
      </c>
      <c r="R39" s="20" t="n">
        <v>1.46297343</v>
      </c>
    </row>
    <row r="40" spans="1:18">
      <c r="A40" s="15" t="s">
        <v>382</v>
      </c>
      <c r="B40" s="17" t="n">
        <v>14157</v>
      </c>
      <c r="C40" s="18">
        <f>(12383.0/B40*100)</f>
        <v/>
      </c>
      <c r="D40" s="19" t="n">
        <v>1774</v>
      </c>
      <c r="E40" s="18" t="n">
        <v>77.0160645</v>
      </c>
      <c r="F40" s="20" t="n">
        <v>1.65889471</v>
      </c>
      <c r="G40" s="18" t="n">
        <v>1.670519</v>
      </c>
      <c r="H40" s="20" t="n">
        <v>0.54240877</v>
      </c>
      <c r="I40" s="18" t="s">
        <v>349</v>
      </c>
      <c r="J40" s="20" t="s">
        <v>349</v>
      </c>
      <c r="K40" s="18" t="n">
        <v>3.5624811</v>
      </c>
      <c r="L40" s="20" t="n">
        <v>0.6354387500000001</v>
      </c>
      <c r="M40" s="18" t="n">
        <v>0</v>
      </c>
      <c r="N40" s="20" t="n">
        <v>0</v>
      </c>
      <c r="O40" s="18" t="n">
        <v>0</v>
      </c>
      <c r="P40" s="20" t="n">
        <v>0</v>
      </c>
      <c r="Q40" s="18" t="n">
        <v>17.7509354</v>
      </c>
      <c r="R40" s="20" t="n">
        <v>1.46944348</v>
      </c>
    </row>
    <row r="41" spans="1:18">
      <c r="A41" s="15" t="s">
        <v>383</v>
      </c>
      <c r="B41" s="17" t="n">
        <v>5712</v>
      </c>
      <c r="C41" s="18">
        <f>(5033.0/B41*100)</f>
        <v/>
      </c>
      <c r="D41" s="19" t="n">
        <v>679</v>
      </c>
      <c r="E41" s="18" t="n">
        <v>93.59483618</v>
      </c>
      <c r="F41" s="20" t="n">
        <v>0.88599711</v>
      </c>
      <c r="G41" s="18" t="n">
        <v>0.90604509</v>
      </c>
      <c r="H41" s="20" t="n">
        <v>0.36683694</v>
      </c>
      <c r="I41" s="18" t="s">
        <v>349</v>
      </c>
      <c r="J41" s="20" t="s">
        <v>349</v>
      </c>
      <c r="K41" s="18" t="n">
        <v>0.55293831</v>
      </c>
      <c r="L41" s="20" t="n">
        <v>0.26967754</v>
      </c>
      <c r="M41" s="18" t="n">
        <v>0</v>
      </c>
      <c r="N41" s="20" t="n">
        <v>0</v>
      </c>
      <c r="O41" s="18" t="n">
        <v>0</v>
      </c>
      <c r="P41" s="20" t="n">
        <v>0</v>
      </c>
      <c r="Q41" s="18" t="n">
        <v>4.94618043</v>
      </c>
      <c r="R41" s="20" t="n">
        <v>0.85459227</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(8621.0/B48*100)</f>
        <v/>
      </c>
      <c r="D48" s="19" t="n">
        <v>1220</v>
      </c>
      <c r="E48" s="18" t="n">
        <v>62.37087294</v>
      </c>
      <c r="F48" s="20" t="n">
        <v>2.45766781</v>
      </c>
      <c r="G48" s="18" t="n">
        <v>28.36001404</v>
      </c>
      <c r="H48" s="20" t="n">
        <v>2.56742728</v>
      </c>
      <c r="I48" s="18" t="s">
        <v>349</v>
      </c>
      <c r="J48" s="20" t="s">
        <v>349</v>
      </c>
      <c r="K48" s="18" t="n">
        <v>1.2401759</v>
      </c>
      <c r="L48" s="20" t="n">
        <v>0.59118274</v>
      </c>
      <c r="M48" s="18" t="n">
        <v>0</v>
      </c>
      <c r="N48" s="20" t="n">
        <v>0</v>
      </c>
      <c r="O48" s="18" t="n">
        <v>0</v>
      </c>
      <c r="P48" s="20" t="n">
        <v>0</v>
      </c>
      <c r="Q48" s="18" t="n">
        <v>8.02893712</v>
      </c>
      <c r="R48" s="20" t="n">
        <v>1.10622945</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(5093.0/B52*100)</f>
        <v/>
      </c>
      <c r="D52" s="19" t="n">
        <v>716</v>
      </c>
      <c r="E52" s="18" t="n">
        <v>66.32166748</v>
      </c>
      <c r="F52" s="20" t="n">
        <v>1.8502818</v>
      </c>
      <c r="G52" s="18" t="n">
        <v>2.69876151</v>
      </c>
      <c r="H52" s="20" t="n">
        <v>0.55306471</v>
      </c>
      <c r="I52" s="18" t="s">
        <v>349</v>
      </c>
      <c r="J52" s="20" t="s">
        <v>349</v>
      </c>
      <c r="K52" s="18" t="n">
        <v>5.15208019</v>
      </c>
      <c r="L52" s="20" t="n">
        <v>0.77000769</v>
      </c>
      <c r="M52" s="18" t="n">
        <v>0</v>
      </c>
      <c r="N52" s="20" t="n">
        <v>0</v>
      </c>
      <c r="O52" s="18" t="n">
        <v>0</v>
      </c>
      <c r="P52" s="20" t="n">
        <v>0</v>
      </c>
      <c r="Q52" s="18" t="n">
        <v>25.82749082</v>
      </c>
      <c r="R52" s="20" t="n">
        <v>1.90992528</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(4693.0/B56*100)</f>
        <v/>
      </c>
      <c r="D56" s="19" t="n">
        <v>666</v>
      </c>
      <c r="E56" s="18" t="n">
        <v>75.753514</v>
      </c>
      <c r="F56" s="20" t="n">
        <v>1.8551538</v>
      </c>
      <c r="G56" s="18" t="n">
        <v>9.527161899999999</v>
      </c>
      <c r="H56" s="20" t="n">
        <v>1.21451887</v>
      </c>
      <c r="I56" s="18" t="s">
        <v>349</v>
      </c>
      <c r="J56" s="20" t="s">
        <v>349</v>
      </c>
      <c r="K56" s="18" t="n">
        <v>0.9771897899999999</v>
      </c>
      <c r="L56" s="20" t="n">
        <v>0.44982413</v>
      </c>
      <c r="M56" s="18" t="n">
        <v>0</v>
      </c>
      <c r="N56" s="20" t="n">
        <v>0</v>
      </c>
      <c r="O56" s="18" t="n">
        <v>0</v>
      </c>
      <c r="P56" s="20" t="n">
        <v>0</v>
      </c>
      <c r="Q56" s="18" t="n">
        <v>13.74213431</v>
      </c>
      <c r="R56" s="20" t="n">
        <v>1.41736994</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(5710.0/B61*100)</f>
        <v/>
      </c>
      <c r="D61" s="19" t="n">
        <v>815</v>
      </c>
      <c r="E61" s="18" t="n">
        <v>78.78710389</v>
      </c>
      <c r="F61" s="20" t="n">
        <v>1.60535326</v>
      </c>
      <c r="G61" s="18" t="n">
        <v>1.30931733</v>
      </c>
      <c r="H61" s="20" t="n">
        <v>0.40096048</v>
      </c>
      <c r="I61" s="18" t="s">
        <v>349</v>
      </c>
      <c r="J61" s="20" t="s">
        <v>349</v>
      </c>
      <c r="K61" s="18" t="n">
        <v>3.09734077</v>
      </c>
      <c r="L61" s="20" t="n">
        <v>0.67264364</v>
      </c>
      <c r="M61" s="18" t="n">
        <v>0</v>
      </c>
      <c r="N61" s="20" t="n">
        <v>0</v>
      </c>
      <c r="O61" s="18" t="n">
        <v>0</v>
      </c>
      <c r="P61" s="20" t="n">
        <v>0</v>
      </c>
      <c r="Q61" s="18" t="n">
        <v>16.806238</v>
      </c>
      <c r="R61" s="20" t="n">
        <v>1.40333889</v>
      </c>
    </row>
    <row r="62" spans="1:18">
      <c r="A62" s="15" t="s">
        <v>404</v>
      </c>
      <c r="B62" s="17" t="n">
        <v>4476</v>
      </c>
      <c r="C62" s="18">
        <f>(3924.0/B62*100)</f>
        <v/>
      </c>
      <c r="D62" s="19" t="n">
        <v>552</v>
      </c>
      <c r="E62" s="18" t="n">
        <v>75.52542286000001</v>
      </c>
      <c r="F62" s="20" t="n">
        <v>1.90788315</v>
      </c>
      <c r="G62" s="18" t="n">
        <v>15.36359941</v>
      </c>
      <c r="H62" s="20" t="n">
        <v>1.61722149</v>
      </c>
      <c r="I62" s="18" t="s">
        <v>349</v>
      </c>
      <c r="J62" s="20" t="s">
        <v>349</v>
      </c>
      <c r="K62" s="18" t="n">
        <v>0</v>
      </c>
      <c r="L62" s="20" t="n">
        <v>0</v>
      </c>
      <c r="M62" s="18" t="n">
        <v>0</v>
      </c>
      <c r="N62" s="20" t="n">
        <v>0</v>
      </c>
      <c r="O62" s="18" t="n">
        <v>0</v>
      </c>
      <c r="P62" s="20" t="n">
        <v>0</v>
      </c>
      <c r="Q62" s="18" t="n">
        <v>9.11097773</v>
      </c>
      <c r="R62" s="20" t="n">
        <v>1.16052485</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(4973.0/B66*100)</f>
        <v/>
      </c>
      <c r="D66" s="19" t="n">
        <v>692</v>
      </c>
      <c r="E66" s="18" t="n">
        <v>65.77268136000001</v>
      </c>
      <c r="F66" s="20" t="n">
        <v>1.6688782</v>
      </c>
      <c r="G66" s="18" t="n">
        <v>2.51705306</v>
      </c>
      <c r="H66" s="20" t="n">
        <v>0.5645242</v>
      </c>
      <c r="I66" s="18" t="s">
        <v>349</v>
      </c>
      <c r="J66" s="20" t="s">
        <v>349</v>
      </c>
      <c r="K66" s="18" t="n">
        <v>8.3824159</v>
      </c>
      <c r="L66" s="20" t="n">
        <v>0.94048672</v>
      </c>
      <c r="M66" s="18" t="n">
        <v>0</v>
      </c>
      <c r="N66" s="20" t="n">
        <v>0</v>
      </c>
      <c r="O66" s="18" t="n">
        <v>0</v>
      </c>
      <c r="P66" s="20" t="n">
        <v>0</v>
      </c>
      <c r="Q66" s="18" t="n">
        <v>23.32784968</v>
      </c>
      <c r="R66" s="20" t="n">
        <v>1.45324097</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(10058.0/B68*100)</f>
        <v/>
      </c>
      <c r="D68" s="19" t="n">
        <v>2025</v>
      </c>
      <c r="E68" s="18" t="n">
        <v>82.39453897</v>
      </c>
      <c r="F68" s="20" t="n">
        <v>0.82903074</v>
      </c>
      <c r="G68" s="18" t="n">
        <v>1.23595925</v>
      </c>
      <c r="H68" s="20" t="n">
        <v>0.21809615</v>
      </c>
      <c r="I68" s="18" t="s">
        <v>349</v>
      </c>
      <c r="J68" s="20" t="s">
        <v>349</v>
      </c>
      <c r="K68" s="18" t="n">
        <v>6.34797198</v>
      </c>
      <c r="L68" s="20" t="n">
        <v>0.57717809</v>
      </c>
      <c r="M68" s="18" t="n">
        <v>0</v>
      </c>
      <c r="N68" s="20" t="n">
        <v>0</v>
      </c>
      <c r="O68" s="18" t="n">
        <v>0</v>
      </c>
      <c r="P68" s="20" t="n">
        <v>0</v>
      </c>
      <c r="Q68" s="18" t="n">
        <v>10.0215298</v>
      </c>
      <c r="R68" s="20" t="n">
        <v>0.68020571</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(5284.0/B70*100)</f>
        <v/>
      </c>
      <c r="D70" s="19" t="n">
        <v>752</v>
      </c>
      <c r="E70" s="18" t="n">
        <v>76.96825846999999</v>
      </c>
      <c r="F70" s="20" t="n">
        <v>2.20227697</v>
      </c>
      <c r="G70" s="18" t="n">
        <v>7.60337865</v>
      </c>
      <c r="H70" s="20" t="n">
        <v>1.25554429</v>
      </c>
      <c r="I70" s="18" t="s">
        <v>349</v>
      </c>
      <c r="J70" s="20" t="s">
        <v>349</v>
      </c>
      <c r="K70" s="18" t="n">
        <v>3.70673625</v>
      </c>
      <c r="L70" s="20" t="n">
        <v>0.94224739</v>
      </c>
      <c r="M70" s="18" t="n">
        <v>0</v>
      </c>
      <c r="N70" s="20" t="n">
        <v>0</v>
      </c>
      <c r="O70" s="18" t="n">
        <v>0</v>
      </c>
      <c r="P70" s="20" t="n">
        <v>0</v>
      </c>
      <c r="Q70" s="18" t="n">
        <v>11.72162663</v>
      </c>
      <c r="R70" s="20" t="n">
        <v>1.3984632</v>
      </c>
    </row>
    <row r="71" spans="1:18">
      <c r="A71" s="15" t="s">
        <v>413</v>
      </c>
      <c r="B71" s="17" t="n">
        <v>6115</v>
      </c>
      <c r="C71" s="18">
        <f>(5352.0/B71*100)</f>
        <v/>
      </c>
      <c r="D71" s="19" t="n">
        <v>763</v>
      </c>
      <c r="E71" s="18" t="n">
        <v>78.44028262</v>
      </c>
      <c r="F71" s="20" t="n">
        <v>1.33627033</v>
      </c>
      <c r="G71" s="18" t="n">
        <v>11.98901945</v>
      </c>
      <c r="H71" s="20" t="n">
        <v>1.25432697</v>
      </c>
      <c r="I71" s="18" t="s">
        <v>349</v>
      </c>
      <c r="J71" s="20" t="s">
        <v>349</v>
      </c>
      <c r="K71" s="18" t="n">
        <v>1.20448592</v>
      </c>
      <c r="L71" s="20" t="n">
        <v>0.33201429</v>
      </c>
      <c r="M71" s="18" t="n">
        <v>0</v>
      </c>
      <c r="N71" s="20" t="n">
        <v>0</v>
      </c>
      <c r="O71" s="18" t="n">
        <v>0</v>
      </c>
      <c r="P71" s="20" t="n">
        <v>0</v>
      </c>
      <c r="Q71" s="18" t="n">
        <v>8.36621201</v>
      </c>
      <c r="R71" s="20" t="n">
        <v>0.98832783</v>
      </c>
    </row>
    <row r="72" spans="1:18">
      <c r="A72" s="15" t="s">
        <v>414</v>
      </c>
      <c r="B72" s="17" t="n">
        <v>7708</v>
      </c>
      <c r="C72" s="18">
        <f>(6757.0/B72*100)</f>
        <v/>
      </c>
      <c r="D72" s="19" t="n">
        <v>951</v>
      </c>
      <c r="E72" s="18" t="n">
        <v>59.84249329</v>
      </c>
      <c r="F72" s="20" t="n">
        <v>1.69084924</v>
      </c>
      <c r="G72" s="18" t="n">
        <v>25.46269135</v>
      </c>
      <c r="H72" s="20" t="n">
        <v>1.67605341</v>
      </c>
      <c r="I72" s="18" t="s">
        <v>349</v>
      </c>
      <c r="J72" s="20" t="s">
        <v>349</v>
      </c>
      <c r="K72" s="18" t="n">
        <v>1.88786249</v>
      </c>
      <c r="L72" s="20" t="n">
        <v>0.46378268</v>
      </c>
      <c r="M72" s="18" t="n">
        <v>0</v>
      </c>
      <c r="N72" s="20" t="n">
        <v>0</v>
      </c>
      <c r="O72" s="18" t="n">
        <v>0</v>
      </c>
      <c r="P72" s="20" t="n">
        <v>0</v>
      </c>
      <c r="Q72" s="18" t="n">
        <v>12.80695286</v>
      </c>
      <c r="R72" s="20" t="n">
        <v>1.20067117</v>
      </c>
    </row>
    <row r="73" spans="1:18">
      <c r="A73" s="15" t="s">
        <v>415</v>
      </c>
      <c r="B73" s="17" t="n">
        <v>8249</v>
      </c>
      <c r="C73" s="18">
        <f>(7250.0/B73*100)</f>
        <v/>
      </c>
      <c r="D73" s="19" t="n">
        <v>999</v>
      </c>
      <c r="E73" s="18" t="n">
        <v>94.79328040999999</v>
      </c>
      <c r="F73" s="20" t="n">
        <v>0.93800541</v>
      </c>
      <c r="G73" s="18" t="n">
        <v>2.2912895</v>
      </c>
      <c r="H73" s="20" t="n">
        <v>0.79933535</v>
      </c>
      <c r="I73" s="18" t="s">
        <v>349</v>
      </c>
      <c r="J73" s="20" t="s">
        <v>349</v>
      </c>
      <c r="K73" s="18" t="n">
        <v>0.55046145</v>
      </c>
      <c r="L73" s="20" t="n">
        <v>0.42807804</v>
      </c>
      <c r="M73" s="18" t="n">
        <v>0</v>
      </c>
      <c r="N73" s="20" t="n">
        <v>0</v>
      </c>
      <c r="O73" s="18" t="n">
        <v>0</v>
      </c>
      <c r="P73" s="20" t="n">
        <v>0</v>
      </c>
      <c r="Q73" s="18" t="n">
        <v>2.36496865</v>
      </c>
      <c r="R73" s="20" t="n">
        <v>0.47686727</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(7751.0/B81*100)</f>
        <v/>
      </c>
      <c r="D81" s="19" t="n">
        <v>1110</v>
      </c>
      <c r="E81" s="18" t="n">
        <v>94.60748469000001</v>
      </c>
      <c r="F81" s="20" t="n">
        <v>0.91607775</v>
      </c>
      <c r="G81" s="18" t="n">
        <v>1.43270452</v>
      </c>
      <c r="H81" s="20" t="n">
        <v>0.35626424</v>
      </c>
      <c r="I81" s="18" t="s">
        <v>349</v>
      </c>
      <c r="J81" s="20" t="s">
        <v>349</v>
      </c>
      <c r="K81" s="18" t="n">
        <v>0.45604508</v>
      </c>
      <c r="L81" s="20" t="n">
        <v>0.3911847</v>
      </c>
      <c r="M81" s="18" t="n">
        <v>0</v>
      </c>
      <c r="N81" s="20" t="n">
        <v>0</v>
      </c>
      <c r="O81" s="18" t="n">
        <v>0</v>
      </c>
      <c r="P81" s="20" t="n">
        <v>0</v>
      </c>
      <c r="Q81" s="18" t="n">
        <v>3.50376572</v>
      </c>
      <c r="R81" s="20" t="n">
        <v>0.76408277</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(12820.0/B7*100)</f>
        <v/>
      </c>
      <c r="D7" s="19" t="n">
        <v>1710</v>
      </c>
      <c r="E7" s="18" t="n">
        <v>46.03605849</v>
      </c>
      <c r="F7" s="20" t="n">
        <v>1.517634</v>
      </c>
      <c r="G7" s="18" t="n">
        <v>43.08073935</v>
      </c>
      <c r="H7" s="20" t="n">
        <v>1.3942519</v>
      </c>
      <c r="I7" s="18" t="s">
        <v>349</v>
      </c>
      <c r="J7" s="20" t="s">
        <v>349</v>
      </c>
      <c r="K7" s="18" t="n">
        <v>3.71794002</v>
      </c>
      <c r="L7" s="20" t="n">
        <v>0.55506196</v>
      </c>
      <c r="M7" s="18" t="n">
        <v>0.02927003</v>
      </c>
      <c r="N7" s="20" t="n">
        <v>0.01458868</v>
      </c>
      <c r="O7" s="18" t="n">
        <v>0</v>
      </c>
      <c r="P7" s="20" t="n">
        <v>0</v>
      </c>
      <c r="Q7" s="18" t="n">
        <v>7.1359921</v>
      </c>
      <c r="R7" s="20" t="n">
        <v>0.69809568</v>
      </c>
    </row>
    <row r="8" spans="1:18">
      <c r="A8" s="15" t="s">
        <v>350</v>
      </c>
      <c r="B8" s="17" t="n">
        <v>7007</v>
      </c>
      <c r="C8" s="18">
        <f>(6179.0/B8*100)</f>
        <v/>
      </c>
      <c r="D8" s="19" t="n">
        <v>828</v>
      </c>
      <c r="E8" s="18" t="n">
        <v>47.44240501</v>
      </c>
      <c r="F8" s="20" t="n">
        <v>2.3105174</v>
      </c>
      <c r="G8" s="18" t="n">
        <v>35.67028901</v>
      </c>
      <c r="H8" s="20" t="n">
        <v>2.21043966</v>
      </c>
      <c r="I8" s="18" t="s">
        <v>349</v>
      </c>
      <c r="J8" s="20" t="s">
        <v>349</v>
      </c>
      <c r="K8" s="18" t="n">
        <v>6.53266002</v>
      </c>
      <c r="L8" s="20" t="n">
        <v>1.05371385</v>
      </c>
      <c r="M8" s="18" t="n">
        <v>0</v>
      </c>
      <c r="N8" s="20" t="n">
        <v>0</v>
      </c>
      <c r="O8" s="18" t="n">
        <v>0</v>
      </c>
      <c r="P8" s="20" t="n">
        <v>0</v>
      </c>
      <c r="Q8" s="18" t="n">
        <v>10.35464596</v>
      </c>
      <c r="R8" s="20" t="n">
        <v>1.40392121</v>
      </c>
    </row>
    <row r="9" spans="1:18">
      <c r="A9" s="15" t="s">
        <v>351</v>
      </c>
      <c r="B9" s="17" t="n">
        <v>9651</v>
      </c>
      <c r="C9" s="18">
        <f>(8527.0/B9*100)</f>
        <v/>
      </c>
      <c r="D9" s="19" t="n">
        <v>1124</v>
      </c>
      <c r="E9" s="18" t="n">
        <v>43.24753739</v>
      </c>
      <c r="F9" s="20" t="n">
        <v>1.53275685</v>
      </c>
      <c r="G9" s="18" t="n">
        <v>44.87720892</v>
      </c>
      <c r="H9" s="20" t="n">
        <v>1.71165704</v>
      </c>
      <c r="I9" s="18" t="s">
        <v>349</v>
      </c>
      <c r="J9" s="20" t="s">
        <v>349</v>
      </c>
      <c r="K9" s="18" t="n">
        <v>4.06661063</v>
      </c>
      <c r="L9" s="20" t="n">
        <v>0.60546829</v>
      </c>
      <c r="M9" s="18" t="n">
        <v>0.41201672</v>
      </c>
      <c r="N9" s="20" t="n">
        <v>0.21438636</v>
      </c>
      <c r="O9" s="18" t="n">
        <v>0</v>
      </c>
      <c r="P9" s="20" t="n">
        <v>0</v>
      </c>
      <c r="Q9" s="18" t="n">
        <v>7.39662633</v>
      </c>
      <c r="R9" s="20" t="n">
        <v>0.91808881</v>
      </c>
    </row>
    <row r="10" spans="1:18">
      <c r="A10" s="15" t="s">
        <v>352</v>
      </c>
      <c r="B10" s="17" t="n">
        <v>20058</v>
      </c>
      <c r="C10" s="18">
        <f>(17632.0/B10*100)</f>
        <v/>
      </c>
      <c r="D10" s="19" t="n">
        <v>2426</v>
      </c>
      <c r="E10" s="18" t="n">
        <v>41.1405069</v>
      </c>
      <c r="F10" s="20" t="n">
        <v>1.36457188</v>
      </c>
      <c r="G10" s="18" t="n">
        <v>51.38708779</v>
      </c>
      <c r="H10" s="20" t="n">
        <v>1.44284036</v>
      </c>
      <c r="I10" s="18" t="s">
        <v>349</v>
      </c>
      <c r="J10" s="20" t="s">
        <v>349</v>
      </c>
      <c r="K10" s="18" t="n">
        <v>2.53639156</v>
      </c>
      <c r="L10" s="20" t="n">
        <v>0.4813989</v>
      </c>
      <c r="M10" s="18" t="n">
        <v>1.34750666</v>
      </c>
      <c r="N10" s="20" t="n">
        <v>0.21517637</v>
      </c>
      <c r="O10" s="18" t="n">
        <v>0</v>
      </c>
      <c r="P10" s="20" t="n">
        <v>0</v>
      </c>
      <c r="Q10" s="18" t="n">
        <v>3.58850709</v>
      </c>
      <c r="R10" s="20" t="n">
        <v>0.54001576</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(6089.0/B12*100)</f>
        <v/>
      </c>
      <c r="D12" s="19" t="n">
        <v>805</v>
      </c>
      <c r="E12" s="18" t="n">
        <v>50.2805503</v>
      </c>
      <c r="F12" s="20" t="n">
        <v>2.12044297</v>
      </c>
      <c r="G12" s="18" t="n">
        <v>28.57873405</v>
      </c>
      <c r="H12" s="20" t="n">
        <v>1.77042143</v>
      </c>
      <c r="I12" s="18" t="s">
        <v>349</v>
      </c>
      <c r="J12" s="20" t="s">
        <v>349</v>
      </c>
      <c r="K12" s="18" t="n">
        <v>6.82370665</v>
      </c>
      <c r="L12" s="20" t="n">
        <v>1.05218455</v>
      </c>
      <c r="M12" s="18" t="n">
        <v>0.24594098</v>
      </c>
      <c r="N12" s="20" t="n">
        <v>0.24252719</v>
      </c>
      <c r="O12" s="18" t="n">
        <v>0</v>
      </c>
      <c r="P12" s="20" t="n">
        <v>0</v>
      </c>
      <c r="Q12" s="18" t="n">
        <v>14.07106802</v>
      </c>
      <c r="R12" s="20" t="n">
        <v>1.55790105</v>
      </c>
    </row>
    <row r="13" spans="1:18">
      <c r="A13" s="15" t="s">
        <v>355</v>
      </c>
      <c r="B13" s="17" t="n">
        <v>7161</v>
      </c>
      <c r="C13" s="18">
        <f>(6336.0/B13*100)</f>
        <v/>
      </c>
      <c r="D13" s="19" t="n">
        <v>825</v>
      </c>
      <c r="E13" s="18" t="n">
        <v>47.08539152</v>
      </c>
      <c r="F13" s="20" t="n">
        <v>2.10144682</v>
      </c>
      <c r="G13" s="18" t="n">
        <v>41.63287754</v>
      </c>
      <c r="H13" s="20" t="n">
        <v>2.41857599</v>
      </c>
      <c r="I13" s="18" t="s">
        <v>349</v>
      </c>
      <c r="J13" s="20" t="s">
        <v>349</v>
      </c>
      <c r="K13" s="18" t="n">
        <v>3.14938637</v>
      </c>
      <c r="L13" s="20" t="n">
        <v>0.69945637</v>
      </c>
      <c r="M13" s="18" t="n">
        <v>0.04361445</v>
      </c>
      <c r="N13" s="20" t="n">
        <v>0.04425025</v>
      </c>
      <c r="O13" s="18" t="n">
        <v>0</v>
      </c>
      <c r="P13" s="20" t="n">
        <v>0</v>
      </c>
      <c r="Q13" s="18" t="n">
        <v>8.08873013</v>
      </c>
      <c r="R13" s="20" t="n">
        <v>0.96795888</v>
      </c>
    </row>
    <row r="14" spans="1:18">
      <c r="A14" s="15" t="s">
        <v>356</v>
      </c>
      <c r="B14" s="17" t="n">
        <v>5587</v>
      </c>
      <c r="C14" s="18">
        <f>(4886.0/B14*100)</f>
        <v/>
      </c>
      <c r="D14" s="19" t="n">
        <v>701</v>
      </c>
      <c r="E14" s="18" t="n">
        <v>41.0705159</v>
      </c>
      <c r="F14" s="20" t="n">
        <v>1.97038739</v>
      </c>
      <c r="G14" s="18" t="n">
        <v>53.39408738</v>
      </c>
      <c r="H14" s="20" t="n">
        <v>1.94029058</v>
      </c>
      <c r="I14" s="18" t="s">
        <v>349</v>
      </c>
      <c r="J14" s="20" t="s">
        <v>349</v>
      </c>
      <c r="K14" s="18" t="n">
        <v>2.55797155</v>
      </c>
      <c r="L14" s="20" t="n">
        <v>0.61915893</v>
      </c>
      <c r="M14" s="18" t="n">
        <v>0</v>
      </c>
      <c r="N14" s="20" t="n">
        <v>0</v>
      </c>
      <c r="O14" s="18" t="n">
        <v>0</v>
      </c>
      <c r="P14" s="20" t="n">
        <v>0</v>
      </c>
      <c r="Q14" s="18" t="n">
        <v>2.97742517</v>
      </c>
      <c r="R14" s="20" t="n">
        <v>0.60514801</v>
      </c>
    </row>
    <row r="15" spans="1:18">
      <c r="A15" s="15" t="s">
        <v>357</v>
      </c>
      <c r="B15" s="17" t="n">
        <v>5882</v>
      </c>
      <c r="C15" s="18">
        <f>(5174.0/B15*100)</f>
        <v/>
      </c>
      <c r="D15" s="19" t="n">
        <v>708</v>
      </c>
      <c r="E15" s="18" t="n">
        <v>49.09999486</v>
      </c>
      <c r="F15" s="20" t="n">
        <v>1.86779856</v>
      </c>
      <c r="G15" s="18" t="n">
        <v>42.10837079</v>
      </c>
      <c r="H15" s="20" t="n">
        <v>1.92600708</v>
      </c>
      <c r="I15" s="18" t="s">
        <v>349</v>
      </c>
      <c r="J15" s="20" t="s">
        <v>349</v>
      </c>
      <c r="K15" s="18" t="n">
        <v>4.19954491</v>
      </c>
      <c r="L15" s="20" t="n">
        <v>0.70523883</v>
      </c>
      <c r="M15" s="18" t="n">
        <v>0</v>
      </c>
      <c r="N15" s="20" t="n">
        <v>0</v>
      </c>
      <c r="O15" s="18" t="n">
        <v>0</v>
      </c>
      <c r="P15" s="20" t="n">
        <v>0</v>
      </c>
      <c r="Q15" s="18" t="n">
        <v>4.59208943</v>
      </c>
      <c r="R15" s="20" t="n">
        <v>0.8893465</v>
      </c>
    </row>
    <row r="16" spans="1:18">
      <c r="A16" s="15" t="s">
        <v>358</v>
      </c>
      <c r="B16" s="17" t="n">
        <v>6108</v>
      </c>
      <c r="C16" s="18">
        <f>(5368.0/B16*100)</f>
        <v/>
      </c>
      <c r="D16" s="19" t="n">
        <v>740</v>
      </c>
      <c r="E16" s="18" t="n">
        <v>37.0337604</v>
      </c>
      <c r="F16" s="20" t="n">
        <v>1.69749693</v>
      </c>
      <c r="G16" s="18" t="n">
        <v>45.02088696</v>
      </c>
      <c r="H16" s="20" t="n">
        <v>1.63627243</v>
      </c>
      <c r="I16" s="18" t="s">
        <v>349</v>
      </c>
      <c r="J16" s="20" t="s">
        <v>349</v>
      </c>
      <c r="K16" s="18" t="n">
        <v>9.617950779999999</v>
      </c>
      <c r="L16" s="20" t="n">
        <v>1.05895909</v>
      </c>
      <c r="M16" s="18" t="n">
        <v>0</v>
      </c>
      <c r="N16" s="20" t="n">
        <v>0</v>
      </c>
      <c r="O16" s="18" t="n">
        <v>0</v>
      </c>
      <c r="P16" s="20" t="n">
        <v>0</v>
      </c>
      <c r="Q16" s="18" t="n">
        <v>8.327401869999999</v>
      </c>
      <c r="R16" s="20" t="n">
        <v>1.25470385</v>
      </c>
    </row>
    <row r="17" spans="1:18">
      <c r="A17" s="15" t="s">
        <v>359</v>
      </c>
      <c r="B17" s="17" t="n">
        <v>6504</v>
      </c>
      <c r="C17" s="18">
        <f>(5722.0/B17*100)</f>
        <v/>
      </c>
      <c r="D17" s="19" t="n">
        <v>782</v>
      </c>
      <c r="E17" s="18" t="n">
        <v>42.02678512</v>
      </c>
      <c r="F17" s="20" t="n">
        <v>1.5597715</v>
      </c>
      <c r="G17" s="18" t="n">
        <v>43.99917549</v>
      </c>
      <c r="H17" s="20" t="n">
        <v>1.66366119</v>
      </c>
      <c r="I17" s="18" t="s">
        <v>349</v>
      </c>
      <c r="J17" s="20" t="s">
        <v>349</v>
      </c>
      <c r="K17" s="18" t="n">
        <v>4.37793614</v>
      </c>
      <c r="L17" s="20" t="n">
        <v>0.76544667</v>
      </c>
      <c r="M17" s="18" t="n">
        <v>0</v>
      </c>
      <c r="N17" s="20" t="n">
        <v>0</v>
      </c>
      <c r="O17" s="18" t="n">
        <v>0</v>
      </c>
      <c r="P17" s="20" t="n">
        <v>0</v>
      </c>
      <c r="Q17" s="18" t="n">
        <v>9.596103250000001</v>
      </c>
      <c r="R17" s="20" t="n">
        <v>0.9947733600000001</v>
      </c>
    </row>
    <row r="18" spans="1:18">
      <c r="A18" s="15" t="s">
        <v>360</v>
      </c>
      <c r="B18" s="17" t="n">
        <v>5532</v>
      </c>
      <c r="C18" s="18">
        <f>(4854.0/B18*100)</f>
        <v/>
      </c>
      <c r="D18" s="19" t="n">
        <v>678</v>
      </c>
      <c r="E18" s="18" t="n">
        <v>59.02522493</v>
      </c>
      <c r="F18" s="20" t="n">
        <v>2.07243577</v>
      </c>
      <c r="G18" s="18" t="n">
        <v>27.92877258</v>
      </c>
      <c r="H18" s="20" t="n">
        <v>2.04363891</v>
      </c>
      <c r="I18" s="18" t="s">
        <v>349</v>
      </c>
      <c r="J18" s="20" t="s">
        <v>349</v>
      </c>
      <c r="K18" s="18" t="n">
        <v>5.82354798</v>
      </c>
      <c r="L18" s="20" t="n">
        <v>1.26532192</v>
      </c>
      <c r="M18" s="18" t="n">
        <v>0.16791754</v>
      </c>
      <c r="N18" s="20" t="n">
        <v>0.13518413</v>
      </c>
      <c r="O18" s="18" t="n">
        <v>0</v>
      </c>
      <c r="P18" s="20" t="n">
        <v>0</v>
      </c>
      <c r="Q18" s="18" t="n">
        <v>7.05453697</v>
      </c>
      <c r="R18" s="20" t="n">
        <v>0.94632511</v>
      </c>
    </row>
    <row r="19" spans="1:18">
      <c r="A19" s="15" t="s">
        <v>361</v>
      </c>
      <c r="B19" s="17" t="n">
        <v>5658</v>
      </c>
      <c r="C19" s="18">
        <f>(5003.0/B19*100)</f>
        <v/>
      </c>
      <c r="D19" s="19" t="n">
        <v>655</v>
      </c>
      <c r="E19" s="18" t="n">
        <v>48.4618448</v>
      </c>
      <c r="F19" s="20" t="n">
        <v>2.24321067</v>
      </c>
      <c r="G19" s="18" t="n">
        <v>39.90115258</v>
      </c>
      <c r="H19" s="20" t="n">
        <v>2.27428186</v>
      </c>
      <c r="I19" s="18" t="s">
        <v>349</v>
      </c>
      <c r="J19" s="20" t="s">
        <v>349</v>
      </c>
      <c r="K19" s="18" t="n">
        <v>2.96703834</v>
      </c>
      <c r="L19" s="20" t="n">
        <v>0.76731655</v>
      </c>
      <c r="M19" s="18" t="n">
        <v>0</v>
      </c>
      <c r="N19" s="20" t="n">
        <v>0</v>
      </c>
      <c r="O19" s="18" t="n">
        <v>0</v>
      </c>
      <c r="P19" s="20" t="n">
        <v>0</v>
      </c>
      <c r="Q19" s="18" t="n">
        <v>8.669964289999999</v>
      </c>
      <c r="R19" s="20" t="n">
        <v>1.35939605</v>
      </c>
    </row>
    <row r="20" spans="1:18">
      <c r="A20" s="15" t="s">
        <v>362</v>
      </c>
      <c r="B20" s="17" t="n">
        <v>3371</v>
      </c>
      <c r="C20" s="18">
        <f>(2963.0/B20*100)</f>
        <v/>
      </c>
      <c r="D20" s="19" t="n">
        <v>408</v>
      </c>
      <c r="E20" s="18" t="n">
        <v>62.9791005</v>
      </c>
      <c r="F20" s="20" t="n">
        <v>2.26847939</v>
      </c>
      <c r="G20" s="18" t="n">
        <v>23.58922323</v>
      </c>
      <c r="H20" s="20" t="n">
        <v>1.88154427</v>
      </c>
      <c r="I20" s="18" t="s">
        <v>349</v>
      </c>
      <c r="J20" s="20" t="s">
        <v>349</v>
      </c>
      <c r="K20" s="18" t="n">
        <v>6.80095861</v>
      </c>
      <c r="L20" s="20" t="n">
        <v>1.19185625</v>
      </c>
      <c r="M20" s="18" t="n">
        <v>0</v>
      </c>
      <c r="N20" s="20" t="n">
        <v>0</v>
      </c>
      <c r="O20" s="18" t="n">
        <v>0</v>
      </c>
      <c r="P20" s="20" t="n">
        <v>0</v>
      </c>
      <c r="Q20" s="18" t="n">
        <v>6.63071766</v>
      </c>
      <c r="R20" s="20" t="n">
        <v>1.1569743</v>
      </c>
    </row>
    <row r="21" spans="1:18">
      <c r="A21" s="15" t="s">
        <v>363</v>
      </c>
      <c r="B21" s="17" t="n">
        <v>5741</v>
      </c>
      <c r="C21" s="18">
        <f>(4805.0/B21*100)</f>
        <v/>
      </c>
      <c r="D21" s="19" t="n">
        <v>936</v>
      </c>
      <c r="E21" s="18" t="n">
        <v>45.7058151</v>
      </c>
      <c r="F21" s="20" t="n">
        <v>1.78616269</v>
      </c>
      <c r="G21" s="18" t="n">
        <v>48.47992561</v>
      </c>
      <c r="H21" s="20" t="n">
        <v>1.89277126</v>
      </c>
      <c r="I21" s="18" t="s">
        <v>349</v>
      </c>
      <c r="J21" s="20" t="s">
        <v>349</v>
      </c>
      <c r="K21" s="18" t="n">
        <v>2.05609858</v>
      </c>
      <c r="L21" s="20" t="n">
        <v>0.48124577</v>
      </c>
      <c r="M21" s="18" t="n">
        <v>0</v>
      </c>
      <c r="N21" s="20" t="n">
        <v>0</v>
      </c>
      <c r="O21" s="18" t="n">
        <v>0</v>
      </c>
      <c r="P21" s="20" t="n">
        <v>0</v>
      </c>
      <c r="Q21" s="18" t="n">
        <v>3.7581607</v>
      </c>
      <c r="R21" s="20" t="n">
        <v>0.63289648</v>
      </c>
    </row>
    <row r="22" spans="1:18">
      <c r="A22" s="15" t="s">
        <v>364</v>
      </c>
      <c r="B22" s="17" t="n">
        <v>6598</v>
      </c>
      <c r="C22" s="18">
        <f>(5786.0/B22*100)</f>
        <v/>
      </c>
      <c r="D22" s="19" t="n">
        <v>812</v>
      </c>
      <c r="E22" s="18" t="n">
        <v>48.86064702</v>
      </c>
      <c r="F22" s="20" t="n">
        <v>1.8976753</v>
      </c>
      <c r="G22" s="18" t="n">
        <v>37.45008579</v>
      </c>
      <c r="H22" s="20" t="n">
        <v>1.992774</v>
      </c>
      <c r="I22" s="18" t="s">
        <v>349</v>
      </c>
      <c r="J22" s="20" t="s">
        <v>349</v>
      </c>
      <c r="K22" s="18" t="n">
        <v>7.34168421</v>
      </c>
      <c r="L22" s="20" t="n">
        <v>1.11296485</v>
      </c>
      <c r="M22" s="18" t="n">
        <v>0</v>
      </c>
      <c r="N22" s="20" t="n">
        <v>0</v>
      </c>
      <c r="O22" s="18" t="n">
        <v>0</v>
      </c>
      <c r="P22" s="20" t="n">
        <v>0</v>
      </c>
      <c r="Q22" s="18" t="n">
        <v>6.34758298</v>
      </c>
      <c r="R22" s="20" t="n">
        <v>0.98536021</v>
      </c>
    </row>
    <row r="23" spans="1:18">
      <c r="A23" s="15" t="s">
        <v>365</v>
      </c>
      <c r="B23" s="17" t="n">
        <v>11583</v>
      </c>
      <c r="C23" s="18">
        <f>(10200.0/B23*100)</f>
        <v/>
      </c>
      <c r="D23" s="19" t="n">
        <v>1383</v>
      </c>
      <c r="E23" s="18" t="n">
        <v>42.02196675</v>
      </c>
      <c r="F23" s="20" t="n">
        <v>1.60739946</v>
      </c>
      <c r="G23" s="18" t="n">
        <v>36.59028647</v>
      </c>
      <c r="H23" s="20" t="n">
        <v>1.50704278</v>
      </c>
      <c r="I23" s="18" t="s">
        <v>349</v>
      </c>
      <c r="J23" s="20" t="s">
        <v>349</v>
      </c>
      <c r="K23" s="18" t="n">
        <v>9.48545139</v>
      </c>
      <c r="L23" s="20" t="n">
        <v>1.15284394</v>
      </c>
      <c r="M23" s="18" t="n">
        <v>0.12721552</v>
      </c>
      <c r="N23" s="20" t="n">
        <v>0.11591943</v>
      </c>
      <c r="O23" s="18" t="n">
        <v>0</v>
      </c>
      <c r="P23" s="20" t="n">
        <v>0</v>
      </c>
      <c r="Q23" s="18" t="n">
        <v>11.77507986</v>
      </c>
      <c r="R23" s="20" t="n">
        <v>1.18846639</v>
      </c>
    </row>
    <row r="24" spans="1:18">
      <c r="A24" s="15" t="s">
        <v>366</v>
      </c>
      <c r="B24" s="17" t="n">
        <v>6647</v>
      </c>
      <c r="C24" s="18">
        <f>(5871.0/B24*100)</f>
        <v/>
      </c>
      <c r="D24" s="19" t="n">
        <v>776</v>
      </c>
      <c r="E24" s="18" t="n">
        <v>36.93415816</v>
      </c>
      <c r="F24" s="20" t="n">
        <v>1.79716224</v>
      </c>
      <c r="G24" s="18" t="n">
        <v>46.43220585</v>
      </c>
      <c r="H24" s="20" t="n">
        <v>1.68526537</v>
      </c>
      <c r="I24" s="18" t="s">
        <v>349</v>
      </c>
      <c r="J24" s="20" t="s">
        <v>349</v>
      </c>
      <c r="K24" s="18" t="n">
        <v>3.90698348</v>
      </c>
      <c r="L24" s="20" t="n">
        <v>0.68791192</v>
      </c>
      <c r="M24" s="18" t="n">
        <v>0</v>
      </c>
      <c r="N24" s="20" t="n">
        <v>0</v>
      </c>
      <c r="O24" s="18" t="n">
        <v>0</v>
      </c>
      <c r="P24" s="20" t="n">
        <v>0</v>
      </c>
      <c r="Q24" s="18" t="n">
        <v>12.72665251</v>
      </c>
      <c r="R24" s="20" t="n">
        <v>1.23876938</v>
      </c>
    </row>
    <row r="25" spans="1:18">
      <c r="A25" s="15" t="s">
        <v>367</v>
      </c>
      <c r="B25" s="17" t="n">
        <v>5581</v>
      </c>
      <c r="C25" s="18">
        <f>(4903.0/B25*100)</f>
        <v/>
      </c>
      <c r="D25" s="19" t="n">
        <v>678</v>
      </c>
      <c r="E25" s="18" t="n">
        <v>41.12473577</v>
      </c>
      <c r="F25" s="20" t="n">
        <v>1.58974724</v>
      </c>
      <c r="G25" s="18" t="n">
        <v>47.28833058</v>
      </c>
      <c r="H25" s="20" t="n">
        <v>1.72523532</v>
      </c>
      <c r="I25" s="18" t="s">
        <v>349</v>
      </c>
      <c r="J25" s="20" t="s">
        <v>349</v>
      </c>
      <c r="K25" s="18" t="n">
        <v>3.43189617</v>
      </c>
      <c r="L25" s="20" t="n">
        <v>0.77150705</v>
      </c>
      <c r="M25" s="18" t="n">
        <v>0</v>
      </c>
      <c r="N25" s="20" t="n">
        <v>0</v>
      </c>
      <c r="O25" s="18" t="n">
        <v>0</v>
      </c>
      <c r="P25" s="20" t="n">
        <v>0</v>
      </c>
      <c r="Q25" s="18" t="n">
        <v>8.155037480000001</v>
      </c>
      <c r="R25" s="20" t="n">
        <v>0.87532265</v>
      </c>
    </row>
    <row r="26" spans="1:18">
      <c r="A26" s="15" t="s">
        <v>368</v>
      </c>
      <c r="B26" s="17" t="n">
        <v>4869</v>
      </c>
      <c r="C26" s="18">
        <f>(4274.0/B26*100)</f>
        <v/>
      </c>
      <c r="D26" s="19" t="n">
        <v>595</v>
      </c>
      <c r="E26" s="18" t="n">
        <v>58.88119158</v>
      </c>
      <c r="F26" s="20" t="n">
        <v>2.11624221</v>
      </c>
      <c r="G26" s="18" t="n">
        <v>35.14051804</v>
      </c>
      <c r="H26" s="20" t="n">
        <v>2.19878478</v>
      </c>
      <c r="I26" s="18" t="s">
        <v>349</v>
      </c>
      <c r="J26" s="20" t="s">
        <v>349</v>
      </c>
      <c r="K26" s="18" t="n">
        <v>2.1344671</v>
      </c>
      <c r="L26" s="20" t="n">
        <v>0.6121444</v>
      </c>
      <c r="M26" s="18" t="n">
        <v>0.29212804</v>
      </c>
      <c r="N26" s="20" t="n">
        <v>0.20405611</v>
      </c>
      <c r="O26" s="18" t="n">
        <v>0</v>
      </c>
      <c r="P26" s="20" t="n">
        <v>0</v>
      </c>
      <c r="Q26" s="18" t="n">
        <v>3.55169524</v>
      </c>
      <c r="R26" s="20" t="n">
        <v>0.73519307</v>
      </c>
    </row>
    <row r="27" spans="1:18">
      <c r="A27" s="15" t="s">
        <v>369</v>
      </c>
      <c r="B27" s="17" t="n">
        <v>5299</v>
      </c>
      <c r="C27" s="18">
        <f>(4670.0/B27*100)</f>
        <v/>
      </c>
      <c r="D27" s="19" t="n">
        <v>629</v>
      </c>
      <c r="E27" s="18" t="n">
        <v>49.55110771</v>
      </c>
      <c r="F27" s="20" t="n">
        <v>1.91251411</v>
      </c>
      <c r="G27" s="18" t="n">
        <v>34.82263252</v>
      </c>
      <c r="H27" s="20" t="n">
        <v>1.82581297</v>
      </c>
      <c r="I27" s="18" t="s">
        <v>349</v>
      </c>
      <c r="J27" s="20" t="s">
        <v>349</v>
      </c>
      <c r="K27" s="18" t="n">
        <v>6.74726027</v>
      </c>
      <c r="L27" s="20" t="n">
        <v>1.07982233</v>
      </c>
      <c r="M27" s="18" t="n">
        <v>0</v>
      </c>
      <c r="N27" s="20" t="n">
        <v>0</v>
      </c>
      <c r="O27" s="18" t="n">
        <v>0</v>
      </c>
      <c r="P27" s="20" t="n">
        <v>0</v>
      </c>
      <c r="Q27" s="18" t="n">
        <v>8.878999500000001</v>
      </c>
      <c r="R27" s="20" t="n">
        <v>1.07990485</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53.10996831</v>
      </c>
      <c r="F29" s="20" t="n">
        <v>1.90030366</v>
      </c>
      <c r="G29" s="18" t="n">
        <v>41.34901174</v>
      </c>
      <c r="H29" s="20" t="n">
        <v>1.92367286</v>
      </c>
      <c r="I29" s="18" t="s">
        <v>349</v>
      </c>
      <c r="J29" s="20" t="s">
        <v>349</v>
      </c>
      <c r="K29" s="18" t="n">
        <v>2.6774843</v>
      </c>
      <c r="L29" s="20" t="n">
        <v>0.59439229</v>
      </c>
      <c r="M29" s="18" t="n">
        <v>0</v>
      </c>
      <c r="N29" s="20" t="n">
        <v>0</v>
      </c>
      <c r="O29" s="18" t="n">
        <v>0</v>
      </c>
      <c r="P29" s="20" t="n">
        <v>0</v>
      </c>
      <c r="Q29" s="18" t="n">
        <v>2.86353565</v>
      </c>
      <c r="R29" s="20" t="n">
        <v>0.69835353</v>
      </c>
    </row>
    <row r="30" spans="1:18">
      <c r="A30" s="15" t="s">
        <v>372</v>
      </c>
      <c r="B30" s="17" t="n">
        <v>4520</v>
      </c>
      <c r="C30" s="18">
        <f>(4002.0/B30*100)</f>
        <v/>
      </c>
      <c r="D30" s="19" t="n">
        <v>518</v>
      </c>
      <c r="E30" s="18" t="n">
        <v>41.45820757</v>
      </c>
      <c r="F30" s="20" t="n">
        <v>2.55733349</v>
      </c>
      <c r="G30" s="18" t="n">
        <v>45.65266832</v>
      </c>
      <c r="H30" s="20" t="n">
        <v>2.65826077</v>
      </c>
      <c r="I30" s="18" t="s">
        <v>349</v>
      </c>
      <c r="J30" s="20" t="s">
        <v>349</v>
      </c>
      <c r="K30" s="18" t="n">
        <v>6.04317186</v>
      </c>
      <c r="L30" s="20" t="n">
        <v>1.16892608</v>
      </c>
      <c r="M30" s="18" t="n">
        <v>0</v>
      </c>
      <c r="N30" s="20" t="n">
        <v>0</v>
      </c>
      <c r="O30" s="18" t="n">
        <v>0</v>
      </c>
      <c r="P30" s="20" t="n">
        <v>0</v>
      </c>
      <c r="Q30" s="18" t="n">
        <v>6.84595226</v>
      </c>
      <c r="R30" s="20" t="n">
        <v>1.17751045</v>
      </c>
    </row>
    <row r="31" spans="1:18">
      <c r="A31" s="15" t="s">
        <v>373</v>
      </c>
      <c r="B31" s="17" t="n">
        <v>5456</v>
      </c>
      <c r="C31" s="18">
        <f>(4779.0/B31*100)</f>
        <v/>
      </c>
      <c r="D31" s="19" t="n">
        <v>677</v>
      </c>
      <c r="E31" s="18" t="n">
        <v>49.70286839</v>
      </c>
      <c r="F31" s="20" t="n">
        <v>2.16296183</v>
      </c>
      <c r="G31" s="18" t="n">
        <v>37.12344543</v>
      </c>
      <c r="H31" s="20" t="n">
        <v>2.21745171</v>
      </c>
      <c r="I31" s="18" t="s">
        <v>349</v>
      </c>
      <c r="J31" s="20" t="s">
        <v>349</v>
      </c>
      <c r="K31" s="18" t="n">
        <v>6.56942705</v>
      </c>
      <c r="L31" s="20" t="n">
        <v>0.88917535</v>
      </c>
      <c r="M31" s="18" t="n">
        <v>0</v>
      </c>
      <c r="N31" s="20" t="n">
        <v>0</v>
      </c>
      <c r="O31" s="18" t="n">
        <v>0</v>
      </c>
      <c r="P31" s="20" t="n">
        <v>0</v>
      </c>
      <c r="Q31" s="18" t="n">
        <v>6.60425913</v>
      </c>
      <c r="R31" s="20" t="n">
        <v>1.01600118</v>
      </c>
    </row>
    <row r="32" spans="1:18">
      <c r="A32" s="15" t="s">
        <v>374</v>
      </c>
      <c r="B32" s="17" t="n">
        <v>4478</v>
      </c>
      <c r="C32" s="18">
        <f>(3740.0/B32*100)</f>
        <v/>
      </c>
      <c r="D32" s="19" t="n">
        <v>738</v>
      </c>
      <c r="E32" s="18" t="n">
        <v>47.26782505</v>
      </c>
      <c r="F32" s="20" t="n">
        <v>1.77920972</v>
      </c>
      <c r="G32" s="18" t="n">
        <v>39.76433063</v>
      </c>
      <c r="H32" s="20" t="n">
        <v>2.02383598</v>
      </c>
      <c r="I32" s="18" t="s">
        <v>349</v>
      </c>
      <c r="J32" s="20" t="s">
        <v>349</v>
      </c>
      <c r="K32" s="18" t="n">
        <v>3.51505738</v>
      </c>
      <c r="L32" s="20" t="n">
        <v>0.6637541</v>
      </c>
      <c r="M32" s="18" t="n">
        <v>0</v>
      </c>
      <c r="N32" s="20" t="n">
        <v>0</v>
      </c>
      <c r="O32" s="18" t="n">
        <v>0</v>
      </c>
      <c r="P32" s="20" t="n">
        <v>0</v>
      </c>
      <c r="Q32" s="18" t="n">
        <v>9.452786939999999</v>
      </c>
      <c r="R32" s="20" t="n">
        <v>1.17341398</v>
      </c>
    </row>
    <row r="33" spans="1:18">
      <c r="A33" s="15" t="s">
        <v>375</v>
      </c>
      <c r="B33" s="17" t="n">
        <v>7325</v>
      </c>
      <c r="C33" s="18">
        <f>(6492.0/B33*100)</f>
        <v/>
      </c>
      <c r="D33" s="19" t="n">
        <v>833</v>
      </c>
      <c r="E33" s="18" t="n">
        <v>42.47417513</v>
      </c>
      <c r="F33" s="20" t="n">
        <v>2.25004817</v>
      </c>
      <c r="G33" s="18" t="n">
        <v>44.64852253</v>
      </c>
      <c r="H33" s="20" t="n">
        <v>2.34503551</v>
      </c>
      <c r="I33" s="18" t="s">
        <v>349</v>
      </c>
      <c r="J33" s="20" t="s">
        <v>349</v>
      </c>
      <c r="K33" s="18" t="n">
        <v>5.87058661</v>
      </c>
      <c r="L33" s="20" t="n">
        <v>0.99690382</v>
      </c>
      <c r="M33" s="18" t="n">
        <v>0.17513704</v>
      </c>
      <c r="N33" s="20" t="n">
        <v>0.18245404</v>
      </c>
      <c r="O33" s="18" t="n">
        <v>0</v>
      </c>
      <c r="P33" s="20" t="n">
        <v>0</v>
      </c>
      <c r="Q33" s="18" t="n">
        <v>6.8315787</v>
      </c>
      <c r="R33" s="20" t="n">
        <v>0.9275567</v>
      </c>
    </row>
    <row r="34" spans="1:18">
      <c r="A34" s="15" t="s">
        <v>376</v>
      </c>
      <c r="B34" s="17" t="n">
        <v>6350</v>
      </c>
      <c r="C34" s="18">
        <f>(5603.0/B34*100)</f>
        <v/>
      </c>
      <c r="D34" s="19" t="n">
        <v>747</v>
      </c>
      <c r="E34" s="18" t="n">
        <v>51.31764487</v>
      </c>
      <c r="F34" s="20" t="n">
        <v>1.87251703</v>
      </c>
      <c r="G34" s="18" t="n">
        <v>32.92571924</v>
      </c>
      <c r="H34" s="20" t="n">
        <v>1.74788591</v>
      </c>
      <c r="I34" s="18" t="s">
        <v>349</v>
      </c>
      <c r="J34" s="20" t="s">
        <v>349</v>
      </c>
      <c r="K34" s="18" t="n">
        <v>4.94668716</v>
      </c>
      <c r="L34" s="20" t="n">
        <v>0.67320413</v>
      </c>
      <c r="M34" s="18" t="n">
        <v>0</v>
      </c>
      <c r="N34" s="20" t="n">
        <v>0</v>
      </c>
      <c r="O34" s="18" t="n">
        <v>0</v>
      </c>
      <c r="P34" s="20" t="n">
        <v>0</v>
      </c>
      <c r="Q34" s="18" t="n">
        <v>10.80994873</v>
      </c>
      <c r="R34" s="20" t="n">
        <v>1.30027322</v>
      </c>
    </row>
    <row r="35" spans="1:18">
      <c r="A35" s="15" t="s">
        <v>377</v>
      </c>
      <c r="B35" s="17" t="n">
        <v>6406</v>
      </c>
      <c r="C35" s="18">
        <f>(5614.0/B35*100)</f>
        <v/>
      </c>
      <c r="D35" s="19" t="n">
        <v>792</v>
      </c>
      <c r="E35" s="18" t="n">
        <v>45.1313027</v>
      </c>
      <c r="F35" s="20" t="n">
        <v>2.19869545</v>
      </c>
      <c r="G35" s="18" t="n">
        <v>47.01597081</v>
      </c>
      <c r="H35" s="20" t="n">
        <v>2.27288615</v>
      </c>
      <c r="I35" s="18" t="s">
        <v>349</v>
      </c>
      <c r="J35" s="20" t="s">
        <v>349</v>
      </c>
      <c r="K35" s="18" t="n">
        <v>3.57797646</v>
      </c>
      <c r="L35" s="20" t="n">
        <v>0.69062589</v>
      </c>
      <c r="M35" s="18" t="n">
        <v>0.20854246</v>
      </c>
      <c r="N35" s="20" t="n">
        <v>0.20827423</v>
      </c>
      <c r="O35" s="18" t="n">
        <v>0</v>
      </c>
      <c r="P35" s="20" t="n">
        <v>0</v>
      </c>
      <c r="Q35" s="18" t="n">
        <v>4.06620757</v>
      </c>
      <c r="R35" s="20" t="n">
        <v>0.87093098</v>
      </c>
    </row>
    <row r="36" spans="1:18">
      <c r="A36" s="15" t="s">
        <v>378</v>
      </c>
      <c r="B36" s="17" t="n">
        <v>6736</v>
      </c>
      <c r="C36" s="18">
        <f>(5948.0/B36*100)</f>
        <v/>
      </c>
      <c r="D36" s="19" t="n">
        <v>788</v>
      </c>
      <c r="E36" s="18" t="n">
        <v>50.44033101</v>
      </c>
      <c r="F36" s="20" t="n">
        <v>1.85462772</v>
      </c>
      <c r="G36" s="18" t="n">
        <v>41.91606793</v>
      </c>
      <c r="H36" s="20" t="n">
        <v>1.8522065</v>
      </c>
      <c r="I36" s="18" t="s">
        <v>349</v>
      </c>
      <c r="J36" s="20" t="s">
        <v>349</v>
      </c>
      <c r="K36" s="18" t="n">
        <v>4.04850634</v>
      </c>
      <c r="L36" s="20" t="n">
        <v>0.72531692</v>
      </c>
      <c r="M36" s="18" t="n">
        <v>0</v>
      </c>
      <c r="N36" s="20" t="n">
        <v>0</v>
      </c>
      <c r="O36" s="18" t="n">
        <v>0</v>
      </c>
      <c r="P36" s="20" t="n">
        <v>0</v>
      </c>
      <c r="Q36" s="18" t="n">
        <v>3.59509472</v>
      </c>
      <c r="R36" s="20" t="n">
        <v>0.7740456999999999</v>
      </c>
    </row>
    <row r="37" spans="1:18">
      <c r="A37" s="15" t="s">
        <v>379</v>
      </c>
      <c r="B37" s="17" t="n">
        <v>5458</v>
      </c>
      <c r="C37" s="18">
        <f>(4841.0/B37*100)</f>
        <v/>
      </c>
      <c r="D37" s="19" t="n">
        <v>617</v>
      </c>
      <c r="E37" s="18" t="n">
        <v>41.78882172</v>
      </c>
      <c r="F37" s="20" t="n">
        <v>2.06337527</v>
      </c>
      <c r="G37" s="18" t="n">
        <v>34.50154773</v>
      </c>
      <c r="H37" s="20" t="n">
        <v>1.93450871</v>
      </c>
      <c r="I37" s="18" t="s">
        <v>349</v>
      </c>
      <c r="J37" s="20" t="s">
        <v>349</v>
      </c>
      <c r="K37" s="18" t="n">
        <v>13.9880095</v>
      </c>
      <c r="L37" s="20" t="n">
        <v>1.75586458</v>
      </c>
      <c r="M37" s="18" t="n">
        <v>0</v>
      </c>
      <c r="N37" s="20" t="n">
        <v>0</v>
      </c>
      <c r="O37" s="18" t="n">
        <v>0</v>
      </c>
      <c r="P37" s="20" t="n">
        <v>0</v>
      </c>
      <c r="Q37" s="18" t="n">
        <v>9.72162105</v>
      </c>
      <c r="R37" s="20" t="n">
        <v>1.21577633</v>
      </c>
    </row>
    <row r="38" spans="1:18">
      <c r="A38" s="15" t="s">
        <v>380</v>
      </c>
      <c r="B38" s="17" t="n">
        <v>5860</v>
      </c>
      <c r="C38" s="18">
        <f>(4926.0/B38*100)</f>
        <v/>
      </c>
      <c r="D38" s="19" t="n">
        <v>934</v>
      </c>
      <c r="E38" s="18" t="n">
        <v>43.08193519</v>
      </c>
      <c r="F38" s="20" t="n">
        <v>1.84647245</v>
      </c>
      <c r="G38" s="18" t="n">
        <v>43.64125622</v>
      </c>
      <c r="H38" s="20" t="n">
        <v>1.96193132</v>
      </c>
      <c r="I38" s="18" t="s">
        <v>349</v>
      </c>
      <c r="J38" s="20" t="s">
        <v>349</v>
      </c>
      <c r="K38" s="18" t="n">
        <v>5.64579773</v>
      </c>
      <c r="L38" s="20" t="n">
        <v>0.9789812</v>
      </c>
      <c r="M38" s="18" t="n">
        <v>0.13747587</v>
      </c>
      <c r="N38" s="20" t="n">
        <v>0.13698639</v>
      </c>
      <c r="O38" s="18" t="n">
        <v>0</v>
      </c>
      <c r="P38" s="20" t="n">
        <v>0</v>
      </c>
      <c r="Q38" s="18" t="n">
        <v>7.49353499</v>
      </c>
      <c r="R38" s="20" t="n">
        <v>1.03333916</v>
      </c>
    </row>
    <row r="39" spans="1:18">
      <c r="A39" s="15" t="s">
        <v>381</v>
      </c>
      <c r="B39" s="17" t="n">
        <v>5895</v>
      </c>
      <c r="C39" s="18">
        <f>(5148.0/B39*100)</f>
        <v/>
      </c>
      <c r="D39" s="19" t="n">
        <v>747</v>
      </c>
      <c r="E39" s="18" t="n">
        <v>71.7758575</v>
      </c>
      <c r="F39" s="20" t="n">
        <v>1.77854066</v>
      </c>
      <c r="G39" s="18" t="n">
        <v>17.70385727</v>
      </c>
      <c r="H39" s="20" t="n">
        <v>1.60593257</v>
      </c>
      <c r="I39" s="18" t="s">
        <v>349</v>
      </c>
      <c r="J39" s="20" t="s">
        <v>349</v>
      </c>
      <c r="K39" s="18" t="n">
        <v>3.06687929</v>
      </c>
      <c r="L39" s="20" t="n">
        <v>0.56925327</v>
      </c>
      <c r="M39" s="18" t="n">
        <v>0</v>
      </c>
      <c r="N39" s="20" t="n">
        <v>0</v>
      </c>
      <c r="O39" s="18" t="n">
        <v>0</v>
      </c>
      <c r="P39" s="20" t="n">
        <v>0</v>
      </c>
      <c r="Q39" s="18" t="n">
        <v>7.45340594</v>
      </c>
      <c r="R39" s="20" t="n">
        <v>0.91290331</v>
      </c>
    </row>
    <row r="40" spans="1:18">
      <c r="A40" s="15" t="s">
        <v>382</v>
      </c>
      <c r="B40" s="17" t="n">
        <v>14157</v>
      </c>
      <c r="C40" s="18">
        <f>(12391.0/B40*100)</f>
        <v/>
      </c>
      <c r="D40" s="19" t="n">
        <v>1766</v>
      </c>
      <c r="E40" s="18" t="n">
        <v>44.49744014</v>
      </c>
      <c r="F40" s="20" t="n">
        <v>1.88089014</v>
      </c>
      <c r="G40" s="18" t="n">
        <v>42.3464536</v>
      </c>
      <c r="H40" s="20" t="n">
        <v>1.74071892</v>
      </c>
      <c r="I40" s="18" t="s">
        <v>349</v>
      </c>
      <c r="J40" s="20" t="s">
        <v>349</v>
      </c>
      <c r="K40" s="18" t="n">
        <v>5.40463489</v>
      </c>
      <c r="L40" s="20" t="n">
        <v>0.81664551</v>
      </c>
      <c r="M40" s="18" t="n">
        <v>0.1185881</v>
      </c>
      <c r="N40" s="20" t="n">
        <v>0.11831625</v>
      </c>
      <c r="O40" s="18" t="n">
        <v>0</v>
      </c>
      <c r="P40" s="20" t="n">
        <v>0</v>
      </c>
      <c r="Q40" s="18" t="n">
        <v>7.63288327</v>
      </c>
      <c r="R40" s="20" t="n">
        <v>0.9745621799999999</v>
      </c>
    </row>
    <row r="41" spans="1:18">
      <c r="A41" s="15" t="s">
        <v>383</v>
      </c>
      <c r="B41" s="17" t="n">
        <v>5712</v>
      </c>
      <c r="C41" s="18">
        <f>(5046.0/B41*100)</f>
        <v/>
      </c>
      <c r="D41" s="19" t="n">
        <v>666</v>
      </c>
      <c r="E41" s="18" t="n">
        <v>53.74053379</v>
      </c>
      <c r="F41" s="20" t="n">
        <v>2.02679776</v>
      </c>
      <c r="G41" s="18" t="n">
        <v>42.11252062</v>
      </c>
      <c r="H41" s="20" t="n">
        <v>1.97438858</v>
      </c>
      <c r="I41" s="18" t="s">
        <v>349</v>
      </c>
      <c r="J41" s="20" t="s">
        <v>349</v>
      </c>
      <c r="K41" s="18" t="n">
        <v>0.96843998</v>
      </c>
      <c r="L41" s="20" t="n">
        <v>0.42033165</v>
      </c>
      <c r="M41" s="18" t="n">
        <v>0</v>
      </c>
      <c r="N41" s="20" t="n">
        <v>0</v>
      </c>
      <c r="O41" s="18" t="n">
        <v>0</v>
      </c>
      <c r="P41" s="20" t="n">
        <v>0</v>
      </c>
      <c r="Q41" s="18" t="n">
        <v>3.17850561</v>
      </c>
      <c r="R41" s="20" t="n">
        <v>0.67870001</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(8628.0/B48*100)</f>
        <v/>
      </c>
      <c r="D48" s="19" t="n">
        <v>1213</v>
      </c>
      <c r="E48" s="18" t="n">
        <v>38.54286161</v>
      </c>
      <c r="F48" s="20" t="n">
        <v>2.34691764</v>
      </c>
      <c r="G48" s="18" t="n">
        <v>54.29635405</v>
      </c>
      <c r="H48" s="20" t="n">
        <v>2.52874294</v>
      </c>
      <c r="I48" s="18" t="s">
        <v>349</v>
      </c>
      <c r="J48" s="20" t="s">
        <v>349</v>
      </c>
      <c r="K48" s="18" t="n">
        <v>1.36070914</v>
      </c>
      <c r="L48" s="20" t="n">
        <v>0.60799556</v>
      </c>
      <c r="M48" s="18" t="n">
        <v>0</v>
      </c>
      <c r="N48" s="20" t="n">
        <v>0</v>
      </c>
      <c r="O48" s="18" t="n">
        <v>0</v>
      </c>
      <c r="P48" s="20" t="n">
        <v>0</v>
      </c>
      <c r="Q48" s="18" t="n">
        <v>5.8000752</v>
      </c>
      <c r="R48" s="20" t="n">
        <v>0.93941582</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(5097.0/B52*100)</f>
        <v/>
      </c>
      <c r="D52" s="19" t="n">
        <v>712</v>
      </c>
      <c r="E52" s="18" t="n">
        <v>49.6003941</v>
      </c>
      <c r="F52" s="20" t="n">
        <v>2.01631375</v>
      </c>
      <c r="G52" s="18" t="n">
        <v>36.51770292</v>
      </c>
      <c r="H52" s="20" t="n">
        <v>1.9940776</v>
      </c>
      <c r="I52" s="18" t="s">
        <v>349</v>
      </c>
      <c r="J52" s="20" t="s">
        <v>349</v>
      </c>
      <c r="K52" s="18" t="n">
        <v>6.76053751</v>
      </c>
      <c r="L52" s="20" t="n">
        <v>0.83597299</v>
      </c>
      <c r="M52" s="18" t="n">
        <v>0</v>
      </c>
      <c r="N52" s="20" t="n">
        <v>0</v>
      </c>
      <c r="O52" s="18" t="n">
        <v>0</v>
      </c>
      <c r="P52" s="20" t="n">
        <v>0</v>
      </c>
      <c r="Q52" s="18" t="n">
        <v>7.12136547</v>
      </c>
      <c r="R52" s="20" t="n">
        <v>1.00395757</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(4695.0/B56*100)</f>
        <v/>
      </c>
      <c r="D56" s="19" t="n">
        <v>664</v>
      </c>
      <c r="E56" s="18" t="n">
        <v>38.15989117</v>
      </c>
      <c r="F56" s="20" t="n">
        <v>2.09755154</v>
      </c>
      <c r="G56" s="18" t="n">
        <v>54.39956889</v>
      </c>
      <c r="H56" s="20" t="n">
        <v>2.20246441</v>
      </c>
      <c r="I56" s="18" t="s">
        <v>349</v>
      </c>
      <c r="J56" s="20" t="s">
        <v>349</v>
      </c>
      <c r="K56" s="18" t="n">
        <v>1.74051864</v>
      </c>
      <c r="L56" s="20" t="n">
        <v>0.5622505</v>
      </c>
      <c r="M56" s="18" t="n">
        <v>0</v>
      </c>
      <c r="N56" s="20" t="n">
        <v>0</v>
      </c>
      <c r="O56" s="18" t="n">
        <v>0</v>
      </c>
      <c r="P56" s="20" t="n">
        <v>0</v>
      </c>
      <c r="Q56" s="18" t="n">
        <v>5.70002129</v>
      </c>
      <c r="R56" s="20" t="n">
        <v>1.03164568</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(5714.0/B61*100)</f>
        <v/>
      </c>
      <c r="D61" s="19" t="n">
        <v>811</v>
      </c>
      <c r="E61" s="18" t="n">
        <v>60.34998413</v>
      </c>
      <c r="F61" s="20" t="n">
        <v>1.9940312</v>
      </c>
      <c r="G61" s="18" t="n">
        <v>27.71191046</v>
      </c>
      <c r="H61" s="20" t="n">
        <v>1.93983069</v>
      </c>
      <c r="I61" s="18" t="s">
        <v>349</v>
      </c>
      <c r="J61" s="20" t="s">
        <v>349</v>
      </c>
      <c r="K61" s="18" t="n">
        <v>4.4710757</v>
      </c>
      <c r="L61" s="20" t="n">
        <v>0.74947359</v>
      </c>
      <c r="M61" s="18" t="n">
        <v>0</v>
      </c>
      <c r="N61" s="20" t="n">
        <v>0</v>
      </c>
      <c r="O61" s="18" t="n">
        <v>0</v>
      </c>
      <c r="P61" s="20" t="n">
        <v>0</v>
      </c>
      <c r="Q61" s="18" t="n">
        <v>7.46702971</v>
      </c>
      <c r="R61" s="20" t="n">
        <v>1.06657996</v>
      </c>
    </row>
    <row r="62" spans="1:18">
      <c r="A62" s="15" t="s">
        <v>404</v>
      </c>
      <c r="B62" s="17" t="n">
        <v>4476</v>
      </c>
      <c r="C62" s="18">
        <f>(3948.0/B62*100)</f>
        <v/>
      </c>
      <c r="D62" s="19" t="n">
        <v>528</v>
      </c>
      <c r="E62" s="18" t="n">
        <v>38.99983725</v>
      </c>
      <c r="F62" s="20" t="n">
        <v>2.01990262</v>
      </c>
      <c r="G62" s="18" t="n">
        <v>57.54977663</v>
      </c>
      <c r="H62" s="20" t="n">
        <v>1.98830705</v>
      </c>
      <c r="I62" s="18" t="s">
        <v>349</v>
      </c>
      <c r="J62" s="20" t="s">
        <v>349</v>
      </c>
      <c r="K62" s="18" t="n">
        <v>0.76206962</v>
      </c>
      <c r="L62" s="20" t="n">
        <v>0.37907369</v>
      </c>
      <c r="M62" s="18" t="n">
        <v>0</v>
      </c>
      <c r="N62" s="20" t="n">
        <v>0</v>
      </c>
      <c r="O62" s="18" t="n">
        <v>0</v>
      </c>
      <c r="P62" s="20" t="n">
        <v>0</v>
      </c>
      <c r="Q62" s="18" t="n">
        <v>2.68831649</v>
      </c>
      <c r="R62" s="20" t="n">
        <v>0.70535155</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(4985.0/B66*100)</f>
        <v/>
      </c>
      <c r="D66" s="19" t="n">
        <v>680</v>
      </c>
      <c r="E66" s="18" t="n">
        <v>47.97248266</v>
      </c>
      <c r="F66" s="20" t="n">
        <v>2.25550279</v>
      </c>
      <c r="G66" s="18" t="n">
        <v>30.70469538</v>
      </c>
      <c r="H66" s="20" t="n">
        <v>1.82776773</v>
      </c>
      <c r="I66" s="18" t="s">
        <v>349</v>
      </c>
      <c r="J66" s="20" t="s">
        <v>349</v>
      </c>
      <c r="K66" s="18" t="n">
        <v>13.10875082</v>
      </c>
      <c r="L66" s="20" t="n">
        <v>1.1990625</v>
      </c>
      <c r="M66" s="18" t="n">
        <v>0.12612966</v>
      </c>
      <c r="N66" s="20" t="n">
        <v>0.12669602</v>
      </c>
      <c r="O66" s="18" t="n">
        <v>0</v>
      </c>
      <c r="P66" s="20" t="n">
        <v>0</v>
      </c>
      <c r="Q66" s="18" t="n">
        <v>8.08794148</v>
      </c>
      <c r="R66" s="20" t="n">
        <v>1.22106188</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(10062.0/B68*100)</f>
        <v/>
      </c>
      <c r="D68" s="19" t="n">
        <v>2021</v>
      </c>
      <c r="E68" s="18" t="n">
        <v>63.63178372</v>
      </c>
      <c r="F68" s="20" t="n">
        <v>1.07827616</v>
      </c>
      <c r="G68" s="18" t="n">
        <v>22.29859066</v>
      </c>
      <c r="H68" s="20" t="n">
        <v>0.97270675</v>
      </c>
      <c r="I68" s="18" t="s">
        <v>349</v>
      </c>
      <c r="J68" s="20" t="s">
        <v>349</v>
      </c>
      <c r="K68" s="18" t="n">
        <v>9.82588078</v>
      </c>
      <c r="L68" s="20" t="n">
        <v>0.74540732</v>
      </c>
      <c r="M68" s="18" t="n">
        <v>0.04701704</v>
      </c>
      <c r="N68" s="20" t="n">
        <v>0.04710408</v>
      </c>
      <c r="O68" s="18" t="n">
        <v>0</v>
      </c>
      <c r="P68" s="20" t="n">
        <v>0</v>
      </c>
      <c r="Q68" s="18" t="n">
        <v>4.19672781</v>
      </c>
      <c r="R68" s="20" t="n">
        <v>0.49259896</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(5309.0/B70*100)</f>
        <v/>
      </c>
      <c r="D70" s="19" t="n">
        <v>727</v>
      </c>
      <c r="E70" s="18" t="n">
        <v>56.90975414</v>
      </c>
      <c r="F70" s="20" t="n">
        <v>1.93540997</v>
      </c>
      <c r="G70" s="18" t="n">
        <v>24.38168222</v>
      </c>
      <c r="H70" s="20" t="n">
        <v>1.90804058</v>
      </c>
      <c r="I70" s="18" t="s">
        <v>349</v>
      </c>
      <c r="J70" s="20" t="s">
        <v>349</v>
      </c>
      <c r="K70" s="18" t="n">
        <v>6.0632072</v>
      </c>
      <c r="L70" s="20" t="n">
        <v>0.94784154</v>
      </c>
      <c r="M70" s="18" t="n">
        <v>1.70110175</v>
      </c>
      <c r="N70" s="20" t="n">
        <v>0.39905676</v>
      </c>
      <c r="O70" s="18" t="n">
        <v>0</v>
      </c>
      <c r="P70" s="20" t="n">
        <v>0</v>
      </c>
      <c r="Q70" s="18" t="n">
        <v>10.94425469</v>
      </c>
      <c r="R70" s="20" t="n">
        <v>1.5652131</v>
      </c>
    </row>
    <row r="71" spans="1:18">
      <c r="A71" s="15" t="s">
        <v>413</v>
      </c>
      <c r="B71" s="17" t="n">
        <v>6115</v>
      </c>
      <c r="C71" s="18">
        <f>(5357.0/B71*100)</f>
        <v/>
      </c>
      <c r="D71" s="19" t="n">
        <v>758</v>
      </c>
      <c r="E71" s="18" t="n">
        <v>31.18078314</v>
      </c>
      <c r="F71" s="20" t="n">
        <v>1.6626983</v>
      </c>
      <c r="G71" s="18" t="n">
        <v>65.86207511000001</v>
      </c>
      <c r="H71" s="20" t="n">
        <v>1.60643606</v>
      </c>
      <c r="I71" s="18" t="s">
        <v>349</v>
      </c>
      <c r="J71" s="20" t="s">
        <v>349</v>
      </c>
      <c r="K71" s="18" t="n">
        <v>1.59773088</v>
      </c>
      <c r="L71" s="20" t="n">
        <v>0.3874296</v>
      </c>
      <c r="M71" s="18" t="n">
        <v>0</v>
      </c>
      <c r="N71" s="20" t="n">
        <v>0</v>
      </c>
      <c r="O71" s="18" t="n">
        <v>0</v>
      </c>
      <c r="P71" s="20" t="n">
        <v>0</v>
      </c>
      <c r="Q71" s="18" t="n">
        <v>1.35941087</v>
      </c>
      <c r="R71" s="20" t="n">
        <v>0.36158699</v>
      </c>
    </row>
    <row r="72" spans="1:18">
      <c r="A72" s="15" t="s">
        <v>414</v>
      </c>
      <c r="B72" s="17" t="n">
        <v>7708</v>
      </c>
      <c r="C72" s="18">
        <f>(6760.0/B72*100)</f>
        <v/>
      </c>
      <c r="D72" s="19" t="n">
        <v>948</v>
      </c>
      <c r="E72" s="18" t="n">
        <v>44.04267447</v>
      </c>
      <c r="F72" s="20" t="n">
        <v>1.79526515</v>
      </c>
      <c r="G72" s="18" t="n">
        <v>46.69724728</v>
      </c>
      <c r="H72" s="20" t="n">
        <v>1.91557249</v>
      </c>
      <c r="I72" s="18" t="s">
        <v>349</v>
      </c>
      <c r="J72" s="20" t="s">
        <v>349</v>
      </c>
      <c r="K72" s="18" t="n">
        <v>2.34389395</v>
      </c>
      <c r="L72" s="20" t="n">
        <v>0.52311849</v>
      </c>
      <c r="M72" s="18" t="n">
        <v>0</v>
      </c>
      <c r="N72" s="20" t="n">
        <v>0</v>
      </c>
      <c r="O72" s="18" t="n">
        <v>0</v>
      </c>
      <c r="P72" s="20" t="n">
        <v>0</v>
      </c>
      <c r="Q72" s="18" t="n">
        <v>6.91618431</v>
      </c>
      <c r="R72" s="20" t="n">
        <v>0.84284928</v>
      </c>
    </row>
    <row r="73" spans="1:18">
      <c r="A73" s="15" t="s">
        <v>415</v>
      </c>
      <c r="B73" s="17" t="n">
        <v>8249</v>
      </c>
      <c r="C73" s="18">
        <f>(7289.0/B73*100)</f>
        <v/>
      </c>
      <c r="D73" s="19" t="n">
        <v>960</v>
      </c>
      <c r="E73" s="18" t="n">
        <v>67.95928895</v>
      </c>
      <c r="F73" s="20" t="n">
        <v>1.87281153</v>
      </c>
      <c r="G73" s="18" t="n">
        <v>29.34190867</v>
      </c>
      <c r="H73" s="20" t="n">
        <v>1.74248159</v>
      </c>
      <c r="I73" s="18" t="s">
        <v>349</v>
      </c>
      <c r="J73" s="20" t="s">
        <v>349</v>
      </c>
      <c r="K73" s="18" t="n">
        <v>0.96597557</v>
      </c>
      <c r="L73" s="20" t="n">
        <v>0.48990327</v>
      </c>
      <c r="M73" s="18" t="n">
        <v>0.34997193</v>
      </c>
      <c r="N73" s="20" t="n">
        <v>0.25895253</v>
      </c>
      <c r="O73" s="18" t="n">
        <v>0</v>
      </c>
      <c r="P73" s="20" t="n">
        <v>0</v>
      </c>
      <c r="Q73" s="18" t="n">
        <v>1.38285487</v>
      </c>
      <c r="R73" s="20" t="n">
        <v>0.49273003</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(7763.0/B81*100)</f>
        <v/>
      </c>
      <c r="D81" s="19" t="n">
        <v>1098</v>
      </c>
      <c r="E81" s="18" t="n">
        <v>66.29084828000001</v>
      </c>
      <c r="F81" s="20" t="n">
        <v>1.69255875</v>
      </c>
      <c r="G81" s="18" t="n">
        <v>29.91361478</v>
      </c>
      <c r="H81" s="20" t="n">
        <v>1.54838181</v>
      </c>
      <c r="I81" s="18" t="s">
        <v>349</v>
      </c>
      <c r="J81" s="20" t="s">
        <v>349</v>
      </c>
      <c r="K81" s="18" t="n">
        <v>0.84456761</v>
      </c>
      <c r="L81" s="20" t="n">
        <v>0.46996569</v>
      </c>
      <c r="M81" s="18" t="n">
        <v>0.53583118</v>
      </c>
      <c r="N81" s="20" t="n">
        <v>0.26223057</v>
      </c>
      <c r="O81" s="18" t="n">
        <v>0</v>
      </c>
      <c r="P81" s="20" t="n">
        <v>0</v>
      </c>
      <c r="Q81" s="18" t="n">
        <v>2.41513815</v>
      </c>
      <c r="R81" s="20" t="n">
        <v>0.59228212</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519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(12813.0/B7*100)</f>
        <v/>
      </c>
      <c r="D7" s="19" t="n">
        <v>1717</v>
      </c>
      <c r="E7" s="18" t="n">
        <v>47.92675438</v>
      </c>
      <c r="F7" s="20" t="n">
        <v>1.51057407</v>
      </c>
      <c r="G7" s="18" t="n">
        <v>43.41823553</v>
      </c>
      <c r="H7" s="20" t="n">
        <v>1.57284038</v>
      </c>
      <c r="I7" s="18" t="s">
        <v>349</v>
      </c>
      <c r="J7" s="20" t="s">
        <v>349</v>
      </c>
      <c r="K7" s="18" t="n">
        <v>6.25134126</v>
      </c>
      <c r="L7" s="20" t="n">
        <v>0.65065393</v>
      </c>
      <c r="M7" s="18" t="n">
        <v>0</v>
      </c>
      <c r="N7" s="20" t="n">
        <v>0</v>
      </c>
      <c r="O7" s="18" t="n">
        <v>0</v>
      </c>
      <c r="P7" s="20" t="n">
        <v>0</v>
      </c>
      <c r="Q7" s="18" t="n">
        <v>2.40366884</v>
      </c>
      <c r="R7" s="20" t="n">
        <v>0.42331974</v>
      </c>
    </row>
    <row r="8" spans="1:18">
      <c r="A8" s="15" t="s">
        <v>350</v>
      </c>
      <c r="B8" s="17" t="n">
        <v>7007</v>
      </c>
      <c r="C8" s="18">
        <f>(6174.0/B8*100)</f>
        <v/>
      </c>
      <c r="D8" s="19" t="n">
        <v>833</v>
      </c>
      <c r="E8" s="18" t="n">
        <v>32.5996859</v>
      </c>
      <c r="F8" s="20" t="n">
        <v>1.84800438</v>
      </c>
      <c r="G8" s="18" t="n">
        <v>55.08138651</v>
      </c>
      <c r="H8" s="20" t="n">
        <v>1.9495939</v>
      </c>
      <c r="I8" s="18" t="s">
        <v>349</v>
      </c>
      <c r="J8" s="20" t="s">
        <v>349</v>
      </c>
      <c r="K8" s="18" t="n">
        <v>9.56737165</v>
      </c>
      <c r="L8" s="20" t="n">
        <v>1.26379151</v>
      </c>
      <c r="M8" s="18" t="n">
        <v>0</v>
      </c>
      <c r="N8" s="20" t="n">
        <v>0</v>
      </c>
      <c r="O8" s="18" t="n">
        <v>0</v>
      </c>
      <c r="P8" s="20" t="n">
        <v>0</v>
      </c>
      <c r="Q8" s="18" t="n">
        <v>2.75155594</v>
      </c>
      <c r="R8" s="20" t="n">
        <v>0.69652442</v>
      </c>
    </row>
    <row r="9" spans="1:18">
      <c r="A9" s="15" t="s">
        <v>351</v>
      </c>
      <c r="B9" s="17" t="n">
        <v>9651</v>
      </c>
      <c r="C9" s="18">
        <f>(8507.0/B9*100)</f>
        <v/>
      </c>
      <c r="D9" s="19" t="n">
        <v>1144</v>
      </c>
      <c r="E9" s="18" t="n">
        <v>31.59038333</v>
      </c>
      <c r="F9" s="20" t="n">
        <v>1.44701856</v>
      </c>
      <c r="G9" s="18" t="n">
        <v>60.11043265</v>
      </c>
      <c r="H9" s="20" t="n">
        <v>1.5871681</v>
      </c>
      <c r="I9" s="18" t="s">
        <v>349</v>
      </c>
      <c r="J9" s="20" t="s">
        <v>349</v>
      </c>
      <c r="K9" s="18" t="n">
        <v>5.98977177</v>
      </c>
      <c r="L9" s="20" t="n">
        <v>0.71254881</v>
      </c>
      <c r="M9" s="18" t="n">
        <v>0</v>
      </c>
      <c r="N9" s="20" t="n">
        <v>0</v>
      </c>
      <c r="O9" s="18" t="n">
        <v>0</v>
      </c>
      <c r="P9" s="20" t="n">
        <v>0</v>
      </c>
      <c r="Q9" s="18" t="n">
        <v>2.30941225</v>
      </c>
      <c r="R9" s="20" t="n">
        <v>0.42594934</v>
      </c>
    </row>
    <row r="10" spans="1:18">
      <c r="A10" s="15" t="s">
        <v>352</v>
      </c>
      <c r="B10" s="17" t="n">
        <v>20058</v>
      </c>
      <c r="C10" s="18">
        <f>(17622.0/B10*100)</f>
        <v/>
      </c>
      <c r="D10" s="19" t="n">
        <v>2436</v>
      </c>
      <c r="E10" s="18" t="n">
        <v>38.98980274</v>
      </c>
      <c r="F10" s="20" t="n">
        <v>1.47604487</v>
      </c>
      <c r="G10" s="18" t="n">
        <v>56.06037272</v>
      </c>
      <c r="H10" s="20" t="n">
        <v>1.6247348</v>
      </c>
      <c r="I10" s="18" t="s">
        <v>349</v>
      </c>
      <c r="J10" s="20" t="s">
        <v>349</v>
      </c>
      <c r="K10" s="18" t="n">
        <v>4.17988511</v>
      </c>
      <c r="L10" s="20" t="n">
        <v>0.58753791</v>
      </c>
      <c r="M10" s="18" t="n">
        <v>0</v>
      </c>
      <c r="N10" s="20" t="n">
        <v>0</v>
      </c>
      <c r="O10" s="18" t="n">
        <v>0</v>
      </c>
      <c r="P10" s="20" t="n">
        <v>0</v>
      </c>
      <c r="Q10" s="18" t="n">
        <v>0.76993943</v>
      </c>
      <c r="R10" s="20" t="n">
        <v>0.23237457</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(6079.0/B12*100)</f>
        <v/>
      </c>
      <c r="D12" s="19" t="n">
        <v>815</v>
      </c>
      <c r="E12" s="18" t="n">
        <v>42.58846658</v>
      </c>
      <c r="F12" s="20" t="n">
        <v>1.99376524</v>
      </c>
      <c r="G12" s="18" t="n">
        <v>46.43231794</v>
      </c>
      <c r="H12" s="20" t="n">
        <v>1.94977654</v>
      </c>
      <c r="I12" s="18" t="s">
        <v>349</v>
      </c>
      <c r="J12" s="20" t="s">
        <v>349</v>
      </c>
      <c r="K12" s="18" t="n">
        <v>9.082442609999999</v>
      </c>
      <c r="L12" s="20" t="n">
        <v>1.1763533</v>
      </c>
      <c r="M12" s="18" t="n">
        <v>0</v>
      </c>
      <c r="N12" s="20" t="n">
        <v>0</v>
      </c>
      <c r="O12" s="18" t="n">
        <v>0</v>
      </c>
      <c r="P12" s="20" t="n">
        <v>0</v>
      </c>
      <c r="Q12" s="18" t="n">
        <v>1.89677287</v>
      </c>
      <c r="R12" s="20" t="n">
        <v>0.56454521</v>
      </c>
    </row>
    <row r="13" spans="1:18">
      <c r="A13" s="15" t="s">
        <v>355</v>
      </c>
      <c r="B13" s="17" t="n">
        <v>7161</v>
      </c>
      <c r="C13" s="18">
        <f>(6331.0/B13*100)</f>
        <v/>
      </c>
      <c r="D13" s="19" t="n">
        <v>830</v>
      </c>
      <c r="E13" s="18" t="n">
        <v>34.64904828</v>
      </c>
      <c r="F13" s="20" t="n">
        <v>2.02122671</v>
      </c>
      <c r="G13" s="18" t="n">
        <v>59.22067062</v>
      </c>
      <c r="H13" s="20" t="n">
        <v>2.15283366</v>
      </c>
      <c r="I13" s="18" t="s">
        <v>349</v>
      </c>
      <c r="J13" s="20" t="s">
        <v>349</v>
      </c>
      <c r="K13" s="18" t="n">
        <v>5.15905789</v>
      </c>
      <c r="L13" s="20" t="n">
        <v>0.97148412</v>
      </c>
      <c r="M13" s="18" t="n">
        <v>0</v>
      </c>
      <c r="N13" s="20" t="n">
        <v>0</v>
      </c>
      <c r="O13" s="18" t="n">
        <v>0</v>
      </c>
      <c r="P13" s="20" t="n">
        <v>0</v>
      </c>
      <c r="Q13" s="18" t="n">
        <v>0.97122321</v>
      </c>
      <c r="R13" s="20" t="n">
        <v>0.3823457</v>
      </c>
    </row>
    <row r="14" spans="1:18">
      <c r="A14" s="15" t="s">
        <v>356</v>
      </c>
      <c r="B14" s="17" t="n">
        <v>5587</v>
      </c>
      <c r="C14" s="18">
        <f>(4882.0/B14*100)</f>
        <v/>
      </c>
      <c r="D14" s="19" t="n">
        <v>705</v>
      </c>
      <c r="E14" s="18" t="n">
        <v>28.46701958</v>
      </c>
      <c r="F14" s="20" t="n">
        <v>2.13120512</v>
      </c>
      <c r="G14" s="18" t="n">
        <v>64.55967548</v>
      </c>
      <c r="H14" s="20" t="n">
        <v>2.2248601</v>
      </c>
      <c r="I14" s="18" t="s">
        <v>349</v>
      </c>
      <c r="J14" s="20" t="s">
        <v>349</v>
      </c>
      <c r="K14" s="18" t="n">
        <v>5.14820869</v>
      </c>
      <c r="L14" s="20" t="n">
        <v>0.89248061</v>
      </c>
      <c r="M14" s="18" t="n">
        <v>0</v>
      </c>
      <c r="N14" s="20" t="n">
        <v>0</v>
      </c>
      <c r="O14" s="18" t="n">
        <v>0</v>
      </c>
      <c r="P14" s="20" t="n">
        <v>0</v>
      </c>
      <c r="Q14" s="18" t="n">
        <v>1.82509626</v>
      </c>
      <c r="R14" s="20" t="n">
        <v>0.562179</v>
      </c>
    </row>
    <row r="15" spans="1:18">
      <c r="A15" s="15" t="s">
        <v>357</v>
      </c>
      <c r="B15" s="17" t="n">
        <v>5882</v>
      </c>
      <c r="C15" s="18">
        <f>(5165.0/B15*100)</f>
        <v/>
      </c>
      <c r="D15" s="19" t="n">
        <v>717</v>
      </c>
      <c r="E15" s="18" t="n">
        <v>45.85542809</v>
      </c>
      <c r="F15" s="20" t="n">
        <v>1.96513409</v>
      </c>
      <c r="G15" s="18" t="n">
        <v>45.09382154</v>
      </c>
      <c r="H15" s="20" t="n">
        <v>2.00865627</v>
      </c>
      <c r="I15" s="18" t="s">
        <v>349</v>
      </c>
      <c r="J15" s="20" t="s">
        <v>349</v>
      </c>
      <c r="K15" s="18" t="n">
        <v>7.95145001</v>
      </c>
      <c r="L15" s="20" t="n">
        <v>0.95674253</v>
      </c>
      <c r="M15" s="18" t="n">
        <v>0</v>
      </c>
      <c r="N15" s="20" t="n">
        <v>0</v>
      </c>
      <c r="O15" s="18" t="n">
        <v>0</v>
      </c>
      <c r="P15" s="20" t="n">
        <v>0</v>
      </c>
      <c r="Q15" s="18" t="n">
        <v>1.09930036</v>
      </c>
      <c r="R15" s="20" t="n">
        <v>0.44644027</v>
      </c>
    </row>
    <row r="16" spans="1:18">
      <c r="A16" s="15" t="s">
        <v>358</v>
      </c>
      <c r="B16" s="17" t="n">
        <v>6108</v>
      </c>
      <c r="C16" s="18">
        <f>(5359.0/B16*100)</f>
        <v/>
      </c>
      <c r="D16" s="19" t="n">
        <v>749</v>
      </c>
      <c r="E16" s="18" t="n">
        <v>38.13206526</v>
      </c>
      <c r="F16" s="20" t="n">
        <v>1.69796642</v>
      </c>
      <c r="G16" s="18" t="n">
        <v>43.57002315</v>
      </c>
      <c r="H16" s="20" t="n">
        <v>1.72365904</v>
      </c>
      <c r="I16" s="18" t="s">
        <v>349</v>
      </c>
      <c r="J16" s="20" t="s">
        <v>349</v>
      </c>
      <c r="K16" s="18" t="n">
        <v>15.89223302</v>
      </c>
      <c r="L16" s="20" t="n">
        <v>1.29226345</v>
      </c>
      <c r="M16" s="18" t="n">
        <v>0</v>
      </c>
      <c r="N16" s="20" t="n">
        <v>0</v>
      </c>
      <c r="O16" s="18" t="n">
        <v>0</v>
      </c>
      <c r="P16" s="20" t="n">
        <v>0</v>
      </c>
      <c r="Q16" s="18" t="n">
        <v>2.40567858</v>
      </c>
      <c r="R16" s="20" t="n">
        <v>0.58483349</v>
      </c>
    </row>
    <row r="17" spans="1:18">
      <c r="A17" s="15" t="s">
        <v>359</v>
      </c>
      <c r="B17" s="17" t="n">
        <v>6504</v>
      </c>
      <c r="C17" s="18">
        <f>(5714.0/B17*100)</f>
        <v/>
      </c>
      <c r="D17" s="19" t="n">
        <v>790</v>
      </c>
      <c r="E17" s="18" t="n">
        <v>32.32359477</v>
      </c>
      <c r="F17" s="20" t="n">
        <v>1.78144241</v>
      </c>
      <c r="G17" s="18" t="n">
        <v>56.3163018</v>
      </c>
      <c r="H17" s="20" t="n">
        <v>1.85408812</v>
      </c>
      <c r="I17" s="18" t="s">
        <v>349</v>
      </c>
      <c r="J17" s="20" t="s">
        <v>349</v>
      </c>
      <c r="K17" s="18" t="n">
        <v>8.8667868</v>
      </c>
      <c r="L17" s="20" t="n">
        <v>1.07447396</v>
      </c>
      <c r="M17" s="18" t="n">
        <v>0</v>
      </c>
      <c r="N17" s="20" t="n">
        <v>0</v>
      </c>
      <c r="O17" s="18" t="n">
        <v>0</v>
      </c>
      <c r="P17" s="20" t="n">
        <v>0</v>
      </c>
      <c r="Q17" s="18" t="n">
        <v>2.49331664</v>
      </c>
      <c r="R17" s="20" t="n">
        <v>0.54360243</v>
      </c>
    </row>
    <row r="18" spans="1:18">
      <c r="A18" s="15" t="s">
        <v>360</v>
      </c>
      <c r="B18" s="17" t="n">
        <v>5532</v>
      </c>
      <c r="C18" s="18">
        <f>(4851.0/B18*100)</f>
        <v/>
      </c>
      <c r="D18" s="19" t="n">
        <v>681</v>
      </c>
      <c r="E18" s="18" t="n">
        <v>54.75433802</v>
      </c>
      <c r="F18" s="20" t="n">
        <v>2.18641523</v>
      </c>
      <c r="G18" s="18" t="n">
        <v>34.83220493</v>
      </c>
      <c r="H18" s="20" t="n">
        <v>2.1516248</v>
      </c>
      <c r="I18" s="18" t="s">
        <v>349</v>
      </c>
      <c r="J18" s="20" t="s">
        <v>349</v>
      </c>
      <c r="K18" s="18" t="n">
        <v>8.47691678</v>
      </c>
      <c r="L18" s="20" t="n">
        <v>1.40703636</v>
      </c>
      <c r="M18" s="18" t="n">
        <v>0</v>
      </c>
      <c r="N18" s="20" t="n">
        <v>0</v>
      </c>
      <c r="O18" s="18" t="n">
        <v>0</v>
      </c>
      <c r="P18" s="20" t="n">
        <v>0</v>
      </c>
      <c r="Q18" s="18" t="n">
        <v>1.93654027</v>
      </c>
      <c r="R18" s="20" t="n">
        <v>0.56113662</v>
      </c>
    </row>
    <row r="19" spans="1:18">
      <c r="A19" s="15" t="s">
        <v>361</v>
      </c>
      <c r="B19" s="17" t="n">
        <v>5658</v>
      </c>
      <c r="C19" s="18">
        <f>(4999.0/B19*100)</f>
        <v/>
      </c>
      <c r="D19" s="19" t="n">
        <v>659</v>
      </c>
      <c r="E19" s="18" t="n">
        <v>44.10718348</v>
      </c>
      <c r="F19" s="20" t="n">
        <v>2.03244109</v>
      </c>
      <c r="G19" s="18" t="n">
        <v>45.30499364</v>
      </c>
      <c r="H19" s="20" t="n">
        <v>1.95662213</v>
      </c>
      <c r="I19" s="18" t="s">
        <v>349</v>
      </c>
      <c r="J19" s="20" t="s">
        <v>349</v>
      </c>
      <c r="K19" s="18" t="n">
        <v>7.05992531</v>
      </c>
      <c r="L19" s="20" t="n">
        <v>1.02422307</v>
      </c>
      <c r="M19" s="18" t="n">
        <v>0</v>
      </c>
      <c r="N19" s="20" t="n">
        <v>0</v>
      </c>
      <c r="O19" s="18" t="n">
        <v>0</v>
      </c>
      <c r="P19" s="20" t="n">
        <v>0</v>
      </c>
      <c r="Q19" s="18" t="n">
        <v>3.52789757</v>
      </c>
      <c r="R19" s="20" t="n">
        <v>0.92429611</v>
      </c>
    </row>
    <row r="20" spans="1:18">
      <c r="A20" s="15" t="s">
        <v>362</v>
      </c>
      <c r="B20" s="17" t="n">
        <v>3371</v>
      </c>
      <c r="C20" s="18">
        <f>(2960.0/B20*100)</f>
        <v/>
      </c>
      <c r="D20" s="19" t="n">
        <v>411</v>
      </c>
      <c r="E20" s="18" t="n">
        <v>42.12276259</v>
      </c>
      <c r="F20" s="20" t="n">
        <v>2.48358803</v>
      </c>
      <c r="G20" s="18" t="n">
        <v>46.34093912</v>
      </c>
      <c r="H20" s="20" t="n">
        <v>2.53734969</v>
      </c>
      <c r="I20" s="18" t="s">
        <v>349</v>
      </c>
      <c r="J20" s="20" t="s">
        <v>349</v>
      </c>
      <c r="K20" s="18" t="n">
        <v>8.811760080000001</v>
      </c>
      <c r="L20" s="20" t="n">
        <v>1.39507208</v>
      </c>
      <c r="M20" s="18" t="n">
        <v>0</v>
      </c>
      <c r="N20" s="20" t="n">
        <v>0</v>
      </c>
      <c r="O20" s="18" t="n">
        <v>0</v>
      </c>
      <c r="P20" s="20" t="n">
        <v>0</v>
      </c>
      <c r="Q20" s="18" t="n">
        <v>2.72453821</v>
      </c>
      <c r="R20" s="20" t="n">
        <v>0.76473045</v>
      </c>
    </row>
    <row r="21" spans="1:18">
      <c r="A21" s="15" t="s">
        <v>363</v>
      </c>
      <c r="B21" s="17" t="n">
        <v>5741</v>
      </c>
      <c r="C21" s="18">
        <f>(4802.0/B21*100)</f>
        <v/>
      </c>
      <c r="D21" s="19" t="n">
        <v>939</v>
      </c>
      <c r="E21" s="18" t="n">
        <v>31.91661904</v>
      </c>
      <c r="F21" s="20" t="n">
        <v>1.55319987</v>
      </c>
      <c r="G21" s="18" t="n">
        <v>61.88419483</v>
      </c>
      <c r="H21" s="20" t="n">
        <v>1.82761756</v>
      </c>
      <c r="I21" s="18" t="s">
        <v>349</v>
      </c>
      <c r="J21" s="20" t="s">
        <v>349</v>
      </c>
      <c r="K21" s="18" t="n">
        <v>5.01149484</v>
      </c>
      <c r="L21" s="20" t="n">
        <v>0.7236891</v>
      </c>
      <c r="M21" s="18" t="n">
        <v>0</v>
      </c>
      <c r="N21" s="20" t="n">
        <v>0</v>
      </c>
      <c r="O21" s="18" t="n">
        <v>0</v>
      </c>
      <c r="P21" s="20" t="n">
        <v>0</v>
      </c>
      <c r="Q21" s="18" t="n">
        <v>1.18769129</v>
      </c>
      <c r="R21" s="20" t="n">
        <v>0.36091197</v>
      </c>
    </row>
    <row r="22" spans="1:18">
      <c r="A22" s="15" t="s">
        <v>364</v>
      </c>
      <c r="B22" s="17" t="n">
        <v>6598</v>
      </c>
      <c r="C22" s="18">
        <f>(5778.0/B22*100)</f>
        <v/>
      </c>
      <c r="D22" s="19" t="n">
        <v>820</v>
      </c>
      <c r="E22" s="18" t="n">
        <v>42.55386122</v>
      </c>
      <c r="F22" s="20" t="n">
        <v>1.90465867</v>
      </c>
      <c r="G22" s="18" t="n">
        <v>43.16513657</v>
      </c>
      <c r="H22" s="20" t="n">
        <v>1.96887859</v>
      </c>
      <c r="I22" s="18" t="s">
        <v>349</v>
      </c>
      <c r="J22" s="20" t="s">
        <v>349</v>
      </c>
      <c r="K22" s="18" t="n">
        <v>11.92721171</v>
      </c>
      <c r="L22" s="20" t="n">
        <v>1.47576759</v>
      </c>
      <c r="M22" s="18" t="n">
        <v>0</v>
      </c>
      <c r="N22" s="20" t="n">
        <v>0</v>
      </c>
      <c r="O22" s="18" t="n">
        <v>0</v>
      </c>
      <c r="P22" s="20" t="n">
        <v>0</v>
      </c>
      <c r="Q22" s="18" t="n">
        <v>2.35379051</v>
      </c>
      <c r="R22" s="20" t="n">
        <v>0.56147128</v>
      </c>
    </row>
    <row r="23" spans="1:18">
      <c r="A23" s="15" t="s">
        <v>365</v>
      </c>
      <c r="B23" s="17" t="n">
        <v>11583</v>
      </c>
      <c r="C23" s="18">
        <f>(10187.0/B23*100)</f>
        <v/>
      </c>
      <c r="D23" s="19" t="n">
        <v>1396</v>
      </c>
      <c r="E23" s="18" t="n">
        <v>37.90795014</v>
      </c>
      <c r="F23" s="20" t="n">
        <v>1.96803582</v>
      </c>
      <c r="G23" s="18" t="n">
        <v>45.4809829</v>
      </c>
      <c r="H23" s="20" t="n">
        <v>1.85089836</v>
      </c>
      <c r="I23" s="18" t="s">
        <v>349</v>
      </c>
      <c r="J23" s="20" t="s">
        <v>349</v>
      </c>
      <c r="K23" s="18" t="n">
        <v>13.26757404</v>
      </c>
      <c r="L23" s="20" t="n">
        <v>1.3577449</v>
      </c>
      <c r="M23" s="18" t="n">
        <v>0</v>
      </c>
      <c r="N23" s="20" t="n">
        <v>0</v>
      </c>
      <c r="O23" s="18" t="n">
        <v>0</v>
      </c>
      <c r="P23" s="20" t="n">
        <v>0</v>
      </c>
      <c r="Q23" s="18" t="n">
        <v>3.34349291</v>
      </c>
      <c r="R23" s="20" t="n">
        <v>0.52047676</v>
      </c>
    </row>
    <row r="24" spans="1:18">
      <c r="A24" s="15" t="s">
        <v>366</v>
      </c>
      <c r="B24" s="17" t="n">
        <v>6647</v>
      </c>
      <c r="C24" s="18">
        <f>(5856.0/B24*100)</f>
        <v/>
      </c>
      <c r="D24" s="19" t="n">
        <v>791</v>
      </c>
      <c r="E24" s="18" t="n">
        <v>34.54962296</v>
      </c>
      <c r="F24" s="20" t="n">
        <v>1.78489092</v>
      </c>
      <c r="G24" s="18" t="n">
        <v>58.65917957</v>
      </c>
      <c r="H24" s="20" t="n">
        <v>2.02962972</v>
      </c>
      <c r="I24" s="18" t="s">
        <v>349</v>
      </c>
      <c r="J24" s="20" t="s">
        <v>349</v>
      </c>
      <c r="K24" s="18" t="n">
        <v>6.30467847</v>
      </c>
      <c r="L24" s="20" t="n">
        <v>0.85949928</v>
      </c>
      <c r="M24" s="18" t="n">
        <v>0</v>
      </c>
      <c r="N24" s="20" t="n">
        <v>0</v>
      </c>
      <c r="O24" s="18" t="n">
        <v>0</v>
      </c>
      <c r="P24" s="20" t="n">
        <v>0</v>
      </c>
      <c r="Q24" s="18" t="n">
        <v>0.486519</v>
      </c>
      <c r="R24" s="20" t="n">
        <v>0.2482088</v>
      </c>
    </row>
    <row r="25" spans="1:18">
      <c r="A25" s="15" t="s">
        <v>367</v>
      </c>
      <c r="B25" s="17" t="n">
        <v>5581</v>
      </c>
      <c r="C25" s="18">
        <f>(4903.0/B25*100)</f>
        <v/>
      </c>
      <c r="D25" s="19" t="n">
        <v>678</v>
      </c>
      <c r="E25" s="18" t="n">
        <v>41.20524812</v>
      </c>
      <c r="F25" s="20" t="n">
        <v>1.81140634</v>
      </c>
      <c r="G25" s="18" t="n">
        <v>53.52554711</v>
      </c>
      <c r="H25" s="20" t="n">
        <v>1.94339553</v>
      </c>
      <c r="I25" s="18" t="s">
        <v>349</v>
      </c>
      <c r="J25" s="20" t="s">
        <v>349</v>
      </c>
      <c r="K25" s="18" t="n">
        <v>4.36071591</v>
      </c>
      <c r="L25" s="20" t="n">
        <v>0.88923933</v>
      </c>
      <c r="M25" s="18" t="n">
        <v>0</v>
      </c>
      <c r="N25" s="20" t="n">
        <v>0</v>
      </c>
      <c r="O25" s="18" t="n">
        <v>0</v>
      </c>
      <c r="P25" s="20" t="n">
        <v>0</v>
      </c>
      <c r="Q25" s="18" t="n">
        <v>0.90848886</v>
      </c>
      <c r="R25" s="20" t="n">
        <v>0.37108848</v>
      </c>
    </row>
    <row r="26" spans="1:18">
      <c r="A26" s="15" t="s">
        <v>368</v>
      </c>
      <c r="B26" s="17" t="n">
        <v>4869</v>
      </c>
      <c r="C26" s="18">
        <f>(4271.0/B26*100)</f>
        <v/>
      </c>
      <c r="D26" s="19" t="n">
        <v>598</v>
      </c>
      <c r="E26" s="18" t="n">
        <v>61.35047027</v>
      </c>
      <c r="F26" s="20" t="n">
        <v>2.53244761</v>
      </c>
      <c r="G26" s="18" t="n">
        <v>29.77192978</v>
      </c>
      <c r="H26" s="20" t="n">
        <v>2.18683815</v>
      </c>
      <c r="I26" s="18" t="s">
        <v>349</v>
      </c>
      <c r="J26" s="20" t="s">
        <v>349</v>
      </c>
      <c r="K26" s="18" t="n">
        <v>5.36282565</v>
      </c>
      <c r="L26" s="20" t="n">
        <v>0.92598847</v>
      </c>
      <c r="M26" s="18" t="n">
        <v>0</v>
      </c>
      <c r="N26" s="20" t="n">
        <v>0</v>
      </c>
      <c r="O26" s="18" t="n">
        <v>0</v>
      </c>
      <c r="P26" s="20" t="n">
        <v>0</v>
      </c>
      <c r="Q26" s="18" t="n">
        <v>3.5147743</v>
      </c>
      <c r="R26" s="20" t="n">
        <v>0.79502585</v>
      </c>
    </row>
    <row r="27" spans="1:18">
      <c r="A27" s="15" t="s">
        <v>369</v>
      </c>
      <c r="B27" s="17" t="n">
        <v>5299</v>
      </c>
      <c r="C27" s="18">
        <f>(4662.0/B27*100)</f>
        <v/>
      </c>
      <c r="D27" s="19" t="n">
        <v>637</v>
      </c>
      <c r="E27" s="18" t="n">
        <v>43.71236469</v>
      </c>
      <c r="F27" s="20" t="n">
        <v>1.88089632</v>
      </c>
      <c r="G27" s="18" t="n">
        <v>42.96986157</v>
      </c>
      <c r="H27" s="20" t="n">
        <v>1.74064973</v>
      </c>
      <c r="I27" s="18" t="s">
        <v>349</v>
      </c>
      <c r="J27" s="20" t="s">
        <v>349</v>
      </c>
      <c r="K27" s="18" t="n">
        <v>10.65907648</v>
      </c>
      <c r="L27" s="20" t="n">
        <v>1.36723669</v>
      </c>
      <c r="M27" s="18" t="n">
        <v>0</v>
      </c>
      <c r="N27" s="20" t="n">
        <v>0</v>
      </c>
      <c r="O27" s="18" t="n">
        <v>0</v>
      </c>
      <c r="P27" s="20" t="n">
        <v>0</v>
      </c>
      <c r="Q27" s="18" t="n">
        <v>2.65869726</v>
      </c>
      <c r="R27" s="20" t="n">
        <v>0.70873999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(4721.0/B29*100)</f>
        <v/>
      </c>
      <c r="D29" s="19" t="n">
        <v>664</v>
      </c>
      <c r="E29" s="18" t="n">
        <v>29.14983764</v>
      </c>
      <c r="F29" s="20" t="n">
        <v>1.8492538</v>
      </c>
      <c r="G29" s="18" t="n">
        <v>65.44150967</v>
      </c>
      <c r="H29" s="20" t="n">
        <v>1.90700856</v>
      </c>
      <c r="I29" s="18" t="s">
        <v>349</v>
      </c>
      <c r="J29" s="20" t="s">
        <v>349</v>
      </c>
      <c r="K29" s="18" t="n">
        <v>4.67204838</v>
      </c>
      <c r="L29" s="20" t="n">
        <v>0.78761154</v>
      </c>
      <c r="M29" s="18" t="n">
        <v>0</v>
      </c>
      <c r="N29" s="20" t="n">
        <v>0</v>
      </c>
      <c r="O29" s="18" t="n">
        <v>0</v>
      </c>
      <c r="P29" s="20" t="n">
        <v>0</v>
      </c>
      <c r="Q29" s="18" t="n">
        <v>0.73660431</v>
      </c>
      <c r="R29" s="20" t="n">
        <v>0.35130364</v>
      </c>
    </row>
    <row r="30" spans="1:18">
      <c r="A30" s="15" t="s">
        <v>372</v>
      </c>
      <c r="B30" s="17" t="n">
        <v>4520</v>
      </c>
      <c r="C30" s="18">
        <f>(3997.0/B30*100)</f>
        <v/>
      </c>
      <c r="D30" s="19" t="n">
        <v>523</v>
      </c>
      <c r="E30" s="18" t="n">
        <v>39.61876043</v>
      </c>
      <c r="F30" s="20" t="n">
        <v>2.27525506</v>
      </c>
      <c r="G30" s="18" t="n">
        <v>50.67279032</v>
      </c>
      <c r="H30" s="20" t="n">
        <v>2.3947819</v>
      </c>
      <c r="I30" s="18" t="s">
        <v>349</v>
      </c>
      <c r="J30" s="20" t="s">
        <v>349</v>
      </c>
      <c r="K30" s="18" t="n">
        <v>8.505232599999999</v>
      </c>
      <c r="L30" s="20" t="n">
        <v>1.45648192</v>
      </c>
      <c r="M30" s="18" t="n">
        <v>0</v>
      </c>
      <c r="N30" s="20" t="n">
        <v>0</v>
      </c>
      <c r="O30" s="18" t="n">
        <v>0</v>
      </c>
      <c r="P30" s="20" t="n">
        <v>0</v>
      </c>
      <c r="Q30" s="18" t="n">
        <v>1.20321666</v>
      </c>
      <c r="R30" s="20" t="n">
        <v>0.5149318899999999</v>
      </c>
    </row>
    <row r="31" spans="1:18">
      <c r="A31" s="15" t="s">
        <v>373</v>
      </c>
      <c r="B31" s="17" t="n">
        <v>5456</v>
      </c>
      <c r="C31" s="18">
        <f>(4771.0/B31*100)</f>
        <v/>
      </c>
      <c r="D31" s="19" t="n">
        <v>685</v>
      </c>
      <c r="E31" s="18" t="n">
        <v>41.82110469</v>
      </c>
      <c r="F31" s="20" t="n">
        <v>2.04520472</v>
      </c>
      <c r="G31" s="18" t="n">
        <v>46.69343559</v>
      </c>
      <c r="H31" s="20" t="n">
        <v>2.14161716</v>
      </c>
      <c r="I31" s="18" t="s">
        <v>349</v>
      </c>
      <c r="J31" s="20" t="s">
        <v>349</v>
      </c>
      <c r="K31" s="18" t="n">
        <v>10.10750784</v>
      </c>
      <c r="L31" s="20" t="n">
        <v>1.10188359</v>
      </c>
      <c r="M31" s="18" t="n">
        <v>0</v>
      </c>
      <c r="N31" s="20" t="n">
        <v>0</v>
      </c>
      <c r="O31" s="18" t="n">
        <v>0</v>
      </c>
      <c r="P31" s="20" t="n">
        <v>0</v>
      </c>
      <c r="Q31" s="18" t="n">
        <v>1.37795188</v>
      </c>
      <c r="R31" s="20" t="n">
        <v>0.34750307</v>
      </c>
    </row>
    <row r="32" spans="1:18">
      <c r="A32" s="15" t="s">
        <v>374</v>
      </c>
      <c r="B32" s="17" t="n">
        <v>4478</v>
      </c>
      <c r="C32" s="18">
        <f>(3736.0/B32*100)</f>
        <v/>
      </c>
      <c r="D32" s="19" t="n">
        <v>742</v>
      </c>
      <c r="E32" s="18" t="n">
        <v>40.98206537</v>
      </c>
      <c r="F32" s="20" t="n">
        <v>1.99574158</v>
      </c>
      <c r="G32" s="18" t="n">
        <v>50.99242994</v>
      </c>
      <c r="H32" s="20" t="n">
        <v>2.02299168</v>
      </c>
      <c r="I32" s="18" t="s">
        <v>349</v>
      </c>
      <c r="J32" s="20" t="s">
        <v>349</v>
      </c>
      <c r="K32" s="18" t="n">
        <v>5.86167521</v>
      </c>
      <c r="L32" s="20" t="n">
        <v>0.90980754</v>
      </c>
      <c r="M32" s="18" t="n">
        <v>0</v>
      </c>
      <c r="N32" s="20" t="n">
        <v>0</v>
      </c>
      <c r="O32" s="18" t="n">
        <v>0</v>
      </c>
      <c r="P32" s="20" t="n">
        <v>0</v>
      </c>
      <c r="Q32" s="18" t="n">
        <v>2.16382948</v>
      </c>
      <c r="R32" s="20" t="n">
        <v>0.45938032</v>
      </c>
    </row>
    <row r="33" spans="1:18">
      <c r="A33" s="15" t="s">
        <v>375</v>
      </c>
      <c r="B33" s="17" t="n">
        <v>7325</v>
      </c>
      <c r="C33" s="18">
        <f>(6474.0/B33*100)</f>
        <v/>
      </c>
      <c r="D33" s="19" t="n">
        <v>851</v>
      </c>
      <c r="E33" s="18" t="n">
        <v>44.572905</v>
      </c>
      <c r="F33" s="20" t="n">
        <v>2.0823489</v>
      </c>
      <c r="G33" s="18" t="n">
        <v>44.87756854</v>
      </c>
      <c r="H33" s="20" t="n">
        <v>2.09923207</v>
      </c>
      <c r="I33" s="18" t="s">
        <v>349</v>
      </c>
      <c r="J33" s="20" t="s">
        <v>349</v>
      </c>
      <c r="K33" s="18" t="n">
        <v>7.79455451</v>
      </c>
      <c r="L33" s="20" t="n">
        <v>1.05338657</v>
      </c>
      <c r="M33" s="18" t="n">
        <v>0</v>
      </c>
      <c r="N33" s="20" t="n">
        <v>0</v>
      </c>
      <c r="O33" s="18" t="n">
        <v>0</v>
      </c>
      <c r="P33" s="20" t="n">
        <v>0</v>
      </c>
      <c r="Q33" s="18" t="n">
        <v>2.75497196</v>
      </c>
      <c r="R33" s="20" t="n">
        <v>0.67440529</v>
      </c>
    </row>
    <row r="34" spans="1:18">
      <c r="A34" s="15" t="s">
        <v>376</v>
      </c>
      <c r="B34" s="17" t="n">
        <v>6350</v>
      </c>
      <c r="C34" s="18">
        <f>(5598.0/B34*100)</f>
        <v/>
      </c>
      <c r="D34" s="19" t="n">
        <v>752</v>
      </c>
      <c r="E34" s="18" t="n">
        <v>42.62292158</v>
      </c>
      <c r="F34" s="20" t="n">
        <v>1.82192696</v>
      </c>
      <c r="G34" s="18" t="n">
        <v>47.26841217</v>
      </c>
      <c r="H34" s="20" t="n">
        <v>1.95946928</v>
      </c>
      <c r="I34" s="18" t="s">
        <v>349</v>
      </c>
      <c r="J34" s="20" t="s">
        <v>349</v>
      </c>
      <c r="K34" s="18" t="n">
        <v>7.67932279</v>
      </c>
      <c r="L34" s="20" t="n">
        <v>0.85292131</v>
      </c>
      <c r="M34" s="18" t="n">
        <v>0</v>
      </c>
      <c r="N34" s="20" t="n">
        <v>0</v>
      </c>
      <c r="O34" s="18" t="n">
        <v>0</v>
      </c>
      <c r="P34" s="20" t="n">
        <v>0</v>
      </c>
      <c r="Q34" s="18" t="n">
        <v>2.42934346</v>
      </c>
      <c r="R34" s="20" t="n">
        <v>0.5349563899999999</v>
      </c>
    </row>
    <row r="35" spans="1:18">
      <c r="A35" s="15" t="s">
        <v>377</v>
      </c>
      <c r="B35" s="17" t="n">
        <v>6406</v>
      </c>
      <c r="C35" s="18">
        <f>(5612.0/B35*100)</f>
        <v/>
      </c>
      <c r="D35" s="19" t="n">
        <v>794</v>
      </c>
      <c r="E35" s="18" t="n">
        <v>37.50294635</v>
      </c>
      <c r="F35" s="20" t="n">
        <v>1.97525354</v>
      </c>
      <c r="G35" s="18" t="n">
        <v>52.36578799</v>
      </c>
      <c r="H35" s="20" t="n">
        <v>1.80468815</v>
      </c>
      <c r="I35" s="18" t="s">
        <v>349</v>
      </c>
      <c r="J35" s="20" t="s">
        <v>349</v>
      </c>
      <c r="K35" s="18" t="n">
        <v>7.80790944</v>
      </c>
      <c r="L35" s="20" t="n">
        <v>1.09992861</v>
      </c>
      <c r="M35" s="18" t="n">
        <v>0</v>
      </c>
      <c r="N35" s="20" t="n">
        <v>0</v>
      </c>
      <c r="O35" s="18" t="n">
        <v>0</v>
      </c>
      <c r="P35" s="20" t="n">
        <v>0</v>
      </c>
      <c r="Q35" s="18" t="n">
        <v>2.32335622</v>
      </c>
      <c r="R35" s="20" t="n">
        <v>0.57800037</v>
      </c>
    </row>
    <row r="36" spans="1:18">
      <c r="A36" s="15" t="s">
        <v>378</v>
      </c>
      <c r="B36" s="17" t="n">
        <v>6736</v>
      </c>
      <c r="C36" s="18">
        <f>(5936.0/B36*100)</f>
        <v/>
      </c>
      <c r="D36" s="19" t="n">
        <v>800</v>
      </c>
      <c r="E36" s="18" t="n">
        <v>37.41559545</v>
      </c>
      <c r="F36" s="20" t="n">
        <v>1.98974728</v>
      </c>
      <c r="G36" s="18" t="n">
        <v>53.5729627</v>
      </c>
      <c r="H36" s="20" t="n">
        <v>1.89215194</v>
      </c>
      <c r="I36" s="18" t="s">
        <v>349</v>
      </c>
      <c r="J36" s="20" t="s">
        <v>349</v>
      </c>
      <c r="K36" s="18" t="n">
        <v>7.24385319</v>
      </c>
      <c r="L36" s="20" t="n">
        <v>0.92624495</v>
      </c>
      <c r="M36" s="18" t="n">
        <v>0</v>
      </c>
      <c r="N36" s="20" t="n">
        <v>0</v>
      </c>
      <c r="O36" s="18" t="n">
        <v>0</v>
      </c>
      <c r="P36" s="20" t="n">
        <v>0</v>
      </c>
      <c r="Q36" s="18" t="n">
        <v>1.76758866</v>
      </c>
      <c r="R36" s="20" t="n">
        <v>0.47325418</v>
      </c>
    </row>
    <row r="37" spans="1:18">
      <c r="A37" s="15" t="s">
        <v>379</v>
      </c>
      <c r="B37" s="17" t="n">
        <v>5458</v>
      </c>
      <c r="C37" s="18">
        <f>(4828.0/B37*100)</f>
        <v/>
      </c>
      <c r="D37" s="19" t="n">
        <v>630</v>
      </c>
      <c r="E37" s="18" t="n">
        <v>37.65610881</v>
      </c>
      <c r="F37" s="20" t="n">
        <v>2.12886056</v>
      </c>
      <c r="G37" s="18" t="n">
        <v>40.25542001</v>
      </c>
      <c r="H37" s="20" t="n">
        <v>2.15120464</v>
      </c>
      <c r="I37" s="18" t="s">
        <v>349</v>
      </c>
      <c r="J37" s="20" t="s">
        <v>349</v>
      </c>
      <c r="K37" s="18" t="n">
        <v>19.44523921</v>
      </c>
      <c r="L37" s="20" t="n">
        <v>1.9681599</v>
      </c>
      <c r="M37" s="18" t="n">
        <v>0</v>
      </c>
      <c r="N37" s="20" t="n">
        <v>0</v>
      </c>
      <c r="O37" s="18" t="n">
        <v>0</v>
      </c>
      <c r="P37" s="20" t="n">
        <v>0</v>
      </c>
      <c r="Q37" s="18" t="n">
        <v>2.64323196</v>
      </c>
      <c r="R37" s="20" t="n">
        <v>0.65126564</v>
      </c>
    </row>
    <row r="38" spans="1:18">
      <c r="A38" s="15" t="s">
        <v>380</v>
      </c>
      <c r="B38" s="17" t="n">
        <v>5860</v>
      </c>
      <c r="C38" s="18">
        <f>(4918.0/B38*100)</f>
        <v/>
      </c>
      <c r="D38" s="19" t="n">
        <v>942</v>
      </c>
      <c r="E38" s="18" t="n">
        <v>32.40364504</v>
      </c>
      <c r="F38" s="20" t="n">
        <v>1.90613993</v>
      </c>
      <c r="G38" s="18" t="n">
        <v>56.73464662</v>
      </c>
      <c r="H38" s="20" t="n">
        <v>2.04546953</v>
      </c>
      <c r="I38" s="18" t="s">
        <v>349</v>
      </c>
      <c r="J38" s="20" t="s">
        <v>349</v>
      </c>
      <c r="K38" s="18" t="n">
        <v>8.72504108</v>
      </c>
      <c r="L38" s="20" t="n">
        <v>1.15812646</v>
      </c>
      <c r="M38" s="18" t="n">
        <v>0</v>
      </c>
      <c r="N38" s="20" t="n">
        <v>0</v>
      </c>
      <c r="O38" s="18" t="n">
        <v>0</v>
      </c>
      <c r="P38" s="20" t="n">
        <v>0</v>
      </c>
      <c r="Q38" s="18" t="n">
        <v>2.13666726</v>
      </c>
      <c r="R38" s="20" t="n">
        <v>0.5882338499999999</v>
      </c>
    </row>
    <row r="39" spans="1:18">
      <c r="A39" s="15" t="s">
        <v>381</v>
      </c>
      <c r="B39" s="17" t="n">
        <v>5895</v>
      </c>
      <c r="C39" s="18">
        <f>(5148.0/B39*100)</f>
        <v/>
      </c>
      <c r="D39" s="19" t="n">
        <v>747</v>
      </c>
      <c r="E39" s="18" t="n">
        <v>72.99611341000001</v>
      </c>
      <c r="F39" s="20" t="n">
        <v>2.27250673</v>
      </c>
      <c r="G39" s="18" t="n">
        <v>18.25882325</v>
      </c>
      <c r="H39" s="20" t="n">
        <v>2.08143611</v>
      </c>
      <c r="I39" s="18" t="s">
        <v>349</v>
      </c>
      <c r="J39" s="20" t="s">
        <v>349</v>
      </c>
      <c r="K39" s="18" t="n">
        <v>6.08089546</v>
      </c>
      <c r="L39" s="20" t="n">
        <v>0.92165758</v>
      </c>
      <c r="M39" s="18" t="n">
        <v>0</v>
      </c>
      <c r="N39" s="20" t="n">
        <v>0</v>
      </c>
      <c r="O39" s="18" t="n">
        <v>0</v>
      </c>
      <c r="P39" s="20" t="n">
        <v>0</v>
      </c>
      <c r="Q39" s="18" t="n">
        <v>2.66416787</v>
      </c>
      <c r="R39" s="20" t="n">
        <v>0.65228713</v>
      </c>
    </row>
    <row r="40" spans="1:18">
      <c r="A40" s="15" t="s">
        <v>382</v>
      </c>
      <c r="B40" s="17" t="n">
        <v>14157</v>
      </c>
      <c r="C40" s="18">
        <f>(12387.0/B40*100)</f>
        <v/>
      </c>
      <c r="D40" s="19" t="n">
        <v>1770</v>
      </c>
      <c r="E40" s="18" t="n">
        <v>37.2783846</v>
      </c>
      <c r="F40" s="20" t="n">
        <v>1.52482028</v>
      </c>
      <c r="G40" s="18" t="n">
        <v>53.06408165</v>
      </c>
      <c r="H40" s="20" t="n">
        <v>1.76606935</v>
      </c>
      <c r="I40" s="18" t="s">
        <v>349</v>
      </c>
      <c r="J40" s="20" t="s">
        <v>349</v>
      </c>
      <c r="K40" s="18" t="n">
        <v>7.39053811</v>
      </c>
      <c r="L40" s="20" t="n">
        <v>0.93036589</v>
      </c>
      <c r="M40" s="18" t="n">
        <v>0</v>
      </c>
      <c r="N40" s="20" t="n">
        <v>0</v>
      </c>
      <c r="O40" s="18" t="n">
        <v>0</v>
      </c>
      <c r="P40" s="20" t="n">
        <v>0</v>
      </c>
      <c r="Q40" s="18" t="n">
        <v>2.26699564</v>
      </c>
      <c r="R40" s="20" t="n">
        <v>0.53018457</v>
      </c>
    </row>
    <row r="41" spans="1:18">
      <c r="A41" s="15" t="s">
        <v>383</v>
      </c>
      <c r="B41" s="17" t="n">
        <v>5712</v>
      </c>
      <c r="C41" s="18">
        <f>(5038.0/B41*100)</f>
        <v/>
      </c>
      <c r="D41" s="19" t="n">
        <v>674</v>
      </c>
      <c r="E41" s="18" t="n">
        <v>53.13836189</v>
      </c>
      <c r="F41" s="20" t="n">
        <v>2.0635903</v>
      </c>
      <c r="G41" s="18" t="n">
        <v>43.80102949</v>
      </c>
      <c r="H41" s="20" t="n">
        <v>2.12871281</v>
      </c>
      <c r="I41" s="18" t="s">
        <v>349</v>
      </c>
      <c r="J41" s="20" t="s">
        <v>349</v>
      </c>
      <c r="K41" s="18" t="n">
        <v>2.31475437</v>
      </c>
      <c r="L41" s="20" t="n">
        <v>0.6897196</v>
      </c>
      <c r="M41" s="18" t="n">
        <v>0</v>
      </c>
      <c r="N41" s="20" t="n">
        <v>0</v>
      </c>
      <c r="O41" s="18" t="n">
        <v>0</v>
      </c>
      <c r="P41" s="20" t="n">
        <v>0</v>
      </c>
      <c r="Q41" s="18" t="n">
        <v>0.7458542500000001</v>
      </c>
      <c r="R41" s="20" t="n">
        <v>0.31080099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(8625.0/B48*100)</f>
        <v/>
      </c>
      <c r="D48" s="19" t="n">
        <v>1216</v>
      </c>
      <c r="E48" s="18" t="n">
        <v>29.85285846</v>
      </c>
      <c r="F48" s="20" t="n">
        <v>2.02856536</v>
      </c>
      <c r="G48" s="18" t="n">
        <v>66.3704845</v>
      </c>
      <c r="H48" s="20" t="n">
        <v>2.01384274</v>
      </c>
      <c r="I48" s="18" t="s">
        <v>349</v>
      </c>
      <c r="J48" s="20" t="s">
        <v>349</v>
      </c>
      <c r="K48" s="18" t="n">
        <v>2.3543083</v>
      </c>
      <c r="L48" s="20" t="n">
        <v>0.68831563</v>
      </c>
      <c r="M48" s="18" t="n">
        <v>0</v>
      </c>
      <c r="N48" s="20" t="n">
        <v>0</v>
      </c>
      <c r="O48" s="18" t="n">
        <v>0</v>
      </c>
      <c r="P48" s="20" t="n">
        <v>0</v>
      </c>
      <c r="Q48" s="18" t="n">
        <v>1.42234874</v>
      </c>
      <c r="R48" s="20" t="n">
        <v>0.5312717300000001</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(5093.0/B52*100)</f>
        <v/>
      </c>
      <c r="D52" s="19" t="n">
        <v>716</v>
      </c>
      <c r="E52" s="18" t="n">
        <v>48.37498154</v>
      </c>
      <c r="F52" s="20" t="n">
        <v>1.98632561</v>
      </c>
      <c r="G52" s="18" t="n">
        <v>37.73414149</v>
      </c>
      <c r="H52" s="20" t="n">
        <v>1.85562037</v>
      </c>
      <c r="I52" s="18" t="s">
        <v>349</v>
      </c>
      <c r="J52" s="20" t="s">
        <v>349</v>
      </c>
      <c r="K52" s="18" t="n">
        <v>11.39508599</v>
      </c>
      <c r="L52" s="20" t="n">
        <v>1.29766038</v>
      </c>
      <c r="M52" s="18" t="n">
        <v>0</v>
      </c>
      <c r="N52" s="20" t="n">
        <v>0</v>
      </c>
      <c r="O52" s="18" t="n">
        <v>0</v>
      </c>
      <c r="P52" s="20" t="n">
        <v>0</v>
      </c>
      <c r="Q52" s="18" t="n">
        <v>2.49579097</v>
      </c>
      <c r="R52" s="20" t="n">
        <v>0.61355326</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(4694.0/B56*100)</f>
        <v/>
      </c>
      <c r="D56" s="19" t="n">
        <v>665</v>
      </c>
      <c r="E56" s="18" t="n">
        <v>24.41615867</v>
      </c>
      <c r="F56" s="20" t="n">
        <v>1.64471897</v>
      </c>
      <c r="G56" s="18" t="n">
        <v>72.5549049</v>
      </c>
      <c r="H56" s="20" t="n">
        <v>1.61215311</v>
      </c>
      <c r="I56" s="18" t="s">
        <v>349</v>
      </c>
      <c r="J56" s="20" t="s">
        <v>349</v>
      </c>
      <c r="K56" s="18" t="n">
        <v>2.50778016</v>
      </c>
      <c r="L56" s="20" t="n">
        <v>0.69865582</v>
      </c>
      <c r="M56" s="18" t="n">
        <v>0</v>
      </c>
      <c r="N56" s="20" t="n">
        <v>0</v>
      </c>
      <c r="O56" s="18" t="n">
        <v>0</v>
      </c>
      <c r="P56" s="20" t="n">
        <v>0</v>
      </c>
      <c r="Q56" s="18" t="n">
        <v>0.52115627</v>
      </c>
      <c r="R56" s="20" t="n">
        <v>0.26612236</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(5714.0/B61*100)</f>
        <v/>
      </c>
      <c r="D61" s="19" t="n">
        <v>811</v>
      </c>
      <c r="E61" s="18" t="n">
        <v>47.04280427</v>
      </c>
      <c r="F61" s="20" t="n">
        <v>1.80600839</v>
      </c>
      <c r="G61" s="18" t="n">
        <v>43.83889662</v>
      </c>
      <c r="H61" s="20" t="n">
        <v>1.98734465</v>
      </c>
      <c r="I61" s="18" t="s">
        <v>349</v>
      </c>
      <c r="J61" s="20" t="s">
        <v>349</v>
      </c>
      <c r="K61" s="18" t="n">
        <v>6.7986771</v>
      </c>
      <c r="L61" s="20" t="n">
        <v>0.91131868</v>
      </c>
      <c r="M61" s="18" t="n">
        <v>0</v>
      </c>
      <c r="N61" s="20" t="n">
        <v>0</v>
      </c>
      <c r="O61" s="18" t="n">
        <v>0</v>
      </c>
      <c r="P61" s="20" t="n">
        <v>0</v>
      </c>
      <c r="Q61" s="18" t="n">
        <v>2.31962201</v>
      </c>
      <c r="R61" s="20" t="n">
        <v>0.57327663</v>
      </c>
    </row>
    <row r="62" spans="1:18">
      <c r="A62" s="15" t="s">
        <v>404</v>
      </c>
      <c r="B62" s="17" t="n">
        <v>4476</v>
      </c>
      <c r="C62" s="18">
        <f>(3931.0/B62*100)</f>
        <v/>
      </c>
      <c r="D62" s="19" t="n">
        <v>545</v>
      </c>
      <c r="E62" s="18" t="n">
        <v>28.49142927</v>
      </c>
      <c r="F62" s="20" t="n">
        <v>1.93367616</v>
      </c>
      <c r="G62" s="18" t="n">
        <v>69.30101365</v>
      </c>
      <c r="H62" s="20" t="n">
        <v>1.93717655</v>
      </c>
      <c r="I62" s="18" t="s">
        <v>349</v>
      </c>
      <c r="J62" s="20" t="s">
        <v>349</v>
      </c>
      <c r="K62" s="18" t="n">
        <v>1.29663151</v>
      </c>
      <c r="L62" s="20" t="n">
        <v>0.48481715</v>
      </c>
      <c r="M62" s="18" t="n">
        <v>0</v>
      </c>
      <c r="N62" s="20" t="n">
        <v>0</v>
      </c>
      <c r="O62" s="18" t="n">
        <v>0</v>
      </c>
      <c r="P62" s="20" t="n">
        <v>0</v>
      </c>
      <c r="Q62" s="18" t="n">
        <v>0.91092558</v>
      </c>
      <c r="R62" s="20" t="n">
        <v>0.40640901</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(4981.0/B66*100)</f>
        <v/>
      </c>
      <c r="D66" s="19" t="n">
        <v>684</v>
      </c>
      <c r="E66" s="18" t="n">
        <v>49.64798178</v>
      </c>
      <c r="F66" s="20" t="n">
        <v>1.93983162</v>
      </c>
      <c r="G66" s="18" t="n">
        <v>24.93943389</v>
      </c>
      <c r="H66" s="20" t="n">
        <v>1.77449786</v>
      </c>
      <c r="I66" s="18" t="s">
        <v>349</v>
      </c>
      <c r="J66" s="20" t="s">
        <v>349</v>
      </c>
      <c r="K66" s="18" t="n">
        <v>20.0535381</v>
      </c>
      <c r="L66" s="20" t="n">
        <v>1.53799214</v>
      </c>
      <c r="M66" s="18" t="n">
        <v>0</v>
      </c>
      <c r="N66" s="20" t="n">
        <v>0</v>
      </c>
      <c r="O66" s="18" t="n">
        <v>0</v>
      </c>
      <c r="P66" s="20" t="n">
        <v>0</v>
      </c>
      <c r="Q66" s="18" t="n">
        <v>5.35904623</v>
      </c>
      <c r="R66" s="20" t="n">
        <v>0.85939428</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(10061.0/B68*100)</f>
        <v/>
      </c>
      <c r="D68" s="19" t="n">
        <v>2022</v>
      </c>
      <c r="E68" s="18" t="n">
        <v>56.51763702</v>
      </c>
      <c r="F68" s="20" t="n">
        <v>0.96193084</v>
      </c>
      <c r="G68" s="18" t="n">
        <v>27.1506523</v>
      </c>
      <c r="H68" s="20" t="n">
        <v>0.9304175099999999</v>
      </c>
      <c r="I68" s="18" t="s">
        <v>349</v>
      </c>
      <c r="J68" s="20" t="s">
        <v>349</v>
      </c>
      <c r="K68" s="18" t="n">
        <v>12.67120133</v>
      </c>
      <c r="L68" s="20" t="n">
        <v>0.80618641</v>
      </c>
      <c r="M68" s="18" t="n">
        <v>0</v>
      </c>
      <c r="N68" s="20" t="n">
        <v>0</v>
      </c>
      <c r="O68" s="18" t="n">
        <v>0</v>
      </c>
      <c r="P68" s="20" t="n">
        <v>0</v>
      </c>
      <c r="Q68" s="18" t="n">
        <v>3.66050935</v>
      </c>
      <c r="R68" s="20" t="n">
        <v>0.39125174</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(5298.0/B70*100)</f>
        <v/>
      </c>
      <c r="D70" s="19" t="n">
        <v>738</v>
      </c>
      <c r="E70" s="18" t="n">
        <v>37.78096146</v>
      </c>
      <c r="F70" s="20" t="n">
        <v>2.96160736</v>
      </c>
      <c r="G70" s="18" t="n">
        <v>51.5160468</v>
      </c>
      <c r="H70" s="20" t="n">
        <v>2.96191982</v>
      </c>
      <c r="I70" s="18" t="s">
        <v>349</v>
      </c>
      <c r="J70" s="20" t="s">
        <v>349</v>
      </c>
      <c r="K70" s="18" t="n">
        <v>9.10028221</v>
      </c>
      <c r="L70" s="20" t="n">
        <v>1.12003603</v>
      </c>
      <c r="M70" s="18" t="n">
        <v>0</v>
      </c>
      <c r="N70" s="20" t="n">
        <v>0</v>
      </c>
      <c r="O70" s="18" t="n">
        <v>0</v>
      </c>
      <c r="P70" s="20" t="n">
        <v>0</v>
      </c>
      <c r="Q70" s="18" t="n">
        <v>1.60270953</v>
      </c>
      <c r="R70" s="20" t="n">
        <v>0.46302989</v>
      </c>
    </row>
    <row r="71" spans="1:18">
      <c r="A71" s="15" t="s">
        <v>413</v>
      </c>
      <c r="B71" s="17" t="n">
        <v>6115</v>
      </c>
      <c r="C71" s="18">
        <f>(5355.0/B71*100)</f>
        <v/>
      </c>
      <c r="D71" s="19" t="n">
        <v>760</v>
      </c>
      <c r="E71" s="18" t="n">
        <v>19.15585062</v>
      </c>
      <c r="F71" s="20" t="n">
        <v>1.6084887</v>
      </c>
      <c r="G71" s="18" t="n">
        <v>78.76284717999999</v>
      </c>
      <c r="H71" s="20" t="n">
        <v>1.66073034</v>
      </c>
      <c r="I71" s="18" t="s">
        <v>349</v>
      </c>
      <c r="J71" s="20" t="s">
        <v>349</v>
      </c>
      <c r="K71" s="18" t="n">
        <v>1.59149565</v>
      </c>
      <c r="L71" s="20" t="n">
        <v>0.38582646</v>
      </c>
      <c r="M71" s="18" t="n">
        <v>0</v>
      </c>
      <c r="N71" s="20" t="n">
        <v>0</v>
      </c>
      <c r="O71" s="18" t="n">
        <v>0</v>
      </c>
      <c r="P71" s="20" t="n">
        <v>0</v>
      </c>
      <c r="Q71" s="18" t="n">
        <v>0.48980655</v>
      </c>
      <c r="R71" s="20" t="n">
        <v>0.24734509</v>
      </c>
    </row>
    <row r="72" spans="1:18">
      <c r="A72" s="15" t="s">
        <v>414</v>
      </c>
      <c r="B72" s="17" t="n">
        <v>7708</v>
      </c>
      <c r="C72" s="18">
        <f>(6758.0/B72*100)</f>
        <v/>
      </c>
      <c r="D72" s="19" t="n">
        <v>950</v>
      </c>
      <c r="E72" s="18" t="n">
        <v>29.70518807</v>
      </c>
      <c r="F72" s="20" t="n">
        <v>1.49087952</v>
      </c>
      <c r="G72" s="18" t="n">
        <v>66.62857703</v>
      </c>
      <c r="H72" s="20" t="n">
        <v>1.72874952</v>
      </c>
      <c r="I72" s="18" t="s">
        <v>349</v>
      </c>
      <c r="J72" s="20" t="s">
        <v>349</v>
      </c>
      <c r="K72" s="18" t="n">
        <v>2.72993691</v>
      </c>
      <c r="L72" s="20" t="n">
        <v>0.57224738</v>
      </c>
      <c r="M72" s="18" t="n">
        <v>0</v>
      </c>
      <c r="N72" s="20" t="n">
        <v>0</v>
      </c>
      <c r="O72" s="18" t="n">
        <v>0</v>
      </c>
      <c r="P72" s="20" t="n">
        <v>0</v>
      </c>
      <c r="Q72" s="18" t="n">
        <v>0.93629799</v>
      </c>
      <c r="R72" s="20" t="n">
        <v>0.34428741</v>
      </c>
    </row>
    <row r="73" spans="1:18">
      <c r="A73" s="15" t="s">
        <v>415</v>
      </c>
      <c r="B73" s="17" t="n">
        <v>8249</v>
      </c>
      <c r="C73" s="18">
        <f>(7274.0/B73*100)</f>
        <v/>
      </c>
      <c r="D73" s="19" t="n">
        <v>975</v>
      </c>
      <c r="E73" s="18" t="n">
        <v>75.797012</v>
      </c>
      <c r="F73" s="20" t="n">
        <v>1.95652025</v>
      </c>
      <c r="G73" s="18" t="n">
        <v>22.29236599</v>
      </c>
      <c r="H73" s="20" t="n">
        <v>1.76053905</v>
      </c>
      <c r="I73" s="18" t="s">
        <v>349</v>
      </c>
      <c r="J73" s="20" t="s">
        <v>349</v>
      </c>
      <c r="K73" s="18" t="n">
        <v>1.48402465</v>
      </c>
      <c r="L73" s="20" t="n">
        <v>0.5632257000000001</v>
      </c>
      <c r="M73" s="18" t="n">
        <v>0</v>
      </c>
      <c r="N73" s="20" t="n">
        <v>0</v>
      </c>
      <c r="O73" s="18" t="n">
        <v>0</v>
      </c>
      <c r="P73" s="20" t="n">
        <v>0</v>
      </c>
      <c r="Q73" s="18" t="n">
        <v>0.42659736</v>
      </c>
      <c r="R73" s="20" t="n">
        <v>0.41549667</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(7758.0/B81*100)</f>
        <v/>
      </c>
      <c r="D81" s="19" t="n">
        <v>1103</v>
      </c>
      <c r="E81" s="18" t="n">
        <v>47.31082641</v>
      </c>
      <c r="F81" s="20" t="n">
        <v>1.99537832</v>
      </c>
      <c r="G81" s="18" t="n">
        <v>50.76047602</v>
      </c>
      <c r="H81" s="20" t="n">
        <v>2.06508094</v>
      </c>
      <c r="I81" s="18" t="s">
        <v>349</v>
      </c>
      <c r="J81" s="20" t="s">
        <v>349</v>
      </c>
      <c r="K81" s="18" t="n">
        <v>1.14991716</v>
      </c>
      <c r="L81" s="20" t="n">
        <v>0.5119149200000001</v>
      </c>
      <c r="M81" s="18" t="n">
        <v>0</v>
      </c>
      <c r="N81" s="20" t="n">
        <v>0</v>
      </c>
      <c r="O81" s="18" t="n">
        <v>0</v>
      </c>
      <c r="P81" s="20" t="n">
        <v>0</v>
      </c>
      <c r="Q81" s="18" t="n">
        <v>0.77878041</v>
      </c>
      <c r="R81" s="20" t="n">
        <v>0.30028563</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V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331</v>
      </c>
    </row>
    <row r="2" spans="1:22">
      <c r="A2" s="5" t="s">
        <v>520</v>
      </c>
    </row>
    <row customHeight="1" ht="30" r="4" spans="1:22">
      <c r="A4" s="6" t="n"/>
      <c r="B4" s="7" t="s">
        <v>333</v>
      </c>
      <c r="C4" s="7" t="s">
        <v>334</v>
      </c>
      <c r="D4" s="8" t="s">
        <v>333</v>
      </c>
      <c r="E4" s="9" t="s">
        <v>440</v>
      </c>
      <c r="F4" s="10" t="n"/>
      <c r="G4" s="9" t="s">
        <v>441</v>
      </c>
      <c r="H4" s="10" t="n"/>
      <c r="I4" s="9" t="s">
        <v>442</v>
      </c>
      <c r="J4" s="10" t="n"/>
      <c r="K4" s="9" t="s">
        <v>444</v>
      </c>
      <c r="L4" s="10" t="n"/>
      <c r="M4" s="9" t="s">
        <v>337</v>
      </c>
      <c r="N4" s="10" t="n"/>
      <c r="O4" s="9" t="s">
        <v>338</v>
      </c>
      <c r="P4" s="10" t="n"/>
      <c r="Q4" s="9" t="s">
        <v>339</v>
      </c>
      <c r="R4" s="10" t="n"/>
      <c r="S4" s="9" t="s">
        <v>340</v>
      </c>
      <c r="T4" s="10" t="n"/>
      <c r="U4" s="9" t="s">
        <v>341</v>
      </c>
      <c r="V4" s="10" t="n"/>
    </row>
    <row r="5" spans="1:22">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row>
    <row r="6" spans="1:22">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348</v>
      </c>
      <c r="B7" s="17" t="n">
        <v>14530</v>
      </c>
      <c r="C7" s="18">
        <f>(12819.0/B7*100)</f>
        <v/>
      </c>
      <c r="D7" s="19" t="n">
        <v>1711</v>
      </c>
      <c r="E7" s="18" t="n">
        <v>62.32693758</v>
      </c>
      <c r="F7" s="20" t="n">
        <v>1.30902536</v>
      </c>
      <c r="G7" s="18" t="n">
        <v>2.6641551</v>
      </c>
      <c r="H7" s="20" t="n">
        <v>0.45122229</v>
      </c>
      <c r="I7" s="18" t="n">
        <v>5.10057748</v>
      </c>
      <c r="J7" s="20" t="n">
        <v>0.72290344</v>
      </c>
      <c r="K7" s="18" t="n">
        <v>11.00488288</v>
      </c>
      <c r="L7" s="20" t="n">
        <v>0.91412189</v>
      </c>
      <c r="M7" s="18" t="s">
        <v>349</v>
      </c>
      <c r="N7" s="20" t="s">
        <v>349</v>
      </c>
      <c r="O7" s="18" t="n">
        <v>18.87418427</v>
      </c>
      <c r="P7" s="20" t="n">
        <v>1.00610207</v>
      </c>
      <c r="Q7" s="18" t="n">
        <v>0.02926269</v>
      </c>
      <c r="R7" s="20" t="n">
        <v>0.01458502</v>
      </c>
      <c r="S7" s="18" t="n">
        <v>0</v>
      </c>
      <c r="T7" s="20" t="n">
        <v>0</v>
      </c>
      <c r="U7" s="18" t="n">
        <v>0</v>
      </c>
      <c r="V7" s="20" t="n">
        <v>0</v>
      </c>
    </row>
    <row r="8" spans="1:22">
      <c r="A8" s="15" t="s">
        <v>350</v>
      </c>
      <c r="B8" s="17" t="n">
        <v>7007</v>
      </c>
      <c r="C8" s="18">
        <f>(6179.0/B8*100)</f>
        <v/>
      </c>
      <c r="D8" s="19" t="n">
        <v>828</v>
      </c>
      <c r="E8" s="18" t="n">
        <v>48.67201799</v>
      </c>
      <c r="F8" s="20" t="n">
        <v>2.03717308</v>
      </c>
      <c r="G8" s="18" t="n">
        <v>3.0685587</v>
      </c>
      <c r="H8" s="20" t="n">
        <v>0.52098672</v>
      </c>
      <c r="I8" s="18" t="n">
        <v>9.53673191</v>
      </c>
      <c r="J8" s="20" t="n">
        <v>1.21053454</v>
      </c>
      <c r="K8" s="18" t="n">
        <v>11.46066922</v>
      </c>
      <c r="L8" s="20" t="n">
        <v>1.30355719</v>
      </c>
      <c r="M8" s="18" t="s">
        <v>349</v>
      </c>
      <c r="N8" s="20" t="s">
        <v>349</v>
      </c>
      <c r="O8" s="18" t="n">
        <v>27.26202218</v>
      </c>
      <c r="P8" s="20" t="n">
        <v>1.92132041</v>
      </c>
      <c r="Q8" s="18" t="n">
        <v>0</v>
      </c>
      <c r="R8" s="20" t="n">
        <v>0</v>
      </c>
      <c r="S8" s="18" t="n">
        <v>0</v>
      </c>
      <c r="T8" s="20" t="n">
        <v>0</v>
      </c>
      <c r="U8" s="18" t="n">
        <v>0</v>
      </c>
      <c r="V8" s="20" t="n">
        <v>0</v>
      </c>
    </row>
    <row r="9" spans="1:22">
      <c r="A9" s="15" t="s">
        <v>351</v>
      </c>
      <c r="B9" s="17" t="n">
        <v>9651</v>
      </c>
      <c r="C9" s="18">
        <f>(8527.0/B9*100)</f>
        <v/>
      </c>
      <c r="D9" s="19" t="n">
        <v>1124</v>
      </c>
      <c r="E9" s="18" t="n">
        <v>53.65389961</v>
      </c>
      <c r="F9" s="20" t="n">
        <v>1.57090801</v>
      </c>
      <c r="G9" s="18" t="n">
        <v>3.6745946</v>
      </c>
      <c r="H9" s="20" t="n">
        <v>0.57214897</v>
      </c>
      <c r="I9" s="18" t="n">
        <v>7.16543719</v>
      </c>
      <c r="J9" s="20" t="n">
        <v>0.8952938499999999</v>
      </c>
      <c r="K9" s="18" t="n">
        <v>13.11142133</v>
      </c>
      <c r="L9" s="20" t="n">
        <v>0.97022274</v>
      </c>
      <c r="M9" s="18" t="s">
        <v>349</v>
      </c>
      <c r="N9" s="20" t="s">
        <v>349</v>
      </c>
      <c r="O9" s="18" t="n">
        <v>21.98263055</v>
      </c>
      <c r="P9" s="20" t="n">
        <v>1.28577989</v>
      </c>
      <c r="Q9" s="18" t="n">
        <v>0.41201672</v>
      </c>
      <c r="R9" s="20" t="n">
        <v>0.21438636</v>
      </c>
      <c r="S9" s="18" t="n">
        <v>0</v>
      </c>
      <c r="T9" s="20" t="n">
        <v>0</v>
      </c>
      <c r="U9" s="18" t="n">
        <v>0</v>
      </c>
      <c r="V9" s="20" t="n">
        <v>0</v>
      </c>
    </row>
    <row r="10" spans="1:22">
      <c r="A10" s="15" t="s">
        <v>352</v>
      </c>
      <c r="B10" s="17" t="n">
        <v>20058</v>
      </c>
      <c r="C10" s="18">
        <f>(17632.0/B10*100)</f>
        <v/>
      </c>
      <c r="D10" s="19" t="n">
        <v>2426</v>
      </c>
      <c r="E10" s="18" t="n">
        <v>57.09307057</v>
      </c>
      <c r="F10" s="20" t="n">
        <v>1.44839047</v>
      </c>
      <c r="G10" s="18" t="n">
        <v>3.63789717</v>
      </c>
      <c r="H10" s="20" t="n">
        <v>0.59828759</v>
      </c>
      <c r="I10" s="18" t="n">
        <v>8.549007209999999</v>
      </c>
      <c r="J10" s="20" t="n">
        <v>0.78083876</v>
      </c>
      <c r="K10" s="18" t="n">
        <v>16.07676886</v>
      </c>
      <c r="L10" s="20" t="n">
        <v>1.0863838</v>
      </c>
      <c r="M10" s="18" t="s">
        <v>349</v>
      </c>
      <c r="N10" s="20" t="s">
        <v>349</v>
      </c>
      <c r="O10" s="18" t="n">
        <v>14.34076308</v>
      </c>
      <c r="P10" s="20" t="n">
        <v>1.13088534</v>
      </c>
      <c r="Q10" s="18" t="n">
        <v>0.30249311</v>
      </c>
      <c r="R10" s="20" t="n">
        <v>0.16924087</v>
      </c>
      <c r="S10" s="18" t="n">
        <v>0</v>
      </c>
      <c r="T10" s="20" t="n">
        <v>0</v>
      </c>
      <c r="U10" s="18" t="n">
        <v>0</v>
      </c>
      <c r="V10" s="20" t="n">
        <v>0</v>
      </c>
    </row>
    <row r="11" spans="1:22">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row>
    <row r="12" spans="1:22">
      <c r="A12" s="15" t="s">
        <v>354</v>
      </c>
      <c r="B12" s="17" t="n">
        <v>6894</v>
      </c>
      <c r="C12" s="18">
        <f>(6089.0/B12*100)</f>
        <v/>
      </c>
      <c r="D12" s="19" t="n">
        <v>805</v>
      </c>
      <c r="E12" s="18" t="n">
        <v>51.11669037</v>
      </c>
      <c r="F12" s="20" t="n">
        <v>1.6057262</v>
      </c>
      <c r="G12" s="18" t="n">
        <v>0.24281424</v>
      </c>
      <c r="H12" s="20" t="n">
        <v>0.14158857</v>
      </c>
      <c r="I12" s="18" t="n">
        <v>5.46459714</v>
      </c>
      <c r="J12" s="20" t="n">
        <v>0.94990074</v>
      </c>
      <c r="K12" s="18" t="n">
        <v>8.732242039999999</v>
      </c>
      <c r="L12" s="20" t="n">
        <v>0.95301749</v>
      </c>
      <c r="M12" s="18" t="s">
        <v>349</v>
      </c>
      <c r="N12" s="20" t="s">
        <v>349</v>
      </c>
      <c r="O12" s="18" t="n">
        <v>34.19771523</v>
      </c>
      <c r="P12" s="20" t="n">
        <v>1.67889707</v>
      </c>
      <c r="Q12" s="18" t="n">
        <v>0.24594098</v>
      </c>
      <c r="R12" s="20" t="n">
        <v>0.24252719</v>
      </c>
      <c r="S12" s="18" t="n">
        <v>0</v>
      </c>
      <c r="T12" s="20" t="n">
        <v>0</v>
      </c>
      <c r="U12" s="18" t="n">
        <v>0</v>
      </c>
      <c r="V12" s="20" t="n">
        <v>0</v>
      </c>
    </row>
    <row r="13" spans="1:22">
      <c r="A13" s="15" t="s">
        <v>355</v>
      </c>
      <c r="B13" s="17" t="n">
        <v>7161</v>
      </c>
      <c r="C13" s="18">
        <f>(6336.0/B13*100)</f>
        <v/>
      </c>
      <c r="D13" s="19" t="n">
        <v>825</v>
      </c>
      <c r="E13" s="18" t="n">
        <v>56.0069035</v>
      </c>
      <c r="F13" s="20" t="n">
        <v>1.88012369</v>
      </c>
      <c r="G13" s="18" t="n">
        <v>2.42627551</v>
      </c>
      <c r="H13" s="20" t="n">
        <v>0.7202429299999999</v>
      </c>
      <c r="I13" s="18" t="n">
        <v>6.89353281</v>
      </c>
      <c r="J13" s="20" t="n">
        <v>0.93432072</v>
      </c>
      <c r="K13" s="18" t="n">
        <v>15.81701934</v>
      </c>
      <c r="L13" s="20" t="n">
        <v>1.49003258</v>
      </c>
      <c r="M13" s="18" t="s">
        <v>349</v>
      </c>
      <c r="N13" s="20" t="s">
        <v>349</v>
      </c>
      <c r="O13" s="18" t="n">
        <v>18.81265438</v>
      </c>
      <c r="P13" s="20" t="n">
        <v>1.61610697</v>
      </c>
      <c r="Q13" s="18" t="n">
        <v>0.04361445</v>
      </c>
      <c r="R13" s="20" t="n">
        <v>0.04425025</v>
      </c>
      <c r="S13" s="18" t="n">
        <v>0</v>
      </c>
      <c r="T13" s="20" t="n">
        <v>0</v>
      </c>
      <c r="U13" s="18" t="n">
        <v>0</v>
      </c>
      <c r="V13" s="20" t="n">
        <v>0</v>
      </c>
    </row>
    <row r="14" spans="1:22">
      <c r="A14" s="15" t="s">
        <v>356</v>
      </c>
      <c r="B14" s="17" t="n">
        <v>5587</v>
      </c>
      <c r="C14" s="18">
        <f>(4885.0/B14*100)</f>
        <v/>
      </c>
      <c r="D14" s="19" t="n">
        <v>702</v>
      </c>
      <c r="E14" s="18" t="n">
        <v>57.65876312</v>
      </c>
      <c r="F14" s="20" t="n">
        <v>2.47525047</v>
      </c>
      <c r="G14" s="18" t="n">
        <v>0.62572761</v>
      </c>
      <c r="H14" s="20" t="n">
        <v>0.28215914</v>
      </c>
      <c r="I14" s="18" t="n">
        <v>9.671662810000001</v>
      </c>
      <c r="J14" s="20" t="n">
        <v>1.29182375</v>
      </c>
      <c r="K14" s="18" t="n">
        <v>11.95917607</v>
      </c>
      <c r="L14" s="20" t="n">
        <v>1.35774617</v>
      </c>
      <c r="M14" s="18" t="s">
        <v>349</v>
      </c>
      <c r="N14" s="20" t="s">
        <v>349</v>
      </c>
      <c r="O14" s="18" t="n">
        <v>20.08467039</v>
      </c>
      <c r="P14" s="20" t="n">
        <v>1.93446988</v>
      </c>
      <c r="Q14" s="18" t="n">
        <v>0</v>
      </c>
      <c r="R14" s="20" t="n">
        <v>0</v>
      </c>
      <c r="S14" s="18" t="n">
        <v>0</v>
      </c>
      <c r="T14" s="20" t="n">
        <v>0</v>
      </c>
      <c r="U14" s="18" t="n">
        <v>0</v>
      </c>
      <c r="V14" s="20" t="n">
        <v>0</v>
      </c>
    </row>
    <row r="15" spans="1:22">
      <c r="A15" s="15" t="s">
        <v>357</v>
      </c>
      <c r="B15" s="17" t="n">
        <v>5882</v>
      </c>
      <c r="C15" s="18">
        <f>(5174.0/B15*100)</f>
        <v/>
      </c>
      <c r="D15" s="19" t="n">
        <v>708</v>
      </c>
      <c r="E15" s="18" t="n">
        <v>53.79810926</v>
      </c>
      <c r="F15" s="20" t="n">
        <v>1.74517956</v>
      </c>
      <c r="G15" s="18" t="n">
        <v>3.58834848</v>
      </c>
      <c r="H15" s="20" t="n">
        <v>0.85406494</v>
      </c>
      <c r="I15" s="18" t="n">
        <v>5.04050045</v>
      </c>
      <c r="J15" s="20" t="n">
        <v>0.8676305</v>
      </c>
      <c r="K15" s="18" t="n">
        <v>12.09498582</v>
      </c>
      <c r="L15" s="20" t="n">
        <v>1.40436888</v>
      </c>
      <c r="M15" s="18" t="s">
        <v>349</v>
      </c>
      <c r="N15" s="20" t="s">
        <v>349</v>
      </c>
      <c r="O15" s="18" t="n">
        <v>25.47805599</v>
      </c>
      <c r="P15" s="20" t="n">
        <v>1.56910514</v>
      </c>
      <c r="Q15" s="18" t="n">
        <v>0</v>
      </c>
      <c r="R15" s="20" t="n">
        <v>0</v>
      </c>
      <c r="S15" s="18" t="n">
        <v>0</v>
      </c>
      <c r="T15" s="20" t="n">
        <v>0</v>
      </c>
      <c r="U15" s="18" t="n">
        <v>0</v>
      </c>
      <c r="V15" s="20" t="n">
        <v>0</v>
      </c>
    </row>
    <row r="16" spans="1:22">
      <c r="A16" s="15" t="s">
        <v>358</v>
      </c>
      <c r="B16" s="17" t="n">
        <v>6108</v>
      </c>
      <c r="C16" s="18">
        <f>(5368.0/B16*100)</f>
        <v/>
      </c>
      <c r="D16" s="19" t="n">
        <v>740</v>
      </c>
      <c r="E16" s="18" t="n">
        <v>46.70694305</v>
      </c>
      <c r="F16" s="20" t="n">
        <v>1.65318891</v>
      </c>
      <c r="G16" s="18" t="n">
        <v>0.37490365</v>
      </c>
      <c r="H16" s="20" t="n">
        <v>0.21694616</v>
      </c>
      <c r="I16" s="18" t="n">
        <v>5.72618695</v>
      </c>
      <c r="J16" s="20" t="n">
        <v>0.87161358</v>
      </c>
      <c r="K16" s="18" t="n">
        <v>10.67589254</v>
      </c>
      <c r="L16" s="20" t="n">
        <v>1.00833034</v>
      </c>
      <c r="M16" s="18" t="s">
        <v>349</v>
      </c>
      <c r="N16" s="20" t="s">
        <v>349</v>
      </c>
      <c r="O16" s="18" t="n">
        <v>36.51607381</v>
      </c>
      <c r="P16" s="20" t="n">
        <v>1.67117678</v>
      </c>
      <c r="Q16" s="18" t="n">
        <v>0</v>
      </c>
      <c r="R16" s="20" t="n">
        <v>0</v>
      </c>
      <c r="S16" s="18" t="n">
        <v>0</v>
      </c>
      <c r="T16" s="20" t="n">
        <v>0</v>
      </c>
      <c r="U16" s="18" t="n">
        <v>0</v>
      </c>
      <c r="V16" s="20" t="n">
        <v>0</v>
      </c>
    </row>
    <row r="17" spans="1:22">
      <c r="A17" s="15" t="s">
        <v>359</v>
      </c>
      <c r="B17" s="17" t="n">
        <v>6504</v>
      </c>
      <c r="C17" s="18">
        <f>(5722.0/B17*100)</f>
        <v/>
      </c>
      <c r="D17" s="19" t="n">
        <v>782</v>
      </c>
      <c r="E17" s="18" t="n">
        <v>52.11499547</v>
      </c>
      <c r="F17" s="20" t="n">
        <v>1.88907803</v>
      </c>
      <c r="G17" s="18" t="n">
        <v>0.47034416</v>
      </c>
      <c r="H17" s="20" t="n">
        <v>0.21520368</v>
      </c>
      <c r="I17" s="18" t="n">
        <v>5.47890038</v>
      </c>
      <c r="J17" s="20" t="n">
        <v>0.8989269</v>
      </c>
      <c r="K17" s="18" t="n">
        <v>13.93831487</v>
      </c>
      <c r="L17" s="20" t="n">
        <v>1.12549523</v>
      </c>
      <c r="M17" s="18" t="s">
        <v>349</v>
      </c>
      <c r="N17" s="20" t="s">
        <v>349</v>
      </c>
      <c r="O17" s="18" t="n">
        <v>27.99744513</v>
      </c>
      <c r="P17" s="20" t="n">
        <v>1.54097426</v>
      </c>
      <c r="Q17" s="18" t="n">
        <v>0</v>
      </c>
      <c r="R17" s="20" t="n">
        <v>0</v>
      </c>
      <c r="S17" s="18" t="n">
        <v>0</v>
      </c>
      <c r="T17" s="20" t="n">
        <v>0</v>
      </c>
      <c r="U17" s="18" t="n">
        <v>0</v>
      </c>
      <c r="V17" s="20" t="n">
        <v>0</v>
      </c>
    </row>
    <row r="18" spans="1:22">
      <c r="A18" s="15" t="s">
        <v>360</v>
      </c>
      <c r="B18" s="17" t="n">
        <v>5532</v>
      </c>
      <c r="C18" s="18">
        <f>(4854.0/B18*100)</f>
        <v/>
      </c>
      <c r="D18" s="19" t="n">
        <v>678</v>
      </c>
      <c r="E18" s="18" t="n">
        <v>64.21346432</v>
      </c>
      <c r="F18" s="20" t="n">
        <v>2.30458548</v>
      </c>
      <c r="G18" s="18" t="n">
        <v>0.30995662</v>
      </c>
      <c r="H18" s="20" t="n">
        <v>0.22130346</v>
      </c>
      <c r="I18" s="18" t="n">
        <v>3.81872681</v>
      </c>
      <c r="J18" s="20" t="n">
        <v>0.83178078</v>
      </c>
      <c r="K18" s="18" t="n">
        <v>5.76713394</v>
      </c>
      <c r="L18" s="20" t="n">
        <v>0.9591646</v>
      </c>
      <c r="M18" s="18" t="s">
        <v>349</v>
      </c>
      <c r="N18" s="20" t="s">
        <v>349</v>
      </c>
      <c r="O18" s="18" t="n">
        <v>25.72280077</v>
      </c>
      <c r="P18" s="20" t="n">
        <v>2.03024476</v>
      </c>
      <c r="Q18" s="18" t="n">
        <v>0.16791754</v>
      </c>
      <c r="R18" s="20" t="n">
        <v>0.13518413</v>
      </c>
      <c r="S18" s="18" t="n">
        <v>0</v>
      </c>
      <c r="T18" s="20" t="n">
        <v>0</v>
      </c>
      <c r="U18" s="18" t="n">
        <v>0</v>
      </c>
      <c r="V18" s="20" t="n">
        <v>0</v>
      </c>
    </row>
    <row r="19" spans="1:22">
      <c r="A19" s="15" t="s">
        <v>361</v>
      </c>
      <c r="B19" s="17" t="n">
        <v>5658</v>
      </c>
      <c r="C19" s="18">
        <f>(5003.0/B19*100)</f>
        <v/>
      </c>
      <c r="D19" s="19" t="n">
        <v>655</v>
      </c>
      <c r="E19" s="18" t="n">
        <v>63.3989199</v>
      </c>
      <c r="F19" s="20" t="n">
        <v>2.06085736</v>
      </c>
      <c r="G19" s="18" t="n">
        <v>0</v>
      </c>
      <c r="H19" s="20" t="n">
        <v>0</v>
      </c>
      <c r="I19" s="18" t="n">
        <v>3.46914538</v>
      </c>
      <c r="J19" s="20" t="n">
        <v>0.74879601</v>
      </c>
      <c r="K19" s="18" t="n">
        <v>7.45459658</v>
      </c>
      <c r="L19" s="20" t="n">
        <v>0.97616972</v>
      </c>
      <c r="M19" s="18" t="s">
        <v>349</v>
      </c>
      <c r="N19" s="20" t="s">
        <v>349</v>
      </c>
      <c r="O19" s="18" t="n">
        <v>25.67733814</v>
      </c>
      <c r="P19" s="20" t="n">
        <v>1.98543916</v>
      </c>
      <c r="Q19" s="18" t="n">
        <v>0</v>
      </c>
      <c r="R19" s="20" t="n">
        <v>0</v>
      </c>
      <c r="S19" s="18" t="n">
        <v>0</v>
      </c>
      <c r="T19" s="20" t="n">
        <v>0</v>
      </c>
      <c r="U19" s="18" t="n">
        <v>0</v>
      </c>
      <c r="V19" s="20" t="n">
        <v>0</v>
      </c>
    </row>
    <row r="20" spans="1:22">
      <c r="A20" s="15" t="s">
        <v>362</v>
      </c>
      <c r="B20" s="17" t="n">
        <v>3371</v>
      </c>
      <c r="C20" s="18">
        <f>(2963.0/B20*100)</f>
        <v/>
      </c>
      <c r="D20" s="19" t="n">
        <v>408</v>
      </c>
      <c r="E20" s="18" t="n">
        <v>61.25241754</v>
      </c>
      <c r="F20" s="20" t="n">
        <v>2.36991022</v>
      </c>
      <c r="G20" s="18" t="n">
        <v>2.07668696</v>
      </c>
      <c r="H20" s="20" t="n">
        <v>0.74340757</v>
      </c>
      <c r="I20" s="18" t="n">
        <v>6.08171079</v>
      </c>
      <c r="J20" s="20" t="n">
        <v>1.24495892</v>
      </c>
      <c r="K20" s="18" t="n">
        <v>8.223319119999999</v>
      </c>
      <c r="L20" s="20" t="n">
        <v>1.21773426</v>
      </c>
      <c r="M20" s="18" t="s">
        <v>349</v>
      </c>
      <c r="N20" s="20" t="s">
        <v>349</v>
      </c>
      <c r="O20" s="18" t="n">
        <v>22.3658656</v>
      </c>
      <c r="P20" s="20" t="n">
        <v>2.31528411</v>
      </c>
      <c r="Q20" s="18" t="n">
        <v>0</v>
      </c>
      <c r="R20" s="20" t="n">
        <v>0</v>
      </c>
      <c r="S20" s="18" t="n">
        <v>0</v>
      </c>
      <c r="T20" s="20" t="n">
        <v>0</v>
      </c>
      <c r="U20" s="18" t="n">
        <v>0</v>
      </c>
      <c r="V20" s="20" t="n">
        <v>0</v>
      </c>
    </row>
    <row r="21" spans="1:22">
      <c r="A21" s="15" t="s">
        <v>363</v>
      </c>
      <c r="B21" s="17" t="n">
        <v>5741</v>
      </c>
      <c r="C21" s="18">
        <f>(4805.0/B21*100)</f>
        <v/>
      </c>
      <c r="D21" s="19" t="n">
        <v>936</v>
      </c>
      <c r="E21" s="18" t="n">
        <v>55.99378533</v>
      </c>
      <c r="F21" s="20" t="n">
        <v>1.72838372</v>
      </c>
      <c r="G21" s="18" t="n">
        <v>4.22391999</v>
      </c>
      <c r="H21" s="20" t="n">
        <v>0.70054215</v>
      </c>
      <c r="I21" s="18" t="n">
        <v>6.12242762</v>
      </c>
      <c r="J21" s="20" t="n">
        <v>0.65953922</v>
      </c>
      <c r="K21" s="18" t="n">
        <v>18.23143016</v>
      </c>
      <c r="L21" s="20" t="n">
        <v>1.43801452</v>
      </c>
      <c r="M21" s="18" t="s">
        <v>349</v>
      </c>
      <c r="N21" s="20" t="s">
        <v>349</v>
      </c>
      <c r="O21" s="18" t="n">
        <v>15.4284369</v>
      </c>
      <c r="P21" s="20" t="n">
        <v>1.19918983</v>
      </c>
      <c r="Q21" s="18" t="n">
        <v>0</v>
      </c>
      <c r="R21" s="20" t="n">
        <v>0</v>
      </c>
      <c r="S21" s="18" t="n">
        <v>0</v>
      </c>
      <c r="T21" s="20" t="n">
        <v>0</v>
      </c>
      <c r="U21" s="18" t="n">
        <v>0</v>
      </c>
      <c r="V21" s="20" t="n">
        <v>0</v>
      </c>
    </row>
    <row r="22" spans="1:22">
      <c r="A22" s="15" t="s">
        <v>364</v>
      </c>
      <c r="B22" s="17" t="n">
        <v>6598</v>
      </c>
      <c r="C22" s="18">
        <f>(5786.0/B22*100)</f>
        <v/>
      </c>
      <c r="D22" s="19" t="n">
        <v>812</v>
      </c>
      <c r="E22" s="18" t="n">
        <v>54.84238196</v>
      </c>
      <c r="F22" s="20" t="n">
        <v>1.70492023</v>
      </c>
      <c r="G22" s="18" t="n">
        <v>0.91510043</v>
      </c>
      <c r="H22" s="20" t="n">
        <v>0.33381557</v>
      </c>
      <c r="I22" s="18" t="n">
        <v>5.33544212</v>
      </c>
      <c r="J22" s="20" t="n">
        <v>0.84298399</v>
      </c>
      <c r="K22" s="18" t="n">
        <v>9.80923101</v>
      </c>
      <c r="L22" s="20" t="n">
        <v>1.08527109</v>
      </c>
      <c r="M22" s="18" t="s">
        <v>349</v>
      </c>
      <c r="N22" s="20" t="s">
        <v>349</v>
      </c>
      <c r="O22" s="18" t="n">
        <v>29.09784447</v>
      </c>
      <c r="P22" s="20" t="n">
        <v>1.87609564</v>
      </c>
      <c r="Q22" s="18" t="n">
        <v>0</v>
      </c>
      <c r="R22" s="20" t="n">
        <v>0</v>
      </c>
      <c r="S22" s="18" t="n">
        <v>0</v>
      </c>
      <c r="T22" s="20" t="n">
        <v>0</v>
      </c>
      <c r="U22" s="18" t="n">
        <v>0</v>
      </c>
      <c r="V22" s="20" t="n">
        <v>0</v>
      </c>
    </row>
    <row r="23" spans="1:22">
      <c r="A23" s="15" t="s">
        <v>365</v>
      </c>
      <c r="B23" s="17" t="n">
        <v>11583</v>
      </c>
      <c r="C23" s="18">
        <f>(10200.0/B23*100)</f>
        <v/>
      </c>
      <c r="D23" s="19" t="n">
        <v>1383</v>
      </c>
      <c r="E23" s="18" t="n">
        <v>49.72745277</v>
      </c>
      <c r="F23" s="20" t="n">
        <v>2.31149927</v>
      </c>
      <c r="G23" s="18" t="n">
        <v>1.41736786</v>
      </c>
      <c r="H23" s="20" t="n">
        <v>0.4022605</v>
      </c>
      <c r="I23" s="18" t="n">
        <v>3.48577663</v>
      </c>
      <c r="J23" s="20" t="n">
        <v>0.6575171400000001</v>
      </c>
      <c r="K23" s="18" t="n">
        <v>5.60707059</v>
      </c>
      <c r="L23" s="20" t="n">
        <v>0.8405922300000001</v>
      </c>
      <c r="M23" s="18" t="s">
        <v>349</v>
      </c>
      <c r="N23" s="20" t="s">
        <v>349</v>
      </c>
      <c r="O23" s="18" t="n">
        <v>39.63511663</v>
      </c>
      <c r="P23" s="20" t="n">
        <v>2.1816361</v>
      </c>
      <c r="Q23" s="18" t="n">
        <v>0.12721552</v>
      </c>
      <c r="R23" s="20" t="n">
        <v>0.11591943</v>
      </c>
      <c r="S23" s="18" t="n">
        <v>0</v>
      </c>
      <c r="T23" s="20" t="n">
        <v>0</v>
      </c>
      <c r="U23" s="18" t="n">
        <v>0</v>
      </c>
      <c r="V23" s="20" t="n">
        <v>0</v>
      </c>
    </row>
    <row r="24" spans="1:22">
      <c r="A24" s="15" t="s">
        <v>366</v>
      </c>
      <c r="B24" s="17" t="n">
        <v>6647</v>
      </c>
      <c r="C24" s="18">
        <f>(5871.0/B24*100)</f>
        <v/>
      </c>
      <c r="D24" s="19" t="n">
        <v>776</v>
      </c>
      <c r="E24" s="18" t="n">
        <v>42.74274812</v>
      </c>
      <c r="F24" s="20" t="n">
        <v>1.88145417</v>
      </c>
      <c r="G24" s="18" t="n">
        <v>2.7320127</v>
      </c>
      <c r="H24" s="20" t="n">
        <v>0.59378852</v>
      </c>
      <c r="I24" s="18" t="n">
        <v>5.45800788</v>
      </c>
      <c r="J24" s="20" t="n">
        <v>0.83991554</v>
      </c>
      <c r="K24" s="18" t="n">
        <v>15.09875402</v>
      </c>
      <c r="L24" s="20" t="n">
        <v>1.43455136</v>
      </c>
      <c r="M24" s="18" t="s">
        <v>349</v>
      </c>
      <c r="N24" s="20" t="s">
        <v>349</v>
      </c>
      <c r="O24" s="18" t="n">
        <v>33.96847728</v>
      </c>
      <c r="P24" s="20" t="n">
        <v>1.76393433</v>
      </c>
      <c r="Q24" s="18" t="n">
        <v>0</v>
      </c>
      <c r="R24" s="20" t="n">
        <v>0</v>
      </c>
      <c r="S24" s="18" t="n">
        <v>0</v>
      </c>
      <c r="T24" s="20" t="n">
        <v>0</v>
      </c>
      <c r="U24" s="18" t="n">
        <v>0</v>
      </c>
      <c r="V24" s="20" t="n">
        <v>0</v>
      </c>
    </row>
    <row r="25" spans="1:22">
      <c r="A25" s="15" t="s">
        <v>367</v>
      </c>
      <c r="B25" s="17" t="n">
        <v>5581</v>
      </c>
      <c r="C25" s="18">
        <f>(4903.0/B25*100)</f>
        <v/>
      </c>
      <c r="D25" s="19" t="n">
        <v>678</v>
      </c>
      <c r="E25" s="18" t="n">
        <v>49.54786388</v>
      </c>
      <c r="F25" s="20" t="n">
        <v>1.82416423</v>
      </c>
      <c r="G25" s="18" t="n">
        <v>4.35470045</v>
      </c>
      <c r="H25" s="20" t="n">
        <v>0.92543273</v>
      </c>
      <c r="I25" s="18" t="n">
        <v>3.55731408</v>
      </c>
      <c r="J25" s="20" t="n">
        <v>0.66294694</v>
      </c>
      <c r="K25" s="18" t="n">
        <v>20.66770946</v>
      </c>
      <c r="L25" s="20" t="n">
        <v>1.92252542</v>
      </c>
      <c r="M25" s="18" t="s">
        <v>349</v>
      </c>
      <c r="N25" s="20" t="s">
        <v>349</v>
      </c>
      <c r="O25" s="18" t="n">
        <v>21.87241214</v>
      </c>
      <c r="P25" s="20" t="n">
        <v>1.67373583</v>
      </c>
      <c r="Q25" s="18" t="n">
        <v>0</v>
      </c>
      <c r="R25" s="20" t="n">
        <v>0</v>
      </c>
      <c r="S25" s="18" t="n">
        <v>0</v>
      </c>
      <c r="T25" s="20" t="n">
        <v>0</v>
      </c>
      <c r="U25" s="18" t="n">
        <v>0</v>
      </c>
      <c r="V25" s="20" t="n">
        <v>0</v>
      </c>
    </row>
    <row r="26" spans="1:22">
      <c r="A26" s="15" t="s">
        <v>368</v>
      </c>
      <c r="B26" s="17" t="n">
        <v>4869</v>
      </c>
      <c r="C26" s="18">
        <f>(4273.0/B26*100)</f>
        <v/>
      </c>
      <c r="D26" s="19" t="n">
        <v>596</v>
      </c>
      <c r="E26" s="18" t="n">
        <v>72.88641835999999</v>
      </c>
      <c r="F26" s="20" t="n">
        <v>1.99841439</v>
      </c>
      <c r="G26" s="18" t="n">
        <v>0.52884497</v>
      </c>
      <c r="H26" s="20" t="n">
        <v>0.31669746</v>
      </c>
      <c r="I26" s="18" t="n">
        <v>2.39630866</v>
      </c>
      <c r="J26" s="20" t="n">
        <v>0.61842611</v>
      </c>
      <c r="K26" s="18" t="n">
        <v>4.74713959</v>
      </c>
      <c r="L26" s="20" t="n">
        <v>0.99726305</v>
      </c>
      <c r="M26" s="18" t="s">
        <v>349</v>
      </c>
      <c r="N26" s="20" t="s">
        <v>349</v>
      </c>
      <c r="O26" s="18" t="n">
        <v>19.14959798</v>
      </c>
      <c r="P26" s="20" t="n">
        <v>1.77483084</v>
      </c>
      <c r="Q26" s="18" t="n">
        <v>0.29169044</v>
      </c>
      <c r="R26" s="20" t="n">
        <v>0.20373153</v>
      </c>
      <c r="S26" s="18" t="n">
        <v>0</v>
      </c>
      <c r="T26" s="20" t="n">
        <v>0</v>
      </c>
      <c r="U26" s="18" t="n">
        <v>0</v>
      </c>
      <c r="V26" s="20" t="n">
        <v>0</v>
      </c>
    </row>
    <row r="27" spans="1:22">
      <c r="A27" s="15" t="s">
        <v>369</v>
      </c>
      <c r="B27" s="17" t="n">
        <v>5299</v>
      </c>
      <c r="C27" s="18">
        <f>(4670.0/B27*100)</f>
        <v/>
      </c>
      <c r="D27" s="19" t="n">
        <v>629</v>
      </c>
      <c r="E27" s="18" t="n">
        <v>55.45878514</v>
      </c>
      <c r="F27" s="20" t="n">
        <v>2.08858791</v>
      </c>
      <c r="G27" s="18" t="n">
        <v>1.25591593</v>
      </c>
      <c r="H27" s="20" t="n">
        <v>0.44769079</v>
      </c>
      <c r="I27" s="18" t="n">
        <v>7.07587149</v>
      </c>
      <c r="J27" s="20" t="n">
        <v>1.06167609</v>
      </c>
      <c r="K27" s="18" t="n">
        <v>8.502044850000001</v>
      </c>
      <c r="L27" s="20" t="n">
        <v>1.1443035</v>
      </c>
      <c r="M27" s="18" t="s">
        <v>349</v>
      </c>
      <c r="N27" s="20" t="s">
        <v>349</v>
      </c>
      <c r="O27" s="18" t="n">
        <v>27.70738259</v>
      </c>
      <c r="P27" s="20" t="n">
        <v>1.92635584</v>
      </c>
      <c r="Q27" s="18" t="n">
        <v>0</v>
      </c>
      <c r="R27" s="20" t="n">
        <v>0</v>
      </c>
      <c r="S27" s="18" t="n">
        <v>0</v>
      </c>
      <c r="T27" s="20" t="n">
        <v>0</v>
      </c>
      <c r="U27" s="18" t="n">
        <v>0</v>
      </c>
      <c r="V27" s="20" t="n">
        <v>0</v>
      </c>
    </row>
    <row r="28" spans="1:22">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row>
    <row r="29" spans="1:22">
      <c r="A29" s="15" t="s">
        <v>371</v>
      </c>
      <c r="B29" s="17" t="n">
        <v>5385</v>
      </c>
      <c r="C29" s="18">
        <f>(4721.0/B29*100)</f>
        <v/>
      </c>
      <c r="D29" s="19" t="n">
        <v>664</v>
      </c>
      <c r="E29" s="18" t="n">
        <v>58.64866952</v>
      </c>
      <c r="F29" s="20" t="n">
        <v>1.69538021</v>
      </c>
      <c r="G29" s="18" t="n">
        <v>4.17231479</v>
      </c>
      <c r="H29" s="20" t="n">
        <v>0.79193386</v>
      </c>
      <c r="I29" s="18" t="n">
        <v>6.44538346</v>
      </c>
      <c r="J29" s="20" t="n">
        <v>0.94658588</v>
      </c>
      <c r="K29" s="18" t="n">
        <v>15.68233268</v>
      </c>
      <c r="L29" s="20" t="n">
        <v>1.31384486</v>
      </c>
      <c r="M29" s="18" t="s">
        <v>349</v>
      </c>
      <c r="N29" s="20" t="s">
        <v>349</v>
      </c>
      <c r="O29" s="18" t="n">
        <v>15.05129955</v>
      </c>
      <c r="P29" s="20" t="n">
        <v>1.4006735</v>
      </c>
      <c r="Q29" s="18" t="n">
        <v>0</v>
      </c>
      <c r="R29" s="20" t="n">
        <v>0</v>
      </c>
      <c r="S29" s="18" t="n">
        <v>0</v>
      </c>
      <c r="T29" s="20" t="n">
        <v>0</v>
      </c>
      <c r="U29" s="18" t="n">
        <v>0</v>
      </c>
      <c r="V29" s="20" t="n">
        <v>0</v>
      </c>
    </row>
    <row r="30" spans="1:22">
      <c r="A30" s="15" t="s">
        <v>372</v>
      </c>
      <c r="B30" s="17" t="n">
        <v>4520</v>
      </c>
      <c r="C30" s="18">
        <f>(4002.0/B30*100)</f>
        <v/>
      </c>
      <c r="D30" s="19" t="n">
        <v>518</v>
      </c>
      <c r="E30" s="18" t="n">
        <v>52.77491051</v>
      </c>
      <c r="F30" s="20" t="n">
        <v>2.44718045</v>
      </c>
      <c r="G30" s="18" t="n">
        <v>3.15643232</v>
      </c>
      <c r="H30" s="20" t="n">
        <v>0.76500795</v>
      </c>
      <c r="I30" s="18" t="n">
        <v>4.98529773</v>
      </c>
      <c r="J30" s="20" t="n">
        <v>0.94415653</v>
      </c>
      <c r="K30" s="18" t="n">
        <v>14.38235213</v>
      </c>
      <c r="L30" s="20" t="n">
        <v>1.7238871</v>
      </c>
      <c r="M30" s="18" t="s">
        <v>349</v>
      </c>
      <c r="N30" s="20" t="s">
        <v>349</v>
      </c>
      <c r="O30" s="18" t="n">
        <v>24.7010073</v>
      </c>
      <c r="P30" s="20" t="n">
        <v>2.14282956</v>
      </c>
      <c r="Q30" s="18" t="n">
        <v>0</v>
      </c>
      <c r="R30" s="20" t="n">
        <v>0</v>
      </c>
      <c r="S30" s="18" t="n">
        <v>0</v>
      </c>
      <c r="T30" s="20" t="n">
        <v>0</v>
      </c>
      <c r="U30" s="18" t="n">
        <v>0</v>
      </c>
      <c r="V30" s="20" t="n">
        <v>0</v>
      </c>
    </row>
    <row r="31" spans="1:22">
      <c r="A31" s="15" t="s">
        <v>373</v>
      </c>
      <c r="B31" s="17" t="n">
        <v>5456</v>
      </c>
      <c r="C31" s="18">
        <f>(4778.0/B31*100)</f>
        <v/>
      </c>
      <c r="D31" s="19" t="n">
        <v>678</v>
      </c>
      <c r="E31" s="18" t="n">
        <v>49.9977983</v>
      </c>
      <c r="F31" s="20" t="n">
        <v>1.93041595</v>
      </c>
      <c r="G31" s="18" t="n">
        <v>2.69014739</v>
      </c>
      <c r="H31" s="20" t="n">
        <v>0.64747838</v>
      </c>
      <c r="I31" s="18" t="n">
        <v>4.049308</v>
      </c>
      <c r="J31" s="20" t="n">
        <v>0.77821756</v>
      </c>
      <c r="K31" s="18" t="n">
        <v>11.14963689</v>
      </c>
      <c r="L31" s="20" t="n">
        <v>1.33793288</v>
      </c>
      <c r="M31" s="18" t="s">
        <v>349</v>
      </c>
      <c r="N31" s="20" t="s">
        <v>349</v>
      </c>
      <c r="O31" s="18" t="n">
        <v>32.11310943</v>
      </c>
      <c r="P31" s="20" t="n">
        <v>1.78604777</v>
      </c>
      <c r="Q31" s="18" t="n">
        <v>0</v>
      </c>
      <c r="R31" s="20" t="n">
        <v>0</v>
      </c>
      <c r="S31" s="18" t="n">
        <v>0</v>
      </c>
      <c r="T31" s="20" t="n">
        <v>0</v>
      </c>
      <c r="U31" s="18" t="n">
        <v>0</v>
      </c>
      <c r="V31" s="20" t="n">
        <v>0</v>
      </c>
    </row>
    <row r="32" spans="1:22">
      <c r="A32" s="15" t="s">
        <v>374</v>
      </c>
      <c r="B32" s="17" t="n">
        <v>4478</v>
      </c>
      <c r="C32" s="18">
        <f>(3740.0/B32*100)</f>
        <v/>
      </c>
      <c r="D32" s="19" t="n">
        <v>738</v>
      </c>
      <c r="E32" s="18" t="n">
        <v>53.65552374</v>
      </c>
      <c r="F32" s="20" t="n">
        <v>1.89627955</v>
      </c>
      <c r="G32" s="18" t="n">
        <v>3.86837834</v>
      </c>
      <c r="H32" s="20" t="n">
        <v>0.77363173</v>
      </c>
      <c r="I32" s="18" t="n">
        <v>5.27137905</v>
      </c>
      <c r="J32" s="20" t="n">
        <v>0.78055609</v>
      </c>
      <c r="K32" s="18" t="n">
        <v>9.819064640000001</v>
      </c>
      <c r="L32" s="20" t="n">
        <v>1.30735307</v>
      </c>
      <c r="M32" s="18" t="s">
        <v>349</v>
      </c>
      <c r="N32" s="20" t="s">
        <v>349</v>
      </c>
      <c r="O32" s="18" t="n">
        <v>27.38565424</v>
      </c>
      <c r="P32" s="20" t="n">
        <v>1.89442029</v>
      </c>
      <c r="Q32" s="18" t="n">
        <v>0</v>
      </c>
      <c r="R32" s="20" t="n">
        <v>0</v>
      </c>
      <c r="S32" s="18" t="n">
        <v>0</v>
      </c>
      <c r="T32" s="20" t="n">
        <v>0</v>
      </c>
      <c r="U32" s="18" t="n">
        <v>0</v>
      </c>
      <c r="V32" s="20" t="n">
        <v>0</v>
      </c>
    </row>
    <row r="33" spans="1:22">
      <c r="A33" s="15" t="s">
        <v>375</v>
      </c>
      <c r="B33" s="17" t="n">
        <v>7325</v>
      </c>
      <c r="C33" s="18">
        <f>(6491.0/B33*100)</f>
        <v/>
      </c>
      <c r="D33" s="19" t="n">
        <v>834</v>
      </c>
      <c r="E33" s="18" t="n">
        <v>56.42412662</v>
      </c>
      <c r="F33" s="20" t="n">
        <v>1.89903308</v>
      </c>
      <c r="G33" s="18" t="n">
        <v>0.9540434800000001</v>
      </c>
      <c r="H33" s="20" t="n">
        <v>0.43098053</v>
      </c>
      <c r="I33" s="18" t="n">
        <v>7.83833716</v>
      </c>
      <c r="J33" s="20" t="n">
        <v>1.06515431</v>
      </c>
      <c r="K33" s="18" t="n">
        <v>8.536813370000001</v>
      </c>
      <c r="L33" s="20" t="n">
        <v>1.44360798</v>
      </c>
      <c r="M33" s="18" t="s">
        <v>349</v>
      </c>
      <c r="N33" s="20" t="s">
        <v>349</v>
      </c>
      <c r="O33" s="18" t="n">
        <v>26.0717365</v>
      </c>
      <c r="P33" s="20" t="n">
        <v>1.77202737</v>
      </c>
      <c r="Q33" s="18" t="n">
        <v>0.17494288</v>
      </c>
      <c r="R33" s="20" t="n">
        <v>0.18225127</v>
      </c>
      <c r="S33" s="18" t="n">
        <v>0</v>
      </c>
      <c r="T33" s="20" t="n">
        <v>0</v>
      </c>
      <c r="U33" s="18" t="n">
        <v>0</v>
      </c>
      <c r="V33" s="20" t="n">
        <v>0</v>
      </c>
    </row>
    <row r="34" spans="1:22">
      <c r="A34" s="15" t="s">
        <v>376</v>
      </c>
      <c r="B34" s="17" t="n">
        <v>6350</v>
      </c>
      <c r="C34" s="18">
        <f>(5603.0/B34*100)</f>
        <v/>
      </c>
      <c r="D34" s="19" t="n">
        <v>747</v>
      </c>
      <c r="E34" s="18" t="n">
        <v>69.00912879000001</v>
      </c>
      <c r="F34" s="20" t="n">
        <v>1.67160056</v>
      </c>
      <c r="G34" s="18" t="n">
        <v>0</v>
      </c>
      <c r="H34" s="20" t="n">
        <v>0</v>
      </c>
      <c r="I34" s="18" t="n">
        <v>4.67543029</v>
      </c>
      <c r="J34" s="20" t="n">
        <v>0.86152534</v>
      </c>
      <c r="K34" s="18" t="n">
        <v>4.84529148</v>
      </c>
      <c r="L34" s="20" t="n">
        <v>0.93171492</v>
      </c>
      <c r="M34" s="18" t="s">
        <v>349</v>
      </c>
      <c r="N34" s="20" t="s">
        <v>349</v>
      </c>
      <c r="O34" s="18" t="n">
        <v>21.47014943</v>
      </c>
      <c r="P34" s="20" t="n">
        <v>1.53411962</v>
      </c>
      <c r="Q34" s="18" t="n">
        <v>0</v>
      </c>
      <c r="R34" s="20" t="n">
        <v>0</v>
      </c>
      <c r="S34" s="18" t="n">
        <v>0</v>
      </c>
      <c r="T34" s="20" t="n">
        <v>0</v>
      </c>
      <c r="U34" s="18" t="n">
        <v>0</v>
      </c>
      <c r="V34" s="20" t="n">
        <v>0</v>
      </c>
    </row>
    <row r="35" spans="1:22">
      <c r="A35" s="15" t="s">
        <v>377</v>
      </c>
      <c r="B35" s="17" t="n">
        <v>6406</v>
      </c>
      <c r="C35" s="18">
        <f>(5614.0/B35*100)</f>
        <v/>
      </c>
      <c r="D35" s="19" t="n">
        <v>792</v>
      </c>
      <c r="E35" s="18" t="n">
        <v>54.61510939</v>
      </c>
      <c r="F35" s="20" t="n">
        <v>2.39802904</v>
      </c>
      <c r="G35" s="18" t="n">
        <v>4.812631</v>
      </c>
      <c r="H35" s="20" t="n">
        <v>1.06649117</v>
      </c>
      <c r="I35" s="18" t="n">
        <v>3.81238104</v>
      </c>
      <c r="J35" s="20" t="n">
        <v>0.96885271</v>
      </c>
      <c r="K35" s="18" t="n">
        <v>9.238196889999999</v>
      </c>
      <c r="L35" s="20" t="n">
        <v>1.36938146</v>
      </c>
      <c r="M35" s="18" t="s">
        <v>349</v>
      </c>
      <c r="N35" s="20" t="s">
        <v>349</v>
      </c>
      <c r="O35" s="18" t="n">
        <v>27.31313923</v>
      </c>
      <c r="P35" s="20" t="n">
        <v>2.03898942</v>
      </c>
      <c r="Q35" s="18" t="n">
        <v>0.20854246</v>
      </c>
      <c r="R35" s="20" t="n">
        <v>0.20827423</v>
      </c>
      <c r="S35" s="18" t="n">
        <v>0</v>
      </c>
      <c r="T35" s="20" t="n">
        <v>0</v>
      </c>
      <c r="U35" s="18" t="n">
        <v>0</v>
      </c>
      <c r="V35" s="20" t="n">
        <v>0</v>
      </c>
    </row>
    <row r="36" spans="1:22">
      <c r="A36" s="15" t="s">
        <v>378</v>
      </c>
      <c r="B36" s="17" t="n">
        <v>6736</v>
      </c>
      <c r="C36" s="18">
        <f>(5948.0/B36*100)</f>
        <v/>
      </c>
      <c r="D36" s="19" t="n">
        <v>788</v>
      </c>
      <c r="E36" s="18" t="n">
        <v>53.78417724</v>
      </c>
      <c r="F36" s="20" t="n">
        <v>1.90448811</v>
      </c>
      <c r="G36" s="18" t="n">
        <v>1.63975811</v>
      </c>
      <c r="H36" s="20" t="n">
        <v>0.39033843</v>
      </c>
      <c r="I36" s="18" t="n">
        <v>8.156166000000001</v>
      </c>
      <c r="J36" s="20" t="n">
        <v>1.05071708</v>
      </c>
      <c r="K36" s="18" t="n">
        <v>8.73392321</v>
      </c>
      <c r="L36" s="20" t="n">
        <v>1.11848971</v>
      </c>
      <c r="M36" s="18" t="s">
        <v>349</v>
      </c>
      <c r="N36" s="20" t="s">
        <v>349</v>
      </c>
      <c r="O36" s="18" t="n">
        <v>27.68597543</v>
      </c>
      <c r="P36" s="20" t="n">
        <v>1.7562644</v>
      </c>
      <c r="Q36" s="18" t="n">
        <v>0</v>
      </c>
      <c r="R36" s="20" t="n">
        <v>0</v>
      </c>
      <c r="S36" s="18" t="n">
        <v>0</v>
      </c>
      <c r="T36" s="20" t="n">
        <v>0</v>
      </c>
      <c r="U36" s="18" t="n">
        <v>0</v>
      </c>
      <c r="V36" s="20" t="n">
        <v>0</v>
      </c>
    </row>
    <row r="37" spans="1:22">
      <c r="A37" s="15" t="s">
        <v>379</v>
      </c>
      <c r="B37" s="17" t="n">
        <v>5458</v>
      </c>
      <c r="C37" s="18">
        <f>(4841.0/B37*100)</f>
        <v/>
      </c>
      <c r="D37" s="19" t="n">
        <v>617</v>
      </c>
      <c r="E37" s="18" t="n">
        <v>48.46559182</v>
      </c>
      <c r="F37" s="20" t="n">
        <v>2.37849321</v>
      </c>
      <c r="G37" s="18" t="n">
        <v>0</v>
      </c>
      <c r="H37" s="20" t="n">
        <v>0</v>
      </c>
      <c r="I37" s="18" t="n">
        <v>5.24366715</v>
      </c>
      <c r="J37" s="20" t="n">
        <v>1.10553328</v>
      </c>
      <c r="K37" s="18" t="n">
        <v>8.24786334</v>
      </c>
      <c r="L37" s="20" t="n">
        <v>1.05839759</v>
      </c>
      <c r="M37" s="18" t="s">
        <v>349</v>
      </c>
      <c r="N37" s="20" t="s">
        <v>349</v>
      </c>
      <c r="O37" s="18" t="n">
        <v>38.04287769</v>
      </c>
      <c r="P37" s="20" t="n">
        <v>2.4694983</v>
      </c>
      <c r="Q37" s="18" t="n">
        <v>0</v>
      </c>
      <c r="R37" s="20" t="n">
        <v>0</v>
      </c>
      <c r="S37" s="18" t="n">
        <v>0</v>
      </c>
      <c r="T37" s="20" t="n">
        <v>0</v>
      </c>
      <c r="U37" s="18" t="n">
        <v>0</v>
      </c>
      <c r="V37" s="20" t="n">
        <v>0</v>
      </c>
    </row>
    <row r="38" spans="1:22">
      <c r="A38" s="15" t="s">
        <v>380</v>
      </c>
      <c r="B38" s="17" t="n">
        <v>5860</v>
      </c>
      <c r="C38" s="18">
        <f>(4926.0/B38*100)</f>
        <v/>
      </c>
      <c r="D38" s="19" t="n">
        <v>934</v>
      </c>
      <c r="E38" s="18" t="n">
        <v>48.2116529</v>
      </c>
      <c r="F38" s="20" t="n">
        <v>2.02889104</v>
      </c>
      <c r="G38" s="18" t="n">
        <v>2.77304183</v>
      </c>
      <c r="H38" s="20" t="n">
        <v>0.59871089</v>
      </c>
      <c r="I38" s="18" t="n">
        <v>9.247588820000001</v>
      </c>
      <c r="J38" s="20" t="n">
        <v>1.09807521</v>
      </c>
      <c r="K38" s="18" t="n">
        <v>14.10498202</v>
      </c>
      <c r="L38" s="20" t="n">
        <v>1.32729615</v>
      </c>
      <c r="M38" s="18" t="s">
        <v>349</v>
      </c>
      <c r="N38" s="20" t="s">
        <v>349</v>
      </c>
      <c r="O38" s="18" t="n">
        <v>25.52525855</v>
      </c>
      <c r="P38" s="20" t="n">
        <v>1.83534153</v>
      </c>
      <c r="Q38" s="18" t="n">
        <v>0.13747587</v>
      </c>
      <c r="R38" s="20" t="n">
        <v>0.13698639</v>
      </c>
      <c r="S38" s="18" t="n">
        <v>0</v>
      </c>
      <c r="T38" s="20" t="n">
        <v>0</v>
      </c>
      <c r="U38" s="18" t="n">
        <v>0</v>
      </c>
      <c r="V38" s="20" t="n">
        <v>0</v>
      </c>
    </row>
    <row r="39" spans="1:22">
      <c r="A39" s="15" t="s">
        <v>381</v>
      </c>
      <c r="B39" s="17" t="n">
        <v>5895</v>
      </c>
      <c r="C39" s="18">
        <f>(5148.0/B39*100)</f>
        <v/>
      </c>
      <c r="D39" s="19" t="n">
        <v>747</v>
      </c>
      <c r="E39" s="18" t="n">
        <v>75.69272839999999</v>
      </c>
      <c r="F39" s="20" t="n">
        <v>1.82508667</v>
      </c>
      <c r="G39" s="18" t="n">
        <v>0.41109276</v>
      </c>
      <c r="H39" s="20" t="n">
        <v>0.24008478</v>
      </c>
      <c r="I39" s="18" t="n">
        <v>1.44737569</v>
      </c>
      <c r="J39" s="20" t="n">
        <v>0.462495</v>
      </c>
      <c r="K39" s="18" t="n">
        <v>1.51021436</v>
      </c>
      <c r="L39" s="20" t="n">
        <v>0.59232538</v>
      </c>
      <c r="M39" s="18" t="s">
        <v>349</v>
      </c>
      <c r="N39" s="20" t="s">
        <v>349</v>
      </c>
      <c r="O39" s="18" t="n">
        <v>20.93858879</v>
      </c>
      <c r="P39" s="20" t="n">
        <v>1.6504698</v>
      </c>
      <c r="Q39" s="18" t="n">
        <v>0</v>
      </c>
      <c r="R39" s="20" t="n">
        <v>0</v>
      </c>
      <c r="S39" s="18" t="n">
        <v>0</v>
      </c>
      <c r="T39" s="20" t="n">
        <v>0</v>
      </c>
      <c r="U39" s="18" t="n">
        <v>0</v>
      </c>
      <c r="V39" s="20" t="n">
        <v>0</v>
      </c>
    </row>
    <row r="40" spans="1:22">
      <c r="A40" s="15" t="s">
        <v>382</v>
      </c>
      <c r="B40" s="17" t="n">
        <v>14157</v>
      </c>
      <c r="C40" s="18">
        <f>(12391.0/B40*100)</f>
        <v/>
      </c>
      <c r="D40" s="19" t="n">
        <v>1766</v>
      </c>
      <c r="E40" s="18" t="n">
        <v>58.99590156</v>
      </c>
      <c r="F40" s="20" t="n">
        <v>1.97609422</v>
      </c>
      <c r="G40" s="18" t="n">
        <v>3.02770339</v>
      </c>
      <c r="H40" s="20" t="n">
        <v>0.64674179</v>
      </c>
      <c r="I40" s="18" t="n">
        <v>4.36934748</v>
      </c>
      <c r="J40" s="20" t="n">
        <v>0.81317025</v>
      </c>
      <c r="K40" s="18" t="n">
        <v>13.35811158</v>
      </c>
      <c r="L40" s="20" t="n">
        <v>1.38562002</v>
      </c>
      <c r="M40" s="18" t="s">
        <v>349</v>
      </c>
      <c r="N40" s="20" t="s">
        <v>349</v>
      </c>
      <c r="O40" s="18" t="n">
        <v>20.24893599</v>
      </c>
      <c r="P40" s="20" t="n">
        <v>1.53272094</v>
      </c>
      <c r="Q40" s="18" t="n">
        <v>0</v>
      </c>
      <c r="R40" s="20" t="n">
        <v>0</v>
      </c>
      <c r="S40" s="18" t="n">
        <v>0</v>
      </c>
      <c r="T40" s="20" t="n">
        <v>0</v>
      </c>
      <c r="U40" s="18" t="n">
        <v>0</v>
      </c>
      <c r="V40" s="20" t="n">
        <v>0</v>
      </c>
    </row>
    <row r="41" spans="1:22">
      <c r="A41" s="15" t="s">
        <v>383</v>
      </c>
      <c r="B41" s="17" t="n">
        <v>5712</v>
      </c>
      <c r="C41" s="18">
        <f>(5046.0/B41*100)</f>
        <v/>
      </c>
      <c r="D41" s="19" t="n">
        <v>666</v>
      </c>
      <c r="E41" s="18" t="n">
        <v>75.34904219000001</v>
      </c>
      <c r="F41" s="20" t="n">
        <v>2.01165346</v>
      </c>
      <c r="G41" s="18" t="n">
        <v>2.28311388</v>
      </c>
      <c r="H41" s="20" t="n">
        <v>0.56984839</v>
      </c>
      <c r="I41" s="18" t="n">
        <v>5.35583137</v>
      </c>
      <c r="J41" s="20" t="n">
        <v>0.84426829</v>
      </c>
      <c r="K41" s="18" t="n">
        <v>8.292244549999999</v>
      </c>
      <c r="L41" s="20" t="n">
        <v>1.26582763</v>
      </c>
      <c r="M41" s="18" t="s">
        <v>349</v>
      </c>
      <c r="N41" s="20" t="s">
        <v>349</v>
      </c>
      <c r="O41" s="18" t="n">
        <v>8.719768</v>
      </c>
      <c r="P41" s="20" t="n">
        <v>1.24143344</v>
      </c>
      <c r="Q41" s="18" t="n">
        <v>0</v>
      </c>
      <c r="R41" s="20" t="n">
        <v>0</v>
      </c>
      <c r="S41" s="18" t="n">
        <v>0</v>
      </c>
      <c r="T41" s="20" t="n">
        <v>0</v>
      </c>
      <c r="U41" s="18" t="n">
        <v>0</v>
      </c>
      <c r="V41" s="20" t="n">
        <v>0</v>
      </c>
    </row>
    <row r="42" spans="1:22">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c r="U44" s="18" t="s">
        <v>349</v>
      </c>
      <c r="V44" s="20" t="s">
        <v>349</v>
      </c>
    </row>
    <row r="45" spans="1:22">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row>
    <row r="46" spans="1:22">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row>
    <row r="47" spans="1:22">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row>
    <row r="48" spans="1:22">
      <c r="A48" s="15" t="s">
        <v>390</v>
      </c>
      <c r="B48" s="17" t="n">
        <v>9841</v>
      </c>
      <c r="C48" s="18">
        <f>(8628.0/B48*100)</f>
        <v/>
      </c>
      <c r="D48" s="19" t="n">
        <v>1213</v>
      </c>
      <c r="E48" s="18" t="n">
        <v>50.48404039</v>
      </c>
      <c r="F48" s="20" t="n">
        <v>2.35155</v>
      </c>
      <c r="G48" s="18" t="n">
        <v>1.38676683</v>
      </c>
      <c r="H48" s="20" t="n">
        <v>0.35559796</v>
      </c>
      <c r="I48" s="18" t="n">
        <v>13.9724197</v>
      </c>
      <c r="J48" s="20" t="n">
        <v>1.16944512</v>
      </c>
      <c r="K48" s="18" t="n">
        <v>25.01411174</v>
      </c>
      <c r="L48" s="20" t="n">
        <v>2.11408178</v>
      </c>
      <c r="M48" s="18" t="s">
        <v>349</v>
      </c>
      <c r="N48" s="20" t="s">
        <v>349</v>
      </c>
      <c r="O48" s="18" t="n">
        <v>9.14266134</v>
      </c>
      <c r="P48" s="20" t="n">
        <v>1.26229752</v>
      </c>
      <c r="Q48" s="18" t="n">
        <v>0</v>
      </c>
      <c r="R48" s="20" t="n">
        <v>0</v>
      </c>
      <c r="S48" s="18" t="n">
        <v>0</v>
      </c>
      <c r="T48" s="20" t="n">
        <v>0</v>
      </c>
      <c r="U48" s="18" t="n">
        <v>0</v>
      </c>
      <c r="V48" s="20" t="n">
        <v>0</v>
      </c>
    </row>
    <row r="49" spans="1:22">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row>
    <row r="50" spans="1:22">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row>
    <row r="51" spans="1:22">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row>
    <row r="52" spans="1:22">
      <c r="A52" s="15" t="s">
        <v>394</v>
      </c>
      <c r="B52" s="17" t="n">
        <v>5809</v>
      </c>
      <c r="C52" s="18">
        <f>(5097.0/B52*100)</f>
        <v/>
      </c>
      <c r="D52" s="19" t="n">
        <v>712</v>
      </c>
      <c r="E52" s="18" t="n">
        <v>52.64266861</v>
      </c>
      <c r="F52" s="20" t="n">
        <v>1.90726459</v>
      </c>
      <c r="G52" s="18" t="n">
        <v>1.3496716</v>
      </c>
      <c r="H52" s="20" t="n">
        <v>0.52975437</v>
      </c>
      <c r="I52" s="18" t="n">
        <v>5.03371275</v>
      </c>
      <c r="J52" s="20" t="n">
        <v>0.71967736</v>
      </c>
      <c r="K52" s="18" t="n">
        <v>5.03643093</v>
      </c>
      <c r="L52" s="20" t="n">
        <v>0.79367028</v>
      </c>
      <c r="M52" s="18" t="s">
        <v>349</v>
      </c>
      <c r="N52" s="20" t="s">
        <v>349</v>
      </c>
      <c r="O52" s="18" t="n">
        <v>35.93751611</v>
      </c>
      <c r="P52" s="20" t="n">
        <v>1.98383481</v>
      </c>
      <c r="Q52" s="18" t="n">
        <v>0</v>
      </c>
      <c r="R52" s="20" t="n">
        <v>0</v>
      </c>
      <c r="S52" s="18" t="n">
        <v>0</v>
      </c>
      <c r="T52" s="20" t="n">
        <v>0</v>
      </c>
      <c r="U52" s="18" t="n">
        <v>0</v>
      </c>
      <c r="V52" s="20" t="n">
        <v>0</v>
      </c>
    </row>
    <row r="53" spans="1:22">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row>
    <row r="54" spans="1:22">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row>
    <row r="55" spans="1:22">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c r="U55" s="18" t="s">
        <v>349</v>
      </c>
      <c r="V55" s="20" t="s">
        <v>349</v>
      </c>
    </row>
    <row r="56" spans="1:22">
      <c r="A56" s="15" t="s">
        <v>398</v>
      </c>
      <c r="B56" s="17" t="n">
        <v>5359</v>
      </c>
      <c r="C56" s="18">
        <f>(4695.0/B56*100)</f>
        <v/>
      </c>
      <c r="D56" s="19" t="n">
        <v>664</v>
      </c>
      <c r="E56" s="18" t="n">
        <v>49.11054084</v>
      </c>
      <c r="F56" s="20" t="n">
        <v>1.84333006</v>
      </c>
      <c r="G56" s="18" t="n">
        <v>8.060087319999999</v>
      </c>
      <c r="H56" s="20" t="n">
        <v>1.06753759</v>
      </c>
      <c r="I56" s="18" t="n">
        <v>9.566074410000001</v>
      </c>
      <c r="J56" s="20" t="n">
        <v>1.26856311</v>
      </c>
      <c r="K56" s="18" t="n">
        <v>23.23640265</v>
      </c>
      <c r="L56" s="20" t="n">
        <v>1.6084316</v>
      </c>
      <c r="M56" s="18" t="s">
        <v>349</v>
      </c>
      <c r="N56" s="20" t="s">
        <v>349</v>
      </c>
      <c r="O56" s="18" t="n">
        <v>10.02689478</v>
      </c>
      <c r="P56" s="20" t="n">
        <v>1.70454466</v>
      </c>
      <c r="Q56" s="18" t="n">
        <v>0</v>
      </c>
      <c r="R56" s="20" t="n">
        <v>0</v>
      </c>
      <c r="S56" s="18" t="n">
        <v>0</v>
      </c>
      <c r="T56" s="20" t="n">
        <v>0</v>
      </c>
      <c r="U56" s="18" t="n">
        <v>0</v>
      </c>
      <c r="V56" s="20" t="n">
        <v>0</v>
      </c>
    </row>
    <row r="57" spans="1:22">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c r="U57" s="18" t="s">
        <v>349</v>
      </c>
      <c r="V57" s="20" t="s">
        <v>349</v>
      </c>
    </row>
    <row r="58" spans="1:22">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row>
    <row r="59" spans="1:22">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row>
    <row r="60" spans="1:22">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row>
    <row r="61" spans="1:22">
      <c r="A61" s="15" t="s">
        <v>403</v>
      </c>
      <c r="B61" s="17" t="n">
        <v>6525</v>
      </c>
      <c r="C61" s="18">
        <f>(5714.0/B61*100)</f>
        <v/>
      </c>
      <c r="D61" s="19" t="n">
        <v>811</v>
      </c>
      <c r="E61" s="18" t="n">
        <v>61.70052746</v>
      </c>
      <c r="F61" s="20" t="n">
        <v>1.87636918</v>
      </c>
      <c r="G61" s="18" t="n">
        <v>0.98969436</v>
      </c>
      <c r="H61" s="20" t="n">
        <v>0.34243778</v>
      </c>
      <c r="I61" s="18" t="n">
        <v>5.72996505</v>
      </c>
      <c r="J61" s="20" t="n">
        <v>0.79041082</v>
      </c>
      <c r="K61" s="18" t="n">
        <v>7.29813024</v>
      </c>
      <c r="L61" s="20" t="n">
        <v>1.25643064</v>
      </c>
      <c r="M61" s="18" t="s">
        <v>349</v>
      </c>
      <c r="N61" s="20" t="s">
        <v>349</v>
      </c>
      <c r="O61" s="18" t="n">
        <v>24.28168289</v>
      </c>
      <c r="P61" s="20" t="n">
        <v>1.67584471</v>
      </c>
      <c r="Q61" s="18" t="n">
        <v>0</v>
      </c>
      <c r="R61" s="20" t="n">
        <v>0</v>
      </c>
      <c r="S61" s="18" t="n">
        <v>0</v>
      </c>
      <c r="T61" s="20" t="n">
        <v>0</v>
      </c>
      <c r="U61" s="18" t="n">
        <v>0</v>
      </c>
      <c r="V61" s="20" t="n">
        <v>0</v>
      </c>
    </row>
    <row r="62" spans="1:22">
      <c r="A62" s="15" t="s">
        <v>404</v>
      </c>
      <c r="B62" s="17" t="n">
        <v>4476</v>
      </c>
      <c r="C62" s="18">
        <f>(3948.0/B62*100)</f>
        <v/>
      </c>
      <c r="D62" s="19" t="n">
        <v>528</v>
      </c>
      <c r="E62" s="18" t="n">
        <v>63.50269137</v>
      </c>
      <c r="F62" s="20" t="n">
        <v>1.9965304</v>
      </c>
      <c r="G62" s="18" t="n">
        <v>1.12809513</v>
      </c>
      <c r="H62" s="20" t="n">
        <v>0.45760417</v>
      </c>
      <c r="I62" s="18" t="n">
        <v>9.047550409999999</v>
      </c>
      <c r="J62" s="20" t="n">
        <v>1.20900025</v>
      </c>
      <c r="K62" s="18" t="n">
        <v>20.0432647</v>
      </c>
      <c r="L62" s="20" t="n">
        <v>1.82827566</v>
      </c>
      <c r="M62" s="18" t="s">
        <v>349</v>
      </c>
      <c r="N62" s="20" t="s">
        <v>349</v>
      </c>
      <c r="O62" s="18" t="n">
        <v>6.27839838</v>
      </c>
      <c r="P62" s="20" t="n">
        <v>1.03397521</v>
      </c>
      <c r="Q62" s="18" t="n">
        <v>0</v>
      </c>
      <c r="R62" s="20" t="n">
        <v>0</v>
      </c>
      <c r="S62" s="18" t="n">
        <v>0</v>
      </c>
      <c r="T62" s="20" t="n">
        <v>0</v>
      </c>
      <c r="U62" s="18" t="n">
        <v>0</v>
      </c>
      <c r="V62" s="20" t="n">
        <v>0</v>
      </c>
    </row>
    <row r="63" spans="1:22">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row>
    <row r="64" spans="1:22">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c r="U64" s="18" t="s">
        <v>349</v>
      </c>
      <c r="V64" s="20" t="s">
        <v>349</v>
      </c>
    </row>
    <row r="65" spans="1:22">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row>
    <row r="66" spans="1:22">
      <c r="A66" s="15" t="s">
        <v>408</v>
      </c>
      <c r="B66" s="17" t="n">
        <v>5665</v>
      </c>
      <c r="C66" s="18">
        <f>(4985.0/B66*100)</f>
        <v/>
      </c>
      <c r="D66" s="19" t="n">
        <v>680</v>
      </c>
      <c r="E66" s="18" t="n">
        <v>49.49561039</v>
      </c>
      <c r="F66" s="20" t="n">
        <v>1.95666379</v>
      </c>
      <c r="G66" s="18" t="n">
        <v>0</v>
      </c>
      <c r="H66" s="20" t="n">
        <v>0</v>
      </c>
      <c r="I66" s="18" t="n">
        <v>2.73370585</v>
      </c>
      <c r="J66" s="20" t="n">
        <v>0.64798822</v>
      </c>
      <c r="K66" s="18" t="n">
        <v>4.00349305</v>
      </c>
      <c r="L66" s="20" t="n">
        <v>0.83691103</v>
      </c>
      <c r="M66" s="18" t="s">
        <v>349</v>
      </c>
      <c r="N66" s="20" t="s">
        <v>349</v>
      </c>
      <c r="O66" s="18" t="n">
        <v>43.64106105</v>
      </c>
      <c r="P66" s="20" t="n">
        <v>2.04820488</v>
      </c>
      <c r="Q66" s="18" t="n">
        <v>0.12612966</v>
      </c>
      <c r="R66" s="20" t="n">
        <v>0.12669602</v>
      </c>
      <c r="S66" s="18" t="n">
        <v>0</v>
      </c>
      <c r="T66" s="20" t="n">
        <v>0</v>
      </c>
      <c r="U66" s="18" t="n">
        <v>0</v>
      </c>
      <c r="V66" s="20" t="n">
        <v>0</v>
      </c>
    </row>
    <row r="67" spans="1:22">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row>
    <row r="68" spans="1:22">
      <c r="A68" s="15" t="s">
        <v>410</v>
      </c>
      <c r="B68" s="17" t="n">
        <v>12083</v>
      </c>
      <c r="C68" s="18">
        <f>(10062.0/B68*100)</f>
        <v/>
      </c>
      <c r="D68" s="19" t="n">
        <v>2021</v>
      </c>
      <c r="E68" s="18" t="n">
        <v>69.37987468</v>
      </c>
      <c r="F68" s="20" t="n">
        <v>1.11832493</v>
      </c>
      <c r="G68" s="18" t="n">
        <v>0.26230654</v>
      </c>
      <c r="H68" s="20" t="n">
        <v>0.11655174</v>
      </c>
      <c r="I68" s="18" t="n">
        <v>4.05985253</v>
      </c>
      <c r="J68" s="20" t="n">
        <v>0.44645342</v>
      </c>
      <c r="K68" s="18" t="n">
        <v>3.30998421</v>
      </c>
      <c r="L68" s="20" t="n">
        <v>0.36807713</v>
      </c>
      <c r="M68" s="18" t="s">
        <v>349</v>
      </c>
      <c r="N68" s="20" t="s">
        <v>349</v>
      </c>
      <c r="O68" s="18" t="n">
        <v>22.94096501</v>
      </c>
      <c r="P68" s="20" t="n">
        <v>1.07764938</v>
      </c>
      <c r="Q68" s="18" t="n">
        <v>0.04701704</v>
      </c>
      <c r="R68" s="20" t="n">
        <v>0.04710408</v>
      </c>
      <c r="S68" s="18" t="n">
        <v>0</v>
      </c>
      <c r="T68" s="20" t="n">
        <v>0</v>
      </c>
      <c r="U68" s="18" t="n">
        <v>0</v>
      </c>
      <c r="V68" s="20" t="n">
        <v>0</v>
      </c>
    </row>
    <row r="69" spans="1:22">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row>
    <row r="70" spans="1:22">
      <c r="A70" s="15" t="s">
        <v>412</v>
      </c>
      <c r="B70" s="17" t="n">
        <v>6036</v>
      </c>
      <c r="C70" s="18">
        <f>(5309.0/B70*100)</f>
        <v/>
      </c>
      <c r="D70" s="19" t="n">
        <v>727</v>
      </c>
      <c r="E70" s="18" t="n">
        <v>61.65164507</v>
      </c>
      <c r="F70" s="20" t="n">
        <v>1.99970212</v>
      </c>
      <c r="G70" s="18" t="n">
        <v>0.7900733</v>
      </c>
      <c r="H70" s="20" t="n">
        <v>0.5688959</v>
      </c>
      <c r="I70" s="18" t="n">
        <v>3.14735265</v>
      </c>
      <c r="J70" s="20" t="n">
        <v>0.9698181299999999</v>
      </c>
      <c r="K70" s="18" t="n">
        <v>5.83896361</v>
      </c>
      <c r="L70" s="20" t="n">
        <v>0.78495779</v>
      </c>
      <c r="M70" s="18" t="s">
        <v>349</v>
      </c>
      <c r="N70" s="20" t="s">
        <v>349</v>
      </c>
      <c r="O70" s="18" t="n">
        <v>26.87086361</v>
      </c>
      <c r="P70" s="20" t="n">
        <v>1.80459245</v>
      </c>
      <c r="Q70" s="18" t="n">
        <v>1.70110175</v>
      </c>
      <c r="R70" s="20" t="n">
        <v>0.39905676</v>
      </c>
      <c r="S70" s="18" t="n">
        <v>0</v>
      </c>
      <c r="T70" s="20" t="n">
        <v>0</v>
      </c>
      <c r="U70" s="18" t="n">
        <v>0</v>
      </c>
      <c r="V70" s="20" t="n">
        <v>0</v>
      </c>
    </row>
    <row r="71" spans="1:22">
      <c r="A71" s="15" t="s">
        <v>413</v>
      </c>
      <c r="B71" s="17" t="n">
        <v>6115</v>
      </c>
      <c r="C71" s="18">
        <f>(5357.0/B71*100)</f>
        <v/>
      </c>
      <c r="D71" s="19" t="n">
        <v>758</v>
      </c>
      <c r="E71" s="18" t="n">
        <v>50.14612699</v>
      </c>
      <c r="F71" s="20" t="n">
        <v>2.04007614</v>
      </c>
      <c r="G71" s="18" t="n">
        <v>1.71712408</v>
      </c>
      <c r="H71" s="20" t="n">
        <v>0.5110791</v>
      </c>
      <c r="I71" s="18" t="n">
        <v>15.43636754</v>
      </c>
      <c r="J71" s="20" t="n">
        <v>1.29119465</v>
      </c>
      <c r="K71" s="18" t="n">
        <v>26.39456959</v>
      </c>
      <c r="L71" s="20" t="n">
        <v>2.02028286</v>
      </c>
      <c r="M71" s="18" t="s">
        <v>349</v>
      </c>
      <c r="N71" s="20" t="s">
        <v>349</v>
      </c>
      <c r="O71" s="18" t="n">
        <v>6.30581181</v>
      </c>
      <c r="P71" s="20" t="n">
        <v>1.00155329</v>
      </c>
      <c r="Q71" s="18" t="n">
        <v>0</v>
      </c>
      <c r="R71" s="20" t="n">
        <v>0</v>
      </c>
      <c r="S71" s="18" t="n">
        <v>0</v>
      </c>
      <c r="T71" s="20" t="n">
        <v>0</v>
      </c>
      <c r="U71" s="18" t="n">
        <v>0</v>
      </c>
      <c r="V71" s="20" t="n">
        <v>0</v>
      </c>
    </row>
    <row r="72" spans="1:22">
      <c r="A72" s="15" t="s">
        <v>414</v>
      </c>
      <c r="B72" s="17" t="n">
        <v>7708</v>
      </c>
      <c r="C72" s="18">
        <f>(6760.0/B72*100)</f>
        <v/>
      </c>
      <c r="D72" s="19" t="n">
        <v>948</v>
      </c>
      <c r="E72" s="18" t="n">
        <v>49.60281166</v>
      </c>
      <c r="F72" s="20" t="n">
        <v>1.82309065</v>
      </c>
      <c r="G72" s="18" t="n">
        <v>1.67027624</v>
      </c>
      <c r="H72" s="20" t="n">
        <v>0.38704576</v>
      </c>
      <c r="I72" s="18" t="n">
        <v>13.57939514</v>
      </c>
      <c r="J72" s="20" t="n">
        <v>1.15626299</v>
      </c>
      <c r="K72" s="18" t="n">
        <v>25.54289413</v>
      </c>
      <c r="L72" s="20" t="n">
        <v>1.62387509</v>
      </c>
      <c r="M72" s="18" t="s">
        <v>349</v>
      </c>
      <c r="N72" s="20" t="s">
        <v>349</v>
      </c>
      <c r="O72" s="18" t="n">
        <v>9.604622839999999</v>
      </c>
      <c r="P72" s="20" t="n">
        <v>0.9288724900000001</v>
      </c>
      <c r="Q72" s="18" t="n">
        <v>0</v>
      </c>
      <c r="R72" s="20" t="n">
        <v>0</v>
      </c>
      <c r="S72" s="18" t="n">
        <v>0</v>
      </c>
      <c r="T72" s="20" t="n">
        <v>0</v>
      </c>
      <c r="U72" s="18" t="n">
        <v>0</v>
      </c>
      <c r="V72" s="20" t="n">
        <v>0</v>
      </c>
    </row>
    <row r="73" spans="1:22">
      <c r="A73" s="15" t="s">
        <v>415</v>
      </c>
      <c r="B73" s="17" t="n">
        <v>8249</v>
      </c>
      <c r="C73" s="18">
        <f>(7289.0/B73*100)</f>
        <v/>
      </c>
      <c r="D73" s="19" t="n">
        <v>960</v>
      </c>
      <c r="E73" s="18" t="n">
        <v>89.70347703</v>
      </c>
      <c r="F73" s="20" t="n">
        <v>1.15006184</v>
      </c>
      <c r="G73" s="18" t="n">
        <v>0.42863652</v>
      </c>
      <c r="H73" s="20" t="n">
        <v>0.25159282</v>
      </c>
      <c r="I73" s="18" t="n">
        <v>2.14060667</v>
      </c>
      <c r="J73" s="20" t="n">
        <v>0.52669732</v>
      </c>
      <c r="K73" s="18" t="n">
        <v>1.04209648</v>
      </c>
      <c r="L73" s="20" t="n">
        <v>0.46691869</v>
      </c>
      <c r="M73" s="18" t="s">
        <v>349</v>
      </c>
      <c r="N73" s="20" t="s">
        <v>349</v>
      </c>
      <c r="O73" s="18" t="n">
        <v>6.47940646</v>
      </c>
      <c r="P73" s="20" t="n">
        <v>1.04277931</v>
      </c>
      <c r="Q73" s="18" t="n">
        <v>0.20577685</v>
      </c>
      <c r="R73" s="20" t="n">
        <v>0.21516756</v>
      </c>
      <c r="S73" s="18" t="n">
        <v>0</v>
      </c>
      <c r="T73" s="20" t="n">
        <v>0</v>
      </c>
      <c r="U73" s="18" t="n">
        <v>0</v>
      </c>
      <c r="V73" s="20" t="n">
        <v>0</v>
      </c>
    </row>
    <row r="74" spans="1:22">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row>
    <row r="75" spans="1:22">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row>
    <row r="76" spans="1:22">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row>
    <row r="77" spans="1:22">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row>
    <row r="78" spans="1:22">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row>
    <row customHeight="1" ht="25" r="79" spans="1:22">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row>
    <row r="80" spans="1:22">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row>
    <row r="81" spans="1:22">
      <c r="A81" s="21" t="s">
        <v>423</v>
      </c>
      <c r="B81" s="17" t="n">
        <v>8861</v>
      </c>
      <c r="C81" s="18">
        <f>(7762.0/B81*100)</f>
        <v/>
      </c>
      <c r="D81" s="19" t="n">
        <v>1099</v>
      </c>
      <c r="E81" s="18" t="n">
        <v>82.04943402000001</v>
      </c>
      <c r="F81" s="20" t="n">
        <v>1.64256991</v>
      </c>
      <c r="G81" s="18" t="n">
        <v>0.35237666</v>
      </c>
      <c r="H81" s="20" t="n">
        <v>0.23675882</v>
      </c>
      <c r="I81" s="18" t="n">
        <v>8.059772499999999</v>
      </c>
      <c r="J81" s="20" t="n">
        <v>0.96637791</v>
      </c>
      <c r="K81" s="18" t="n">
        <v>2.9841002</v>
      </c>
      <c r="L81" s="20" t="n">
        <v>0.59394802</v>
      </c>
      <c r="M81" s="18" t="s">
        <v>349</v>
      </c>
      <c r="N81" s="20" t="s">
        <v>349</v>
      </c>
      <c r="O81" s="18" t="n">
        <v>5.74836429</v>
      </c>
      <c r="P81" s="20" t="n">
        <v>1.00856836</v>
      </c>
      <c r="Q81" s="18" t="n">
        <v>0.80595233</v>
      </c>
      <c r="R81" s="20" t="n">
        <v>0.32772835</v>
      </c>
      <c r="S81" s="18" t="n">
        <v>0</v>
      </c>
      <c r="T81" s="20" t="n">
        <v>0</v>
      </c>
      <c r="U81" s="18" t="n">
        <v>0</v>
      </c>
      <c r="V81" s="20" t="n">
        <v>0</v>
      </c>
    </row>
    <row r="82" spans="1:22">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row>
    <row r="83" spans="1:22">
      <c r="A83" s="3" t="s">
        <v>425</v>
      </c>
    </row>
    <row r="84" spans="1:22">
      <c r="A84" s="23" t="s">
        <v>426</v>
      </c>
    </row>
    <row r="85" spans="1:22">
      <c r="A85" s="23" t="s">
        <v>427</v>
      </c>
    </row>
    <row customHeight="1" ht="30" r="86" spans="1:22">
      <c r="A86" s="23" t="s">
        <v>428</v>
      </c>
    </row>
    <row customHeight="1" ht="30" r="87" spans="1:22">
      <c r="A87" s="23" t="s">
        <v>424</v>
      </c>
    </row>
    <row customHeight="1" ht="30" r="88" spans="1:22">
      <c r="A88" s="23" t="s">
        <v>429</v>
      </c>
    </row>
    <row customHeight="1" ht="30" r="89" spans="1:22">
      <c r="A89" s="23" t="s">
        <v>430</v>
      </c>
    </row>
    <row customHeight="1" ht="30" r="90" spans="1:22">
      <c r="A90" s="23" t="s">
        <v>431</v>
      </c>
    </row>
    <row customHeight="1" ht="30" r="91" spans="1:22">
      <c r="A91" s="23" t="s">
        <v>432</v>
      </c>
    </row>
    <row customHeight="1" ht="30" r="92" spans="1:22">
      <c r="A92" s="23" t="s">
        <v>433</v>
      </c>
    </row>
    <row customHeight="1" ht="30" r="93" spans="1:22">
      <c r="A93" s="23" t="s">
        <v>434</v>
      </c>
    </row>
    <row customHeight="1" ht="30" r="94" spans="1:22">
      <c r="A94" s="23" t="s">
        <v>435</v>
      </c>
    </row>
    <row customHeight="1" ht="30" r="95" spans="1:22">
      <c r="A95" s="23" t="s">
        <v>436</v>
      </c>
    </row>
    <row customHeight="1" ht="30" r="96" spans="1:22">
      <c r="A96" s="23" t="s">
        <v>437</v>
      </c>
    </row>
  </sheetData>
  <mergeCells count="24">
    <mergeCell ref="E4:F4"/>
    <mergeCell ref="G4:H4"/>
    <mergeCell ref="I4:J4"/>
    <mergeCell ref="K4:L4"/>
    <mergeCell ref="M4:N4"/>
    <mergeCell ref="O4:P4"/>
    <mergeCell ref="Q4:R4"/>
    <mergeCell ref="S4:T4"/>
    <mergeCell ref="U4:V4"/>
    <mergeCell ref="A1:V1"/>
    <mergeCell ref="A2:V2"/>
    <mergeCell ref="A84:V84"/>
    <mergeCell ref="A85:V85"/>
    <mergeCell ref="A86:V86"/>
    <mergeCell ref="A87:V87"/>
    <mergeCell ref="A88:V88"/>
    <mergeCell ref="A89:V89"/>
    <mergeCell ref="A90:V90"/>
    <mergeCell ref="A91:V91"/>
    <mergeCell ref="A92:V92"/>
    <mergeCell ref="A93:V93"/>
    <mergeCell ref="A94:V94"/>
    <mergeCell ref="A95:V95"/>
    <mergeCell ref="A96:V96"/>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(6169.0/B11*100)</f>
        <v/>
      </c>
      <c r="D11" s="19" t="n">
        <v>884</v>
      </c>
      <c r="E11" s="18" t="n">
        <v>12.78632127</v>
      </c>
      <c r="F11" s="20" t="n">
        <v>1.39268126</v>
      </c>
      <c r="G11" s="18" t="n">
        <v>86.74677189000001</v>
      </c>
      <c r="H11" s="20" t="n">
        <v>1.42055211</v>
      </c>
      <c r="I11" s="18" t="s">
        <v>349</v>
      </c>
      <c r="J11" s="20" t="s">
        <v>349</v>
      </c>
      <c r="K11" s="18" t="n">
        <v>0.33398008</v>
      </c>
      <c r="L11" s="20" t="n">
        <v>0.33669158</v>
      </c>
      <c r="M11" s="18" t="n">
        <v>0</v>
      </c>
      <c r="N11" s="20" t="n">
        <v>0</v>
      </c>
      <c r="O11" s="18" t="n">
        <v>0</v>
      </c>
      <c r="P11" s="20" t="n">
        <v>0</v>
      </c>
      <c r="Q11" s="18" t="n">
        <v>0.13292676</v>
      </c>
      <c r="R11" s="20" t="n">
        <v>0.0783084</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(6650.0/B28*100)</f>
        <v/>
      </c>
      <c r="D28" s="19" t="n">
        <v>918</v>
      </c>
      <c r="E28" s="18" t="n">
        <v>19.03072092</v>
      </c>
      <c r="F28" s="20" t="n">
        <v>1.50544486</v>
      </c>
      <c r="G28" s="18" t="n">
        <v>80.56953085000001</v>
      </c>
      <c r="H28" s="20" t="n">
        <v>1.53422052</v>
      </c>
      <c r="I28" s="18" t="s">
        <v>349</v>
      </c>
      <c r="J28" s="20" t="s">
        <v>349</v>
      </c>
      <c r="K28" s="18" t="n">
        <v>0</v>
      </c>
      <c r="L28" s="20" t="n">
        <v>0</v>
      </c>
      <c r="M28" s="18" t="n">
        <v>0</v>
      </c>
      <c r="N28" s="20" t="n">
        <v>0</v>
      </c>
      <c r="O28" s="18" t="n">
        <v>0</v>
      </c>
      <c r="P28" s="20" t="n">
        <v>0</v>
      </c>
      <c r="Q28" s="18" t="n">
        <v>0.39974823</v>
      </c>
      <c r="R28" s="20" t="n">
        <v>0.18085658</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(20356.0/B46*100)</f>
        <v/>
      </c>
      <c r="D46" s="19" t="n">
        <v>2785</v>
      </c>
      <c r="E46" s="18" t="n">
        <v>27.47382656</v>
      </c>
      <c r="F46" s="20" t="n">
        <v>1.37908641</v>
      </c>
      <c r="G46" s="18" t="n">
        <v>71.53586445000001</v>
      </c>
      <c r="H46" s="20" t="n">
        <v>1.36406628</v>
      </c>
      <c r="I46" s="18" t="s">
        <v>349</v>
      </c>
      <c r="J46" s="20" t="s">
        <v>349</v>
      </c>
      <c r="K46" s="18" t="n">
        <v>0.30356143</v>
      </c>
      <c r="L46" s="20" t="n">
        <v>0.20698231</v>
      </c>
      <c r="M46" s="18" t="n">
        <v>0</v>
      </c>
      <c r="N46" s="20" t="n">
        <v>0</v>
      </c>
      <c r="O46" s="18" t="n">
        <v>0</v>
      </c>
      <c r="P46" s="20" t="n">
        <v>0</v>
      </c>
      <c r="Q46" s="18" t="n">
        <v>0.68674756</v>
      </c>
      <c r="R46" s="20" t="n">
        <v>0.16074806</v>
      </c>
    </row>
    <row r="47" spans="1:18">
      <c r="A47" s="15" t="s">
        <v>389</v>
      </c>
      <c r="B47" s="17" t="n">
        <v>5928</v>
      </c>
      <c r="C47" s="18">
        <f>(5208.0/B47*100)</f>
        <v/>
      </c>
      <c r="D47" s="19" t="n">
        <v>720</v>
      </c>
      <c r="E47" s="18" t="n">
        <v>14.61996754</v>
      </c>
      <c r="F47" s="20" t="n">
        <v>1.4243893</v>
      </c>
      <c r="G47" s="18" t="n">
        <v>84.39428881000001</v>
      </c>
      <c r="H47" s="20" t="n">
        <v>1.42639301</v>
      </c>
      <c r="I47" s="18" t="s">
        <v>349</v>
      </c>
      <c r="J47" s="20" t="s">
        <v>349</v>
      </c>
      <c r="K47" s="18" t="n">
        <v>0.28781825</v>
      </c>
      <c r="L47" s="20" t="n">
        <v>0.21363665</v>
      </c>
      <c r="M47" s="18" t="n">
        <v>0</v>
      </c>
      <c r="N47" s="20" t="n">
        <v>0</v>
      </c>
      <c r="O47" s="18" t="n">
        <v>0</v>
      </c>
      <c r="P47" s="20" t="n">
        <v>0</v>
      </c>
      <c r="Q47" s="18" t="n">
        <v>0.69792541</v>
      </c>
      <c r="R47" s="20" t="n">
        <v>0.29509055</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(10336.0/B50*100)</f>
        <v/>
      </c>
      <c r="D50" s="19" t="n">
        <v>1459</v>
      </c>
      <c r="E50" s="18" t="n">
        <v>18.22725504</v>
      </c>
      <c r="F50" s="20" t="n">
        <v>1.43381811</v>
      </c>
      <c r="G50" s="18" t="n">
        <v>80.67319567</v>
      </c>
      <c r="H50" s="20" t="n">
        <v>1.49916357</v>
      </c>
      <c r="I50" s="18" t="s">
        <v>349</v>
      </c>
      <c r="J50" s="20" t="s">
        <v>349</v>
      </c>
      <c r="K50" s="18" t="n">
        <v>0.7051596</v>
      </c>
      <c r="L50" s="20" t="n">
        <v>0.43138789</v>
      </c>
      <c r="M50" s="18" t="n">
        <v>0</v>
      </c>
      <c r="N50" s="20" t="n">
        <v>0</v>
      </c>
      <c r="O50" s="18" t="n">
        <v>0</v>
      </c>
      <c r="P50" s="20" t="n">
        <v>0</v>
      </c>
      <c r="Q50" s="18" t="n">
        <v>0.39438969</v>
      </c>
      <c r="R50" s="20" t="n">
        <v>0.2365519</v>
      </c>
    </row>
    <row r="51" spans="1:18">
      <c r="A51" s="15" t="s">
        <v>393</v>
      </c>
      <c r="B51" s="17" t="n">
        <v>6866</v>
      </c>
      <c r="C51" s="18">
        <f>(6112.0/B51*100)</f>
        <v/>
      </c>
      <c r="D51" s="19" t="n">
        <v>754</v>
      </c>
      <c r="E51" s="18" t="n">
        <v>16.29649937</v>
      </c>
      <c r="F51" s="20" t="n">
        <v>1.41534868</v>
      </c>
      <c r="G51" s="18" t="n">
        <v>83.24712400999999</v>
      </c>
      <c r="H51" s="20" t="n">
        <v>1.44474047</v>
      </c>
      <c r="I51" s="18" t="s">
        <v>349</v>
      </c>
      <c r="J51" s="20" t="s">
        <v>349</v>
      </c>
      <c r="K51" s="18" t="n">
        <v>0.17747555</v>
      </c>
      <c r="L51" s="20" t="n">
        <v>0.17777265</v>
      </c>
      <c r="M51" s="18" t="n">
        <v>0</v>
      </c>
      <c r="N51" s="20" t="n">
        <v>0</v>
      </c>
      <c r="O51" s="18" t="n">
        <v>0</v>
      </c>
      <c r="P51" s="20" t="n">
        <v>0</v>
      </c>
      <c r="Q51" s="18" t="n">
        <v>0.27890108</v>
      </c>
      <c r="R51" s="20" t="n">
        <v>0.19523635</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(4874.0/B53*100)</f>
        <v/>
      </c>
      <c r="D53" s="19" t="n">
        <v>697</v>
      </c>
      <c r="E53" s="18" t="n">
        <v>21.91419932</v>
      </c>
      <c r="F53" s="20" t="n">
        <v>1.63034075</v>
      </c>
      <c r="G53" s="18" t="n">
        <v>77.30992654000001</v>
      </c>
      <c r="H53" s="20" t="n">
        <v>1.64831802</v>
      </c>
      <c r="I53" s="18" t="s">
        <v>349</v>
      </c>
      <c r="J53" s="20" t="s">
        <v>349</v>
      </c>
      <c r="K53" s="18" t="n">
        <v>0.30013254</v>
      </c>
      <c r="L53" s="20" t="n">
        <v>0.2204475</v>
      </c>
      <c r="M53" s="18" t="n">
        <v>0</v>
      </c>
      <c r="N53" s="20" t="n">
        <v>0</v>
      </c>
      <c r="O53" s="18" t="n">
        <v>0</v>
      </c>
      <c r="P53" s="20" t="n">
        <v>0</v>
      </c>
      <c r="Q53" s="18" t="n">
        <v>0.4757416</v>
      </c>
      <c r="R53" s="20" t="n">
        <v>0.24291265</v>
      </c>
    </row>
    <row r="54" spans="1:18">
      <c r="A54" s="15" t="s">
        <v>396</v>
      </c>
      <c r="B54" s="17" t="n">
        <v>4740</v>
      </c>
      <c r="C54" s="18">
        <f>(3942.0/B54*100)</f>
        <v/>
      </c>
      <c r="D54" s="19" t="n">
        <v>798</v>
      </c>
      <c r="E54" s="18" t="n">
        <v>39.13117905</v>
      </c>
      <c r="F54" s="20" t="n">
        <v>1.72465142</v>
      </c>
      <c r="G54" s="18" t="n">
        <v>56.62191353</v>
      </c>
      <c r="H54" s="20" t="n">
        <v>1.68651614</v>
      </c>
      <c r="I54" s="18" t="s">
        <v>349</v>
      </c>
      <c r="J54" s="20" t="s">
        <v>349</v>
      </c>
      <c r="K54" s="18" t="n">
        <v>1.92162003</v>
      </c>
      <c r="L54" s="20" t="n">
        <v>0.5962931</v>
      </c>
      <c r="M54" s="18" t="n">
        <v>0</v>
      </c>
      <c r="N54" s="20" t="n">
        <v>0</v>
      </c>
      <c r="O54" s="18" t="n">
        <v>0</v>
      </c>
      <c r="P54" s="20" t="n">
        <v>0</v>
      </c>
      <c r="Q54" s="18" t="n">
        <v>2.32528738</v>
      </c>
      <c r="R54" s="20" t="n">
        <v>0.53029523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(6125.0/B67*100)</f>
        <v/>
      </c>
      <c r="D67" s="19" t="n">
        <v>846</v>
      </c>
      <c r="E67" s="18" t="n">
        <v>23.94307922</v>
      </c>
      <c r="F67" s="20" t="n">
        <v>1.37272921</v>
      </c>
      <c r="G67" s="18" t="n">
        <v>75.02616724000001</v>
      </c>
      <c r="H67" s="20" t="n">
        <v>1.35120568</v>
      </c>
      <c r="I67" s="18" t="s">
        <v>349</v>
      </c>
      <c r="J67" s="20" t="s">
        <v>349</v>
      </c>
      <c r="K67" s="18" t="n">
        <v>0.15780734</v>
      </c>
      <c r="L67" s="20" t="n">
        <v>0.15726107</v>
      </c>
      <c r="M67" s="18" t="n">
        <v>0</v>
      </c>
      <c r="N67" s="20" t="n">
        <v>0</v>
      </c>
      <c r="O67" s="18" t="n">
        <v>0</v>
      </c>
      <c r="P67" s="20" t="n">
        <v>0</v>
      </c>
      <c r="Q67" s="18" t="n">
        <v>0.8729462099999999</v>
      </c>
      <c r="R67" s="20" t="n">
        <v>0.31956383</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(4738.0/B75*100)</f>
        <v/>
      </c>
      <c r="D75" s="19" t="n">
        <v>637</v>
      </c>
      <c r="E75" s="18" t="n">
        <v>30.23151097</v>
      </c>
      <c r="F75" s="20" t="n">
        <v>1.77266331</v>
      </c>
      <c r="G75" s="18" t="n">
        <v>68.36169246</v>
      </c>
      <c r="H75" s="20" t="n">
        <v>1.84562706</v>
      </c>
      <c r="I75" s="18" t="s">
        <v>349</v>
      </c>
      <c r="J75" s="20" t="s">
        <v>349</v>
      </c>
      <c r="K75" s="18" t="n">
        <v>0.19559359</v>
      </c>
      <c r="L75" s="20" t="n">
        <v>0.19604687</v>
      </c>
      <c r="M75" s="18" t="n">
        <v>0</v>
      </c>
      <c r="N75" s="20" t="n">
        <v>0</v>
      </c>
      <c r="O75" s="18" t="n">
        <v>0</v>
      </c>
      <c r="P75" s="20" t="n">
        <v>0</v>
      </c>
      <c r="Q75" s="18" t="n">
        <v>1.21120297</v>
      </c>
      <c r="R75" s="20" t="n">
        <v>0.46236714</v>
      </c>
    </row>
    <row r="76" spans="1:18">
      <c r="A76" s="15" t="s">
        <v>418</v>
      </c>
      <c r="B76" s="17" t="n">
        <v>14167</v>
      </c>
      <c r="C76" s="18">
        <f>(12408.0/B76*100)</f>
        <v/>
      </c>
      <c r="D76" s="19" t="n">
        <v>1759</v>
      </c>
      <c r="E76" s="18" t="n">
        <v>18.03473222</v>
      </c>
      <c r="F76" s="20" t="n">
        <v>1.10666176</v>
      </c>
      <c r="G76" s="18" t="n">
        <v>80.76152829999999</v>
      </c>
      <c r="H76" s="20" t="n">
        <v>1.06672907</v>
      </c>
      <c r="I76" s="18" t="s">
        <v>349</v>
      </c>
      <c r="J76" s="20" t="s">
        <v>349</v>
      </c>
      <c r="K76" s="18" t="n">
        <v>0.61865672</v>
      </c>
      <c r="L76" s="20" t="n">
        <v>0.194446</v>
      </c>
      <c r="M76" s="18" t="n">
        <v>0</v>
      </c>
      <c r="N76" s="20" t="n">
        <v>0</v>
      </c>
      <c r="O76" s="18" t="n">
        <v>0</v>
      </c>
      <c r="P76" s="20" t="n">
        <v>0</v>
      </c>
      <c r="Q76" s="18" t="n">
        <v>0.58508276</v>
      </c>
      <c r="R76" s="20" t="n">
        <v>0.21262823</v>
      </c>
    </row>
    <row r="77" spans="1:18">
      <c r="A77" s="15" t="s">
        <v>419</v>
      </c>
      <c r="B77" s="17" t="n">
        <v>6062</v>
      </c>
      <c r="C77" s="18">
        <f>(5331.0/B77*100)</f>
        <v/>
      </c>
      <c r="D77" s="19" t="n">
        <v>731</v>
      </c>
      <c r="E77" s="18" t="n">
        <v>21.3495319</v>
      </c>
      <c r="F77" s="20" t="n">
        <v>1.64544732</v>
      </c>
      <c r="G77" s="18" t="n">
        <v>77.35461567999999</v>
      </c>
      <c r="H77" s="20" t="n">
        <v>1.81642421</v>
      </c>
      <c r="I77" s="18" t="s">
        <v>349</v>
      </c>
      <c r="J77" s="20" t="s">
        <v>349</v>
      </c>
      <c r="K77" s="18" t="n">
        <v>0.08406909999999999</v>
      </c>
      <c r="L77" s="20" t="n">
        <v>0.08441216</v>
      </c>
      <c r="M77" s="18" t="n">
        <v>0</v>
      </c>
      <c r="N77" s="20" t="n">
        <v>0</v>
      </c>
      <c r="O77" s="18" t="n">
        <v>0</v>
      </c>
      <c r="P77" s="20" t="n">
        <v>0</v>
      </c>
      <c r="Q77" s="18" t="n">
        <v>1.21178332</v>
      </c>
      <c r="R77" s="20" t="n">
        <v>0.47093948</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(6168.0/B11*100)</f>
        <v/>
      </c>
      <c r="D11" s="19" t="n">
        <v>885</v>
      </c>
      <c r="E11" s="18" t="n">
        <v>34.10686344</v>
      </c>
      <c r="F11" s="20" t="n">
        <v>2.07955735</v>
      </c>
      <c r="G11" s="18" t="n">
        <v>56.94126827</v>
      </c>
      <c r="H11" s="20" t="n">
        <v>2.11233516</v>
      </c>
      <c r="I11" s="18" t="s">
        <v>349</v>
      </c>
      <c r="J11" s="20" t="s">
        <v>349</v>
      </c>
      <c r="K11" s="18" t="n">
        <v>0.60264257</v>
      </c>
      <c r="L11" s="20" t="n">
        <v>0.39326527</v>
      </c>
      <c r="M11" s="18" t="n">
        <v>0</v>
      </c>
      <c r="N11" s="20" t="n">
        <v>0</v>
      </c>
      <c r="O11" s="18" t="n">
        <v>0</v>
      </c>
      <c r="P11" s="20" t="n">
        <v>0</v>
      </c>
      <c r="Q11" s="18" t="n">
        <v>8.34922572</v>
      </c>
      <c r="R11" s="20" t="n">
        <v>1.10331506</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(6650.0/B28*100)</f>
        <v/>
      </c>
      <c r="D28" s="19" t="n">
        <v>918</v>
      </c>
      <c r="E28" s="18" t="n">
        <v>38.40624401</v>
      </c>
      <c r="F28" s="20" t="n">
        <v>1.80829827</v>
      </c>
      <c r="G28" s="18" t="n">
        <v>59.33108028</v>
      </c>
      <c r="H28" s="20" t="n">
        <v>1.84113235</v>
      </c>
      <c r="I28" s="18" t="s">
        <v>349</v>
      </c>
      <c r="J28" s="20" t="s">
        <v>349</v>
      </c>
      <c r="K28" s="18" t="n">
        <v>0.11784164</v>
      </c>
      <c r="L28" s="20" t="n">
        <v>0.11770428</v>
      </c>
      <c r="M28" s="18" t="n">
        <v>0</v>
      </c>
      <c r="N28" s="20" t="n">
        <v>0</v>
      </c>
      <c r="O28" s="18" t="n">
        <v>0</v>
      </c>
      <c r="P28" s="20" t="n">
        <v>0</v>
      </c>
      <c r="Q28" s="18" t="n">
        <v>2.14483407</v>
      </c>
      <c r="R28" s="20" t="n">
        <v>0.62894937</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(20379.0/B46*100)</f>
        <v/>
      </c>
      <c r="D46" s="19" t="n">
        <v>2762</v>
      </c>
      <c r="E46" s="18" t="n">
        <v>47.62045277</v>
      </c>
      <c r="F46" s="20" t="n">
        <v>1.21448918</v>
      </c>
      <c r="G46" s="18" t="n">
        <v>42.77155636</v>
      </c>
      <c r="H46" s="20" t="n">
        <v>1.21753847</v>
      </c>
      <c r="I46" s="18" t="s">
        <v>349</v>
      </c>
      <c r="J46" s="20" t="s">
        <v>349</v>
      </c>
      <c r="K46" s="18" t="n">
        <v>0.43458113</v>
      </c>
      <c r="L46" s="20" t="n">
        <v>0.21958034</v>
      </c>
      <c r="M46" s="18" t="n">
        <v>0</v>
      </c>
      <c r="N46" s="20" t="n">
        <v>0</v>
      </c>
      <c r="O46" s="18" t="n">
        <v>0</v>
      </c>
      <c r="P46" s="20" t="n">
        <v>0</v>
      </c>
      <c r="Q46" s="18" t="n">
        <v>9.17340974</v>
      </c>
      <c r="R46" s="20" t="n">
        <v>0.73715635</v>
      </c>
    </row>
    <row r="47" spans="1:18">
      <c r="A47" s="15" t="s">
        <v>389</v>
      </c>
      <c r="B47" s="17" t="n">
        <v>5928</v>
      </c>
      <c r="C47" s="18">
        <f>(5207.0/B47*100)</f>
        <v/>
      </c>
      <c r="D47" s="19" t="n">
        <v>721</v>
      </c>
      <c r="E47" s="18" t="n">
        <v>31.98942932</v>
      </c>
      <c r="F47" s="20" t="n">
        <v>1.58208841</v>
      </c>
      <c r="G47" s="18" t="n">
        <v>62.04161688</v>
      </c>
      <c r="H47" s="20" t="n">
        <v>1.99529094</v>
      </c>
      <c r="I47" s="18" t="s">
        <v>349</v>
      </c>
      <c r="J47" s="20" t="s">
        <v>349</v>
      </c>
      <c r="K47" s="18" t="n">
        <v>0.43792556</v>
      </c>
      <c r="L47" s="20" t="n">
        <v>0.25834288</v>
      </c>
      <c r="M47" s="18" t="n">
        <v>0</v>
      </c>
      <c r="N47" s="20" t="n">
        <v>0</v>
      </c>
      <c r="O47" s="18" t="n">
        <v>0</v>
      </c>
      <c r="P47" s="20" t="n">
        <v>0</v>
      </c>
      <c r="Q47" s="18" t="n">
        <v>5.53102824</v>
      </c>
      <c r="R47" s="20" t="n">
        <v>0.97908089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(10337.0/B50*100)</f>
        <v/>
      </c>
      <c r="D50" s="19" t="n">
        <v>1458</v>
      </c>
      <c r="E50" s="18" t="n">
        <v>49.24514447</v>
      </c>
      <c r="F50" s="20" t="n">
        <v>1.57832539</v>
      </c>
      <c r="G50" s="18" t="n">
        <v>48.25675437</v>
      </c>
      <c r="H50" s="20" t="n">
        <v>1.63654621</v>
      </c>
      <c r="I50" s="18" t="s">
        <v>349</v>
      </c>
      <c r="J50" s="20" t="s">
        <v>349</v>
      </c>
      <c r="K50" s="18" t="n">
        <v>0.72516552</v>
      </c>
      <c r="L50" s="20" t="n">
        <v>0.43172915</v>
      </c>
      <c r="M50" s="18" t="n">
        <v>0</v>
      </c>
      <c r="N50" s="20" t="n">
        <v>0</v>
      </c>
      <c r="O50" s="18" t="n">
        <v>0</v>
      </c>
      <c r="P50" s="20" t="n">
        <v>0</v>
      </c>
      <c r="Q50" s="18" t="n">
        <v>1.77293564</v>
      </c>
      <c r="R50" s="20" t="n">
        <v>0.41643201</v>
      </c>
    </row>
    <row r="51" spans="1:18">
      <c r="A51" s="15" t="s">
        <v>393</v>
      </c>
      <c r="B51" s="17" t="n">
        <v>6866</v>
      </c>
      <c r="C51" s="18">
        <f>(6115.0/B51*100)</f>
        <v/>
      </c>
      <c r="D51" s="19" t="n">
        <v>751</v>
      </c>
      <c r="E51" s="18" t="n">
        <v>38.48240571</v>
      </c>
      <c r="F51" s="20" t="n">
        <v>2.02649009</v>
      </c>
      <c r="G51" s="18" t="n">
        <v>57.6213913</v>
      </c>
      <c r="H51" s="20" t="n">
        <v>1.92810491</v>
      </c>
      <c r="I51" s="18" t="s">
        <v>349</v>
      </c>
      <c r="J51" s="20" t="s">
        <v>349</v>
      </c>
      <c r="K51" s="18" t="n">
        <v>0.17811623</v>
      </c>
      <c r="L51" s="20" t="n">
        <v>0.17840001</v>
      </c>
      <c r="M51" s="18" t="n">
        <v>0</v>
      </c>
      <c r="N51" s="20" t="n">
        <v>0</v>
      </c>
      <c r="O51" s="18" t="n">
        <v>0</v>
      </c>
      <c r="P51" s="20" t="n">
        <v>0</v>
      </c>
      <c r="Q51" s="18" t="n">
        <v>3.71808676</v>
      </c>
      <c r="R51" s="20" t="n">
        <v>0.74425486</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(4873.0/B53*100)</f>
        <v/>
      </c>
      <c r="D53" s="19" t="n">
        <v>698</v>
      </c>
      <c r="E53" s="18" t="n">
        <v>34.77391041</v>
      </c>
      <c r="F53" s="20" t="n">
        <v>1.95305214</v>
      </c>
      <c r="G53" s="18" t="n">
        <v>62.29626842</v>
      </c>
      <c r="H53" s="20" t="n">
        <v>1.92727278</v>
      </c>
      <c r="I53" s="18" t="s">
        <v>349</v>
      </c>
      <c r="J53" s="20" t="s">
        <v>349</v>
      </c>
      <c r="K53" s="18" t="n">
        <v>0.29981227</v>
      </c>
      <c r="L53" s="20" t="n">
        <v>0.2203314</v>
      </c>
      <c r="M53" s="18" t="n">
        <v>0</v>
      </c>
      <c r="N53" s="20" t="n">
        <v>0</v>
      </c>
      <c r="O53" s="18" t="n">
        <v>0</v>
      </c>
      <c r="P53" s="20" t="n">
        <v>0</v>
      </c>
      <c r="Q53" s="18" t="n">
        <v>2.6300089</v>
      </c>
      <c r="R53" s="20" t="n">
        <v>0.5324979399999999</v>
      </c>
    </row>
    <row r="54" spans="1:18">
      <c r="A54" s="15" t="s">
        <v>396</v>
      </c>
      <c r="B54" s="17" t="n">
        <v>4740</v>
      </c>
      <c r="C54" s="18">
        <f>(3942.0/B54*100)</f>
        <v/>
      </c>
      <c r="D54" s="19" t="n">
        <v>798</v>
      </c>
      <c r="E54" s="18" t="n">
        <v>58.39330932</v>
      </c>
      <c r="F54" s="20" t="n">
        <v>2.00349408</v>
      </c>
      <c r="G54" s="18" t="n">
        <v>29.98249904</v>
      </c>
      <c r="H54" s="20" t="n">
        <v>2.04600826</v>
      </c>
      <c r="I54" s="18" t="s">
        <v>349</v>
      </c>
      <c r="J54" s="20" t="s">
        <v>349</v>
      </c>
      <c r="K54" s="18" t="n">
        <v>2.54820833</v>
      </c>
      <c r="L54" s="20" t="n">
        <v>0.67794277</v>
      </c>
      <c r="M54" s="18" t="n">
        <v>0</v>
      </c>
      <c r="N54" s="20" t="n">
        <v>0</v>
      </c>
      <c r="O54" s="18" t="n">
        <v>0</v>
      </c>
      <c r="P54" s="20" t="n">
        <v>0</v>
      </c>
      <c r="Q54" s="18" t="n">
        <v>9.075983300000001</v>
      </c>
      <c r="R54" s="20" t="n">
        <v>1.10022814</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(6130.0/B67*100)</f>
        <v/>
      </c>
      <c r="D67" s="19" t="n">
        <v>841</v>
      </c>
      <c r="E67" s="18" t="n">
        <v>42.12107087</v>
      </c>
      <c r="F67" s="20" t="n">
        <v>1.91457799</v>
      </c>
      <c r="G67" s="18" t="n">
        <v>52.83560798</v>
      </c>
      <c r="H67" s="20" t="n">
        <v>1.94052036</v>
      </c>
      <c r="I67" s="18" t="s">
        <v>349</v>
      </c>
      <c r="J67" s="20" t="s">
        <v>349</v>
      </c>
      <c r="K67" s="18" t="n">
        <v>0.25345427</v>
      </c>
      <c r="L67" s="20" t="n">
        <v>0.18590258</v>
      </c>
      <c r="M67" s="18" t="n">
        <v>0</v>
      </c>
      <c r="N67" s="20" t="n">
        <v>0</v>
      </c>
      <c r="O67" s="18" t="n">
        <v>0</v>
      </c>
      <c r="P67" s="20" t="n">
        <v>0</v>
      </c>
      <c r="Q67" s="18" t="n">
        <v>4.78986689</v>
      </c>
      <c r="R67" s="20" t="n">
        <v>0.81346716</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(4736.0/B75*100)</f>
        <v/>
      </c>
      <c r="D75" s="19" t="n">
        <v>639</v>
      </c>
      <c r="E75" s="18" t="n">
        <v>46.50938957</v>
      </c>
      <c r="F75" s="20" t="n">
        <v>1.93574439</v>
      </c>
      <c r="G75" s="18" t="n">
        <v>48.00015776</v>
      </c>
      <c r="H75" s="20" t="n">
        <v>1.95278282</v>
      </c>
      <c r="I75" s="18" t="s">
        <v>349</v>
      </c>
      <c r="J75" s="20" t="s">
        <v>349</v>
      </c>
      <c r="K75" s="18" t="n">
        <v>0.66890487</v>
      </c>
      <c r="L75" s="20" t="n">
        <v>0.32251774</v>
      </c>
      <c r="M75" s="18" t="n">
        <v>0</v>
      </c>
      <c r="N75" s="20" t="n">
        <v>0</v>
      </c>
      <c r="O75" s="18" t="n">
        <v>0</v>
      </c>
      <c r="P75" s="20" t="n">
        <v>0</v>
      </c>
      <c r="Q75" s="18" t="n">
        <v>4.8215478</v>
      </c>
      <c r="R75" s="20" t="n">
        <v>0.9631051</v>
      </c>
    </row>
    <row r="76" spans="1:18">
      <c r="A76" s="15" t="s">
        <v>418</v>
      </c>
      <c r="B76" s="17" t="n">
        <v>14167</v>
      </c>
      <c r="C76" s="18">
        <f>(12408.0/B76*100)</f>
        <v/>
      </c>
      <c r="D76" s="19" t="n">
        <v>1759</v>
      </c>
      <c r="E76" s="18" t="n">
        <v>37.93232172</v>
      </c>
      <c r="F76" s="20" t="n">
        <v>1.32922469</v>
      </c>
      <c r="G76" s="18" t="n">
        <v>59.05354709</v>
      </c>
      <c r="H76" s="20" t="n">
        <v>1.38214991</v>
      </c>
      <c r="I76" s="18" t="s">
        <v>349</v>
      </c>
      <c r="J76" s="20" t="s">
        <v>349</v>
      </c>
      <c r="K76" s="18" t="n">
        <v>0.61865672</v>
      </c>
      <c r="L76" s="20" t="n">
        <v>0.194446</v>
      </c>
      <c r="M76" s="18" t="n">
        <v>0</v>
      </c>
      <c r="N76" s="20" t="n">
        <v>0</v>
      </c>
      <c r="O76" s="18" t="n">
        <v>0</v>
      </c>
      <c r="P76" s="20" t="n">
        <v>0</v>
      </c>
      <c r="Q76" s="18" t="n">
        <v>2.39547447</v>
      </c>
      <c r="R76" s="20" t="n">
        <v>0.35744769</v>
      </c>
    </row>
    <row r="77" spans="1:18">
      <c r="A77" s="15" t="s">
        <v>419</v>
      </c>
      <c r="B77" s="17" t="n">
        <v>6062</v>
      </c>
      <c r="C77" s="18">
        <f>(5331.0/B77*100)</f>
        <v/>
      </c>
      <c r="D77" s="19" t="n">
        <v>731</v>
      </c>
      <c r="E77" s="18" t="n">
        <v>31.61829334</v>
      </c>
      <c r="F77" s="20" t="n">
        <v>2.04546864</v>
      </c>
      <c r="G77" s="18" t="n">
        <v>60.48185662</v>
      </c>
      <c r="H77" s="20" t="n">
        <v>2.00660502</v>
      </c>
      <c r="I77" s="18" t="s">
        <v>349</v>
      </c>
      <c r="J77" s="20" t="s">
        <v>349</v>
      </c>
      <c r="K77" s="18" t="n">
        <v>0.22989836</v>
      </c>
      <c r="L77" s="20" t="n">
        <v>0.14307258</v>
      </c>
      <c r="M77" s="18" t="n">
        <v>0</v>
      </c>
      <c r="N77" s="20" t="n">
        <v>0</v>
      </c>
      <c r="O77" s="18" t="n">
        <v>0</v>
      </c>
      <c r="P77" s="20" t="n">
        <v>0</v>
      </c>
      <c r="Q77" s="18" t="n">
        <v>7.66995169</v>
      </c>
      <c r="R77" s="20" t="n">
        <v>1.04540536</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(6168.0/B11*100)</f>
        <v/>
      </c>
      <c r="D11" s="19" t="n">
        <v>885</v>
      </c>
      <c r="E11" s="18" t="n">
        <v>92.89055033</v>
      </c>
      <c r="F11" s="20" t="n">
        <v>1.1646542</v>
      </c>
      <c r="G11" s="18" t="n">
        <v>0.40478227</v>
      </c>
      <c r="H11" s="20" t="n">
        <v>0.21854089</v>
      </c>
      <c r="I11" s="18" t="s">
        <v>349</v>
      </c>
      <c r="J11" s="20" t="s">
        <v>349</v>
      </c>
      <c r="K11" s="18" t="n">
        <v>0.60264257</v>
      </c>
      <c r="L11" s="20" t="n">
        <v>0.39326527</v>
      </c>
      <c r="M11" s="18" t="n">
        <v>0</v>
      </c>
      <c r="N11" s="20" t="n">
        <v>0</v>
      </c>
      <c r="O11" s="18" t="n">
        <v>0</v>
      </c>
      <c r="P11" s="20" t="n">
        <v>0</v>
      </c>
      <c r="Q11" s="18" t="n">
        <v>6.10202483</v>
      </c>
      <c r="R11" s="20" t="n">
        <v>1.10457628</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(6654.0/B28*100)</f>
        <v/>
      </c>
      <c r="D28" s="19" t="n">
        <v>914</v>
      </c>
      <c r="E28" s="18" t="n">
        <v>88.77451716</v>
      </c>
      <c r="F28" s="20" t="n">
        <v>1.12493907</v>
      </c>
      <c r="G28" s="18" t="n">
        <v>7.29814072</v>
      </c>
      <c r="H28" s="20" t="n">
        <v>0.89248456</v>
      </c>
      <c r="I28" s="18" t="s">
        <v>349</v>
      </c>
      <c r="J28" s="20" t="s">
        <v>349</v>
      </c>
      <c r="K28" s="18" t="n">
        <v>0.11831613</v>
      </c>
      <c r="L28" s="20" t="n">
        <v>0.11817781</v>
      </c>
      <c r="M28" s="18" t="n">
        <v>0</v>
      </c>
      <c r="N28" s="20" t="n">
        <v>0</v>
      </c>
      <c r="O28" s="18" t="n">
        <v>0</v>
      </c>
      <c r="P28" s="20" t="n">
        <v>0</v>
      </c>
      <c r="Q28" s="18" t="n">
        <v>3.80902598</v>
      </c>
      <c r="R28" s="20" t="n">
        <v>0.75862923</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(20403.0/B46*100)</f>
        <v/>
      </c>
      <c r="D46" s="19" t="n">
        <v>2738</v>
      </c>
      <c r="E46" s="18" t="n">
        <v>87.24705926999999</v>
      </c>
      <c r="F46" s="20" t="n">
        <v>0.715378</v>
      </c>
      <c r="G46" s="18" t="n">
        <v>3.63731542</v>
      </c>
      <c r="H46" s="20" t="n">
        <v>0.46651881</v>
      </c>
      <c r="I46" s="18" t="s">
        <v>349</v>
      </c>
      <c r="J46" s="20" t="s">
        <v>349</v>
      </c>
      <c r="K46" s="18" t="n">
        <v>0.43833625</v>
      </c>
      <c r="L46" s="20" t="n">
        <v>0.22146912</v>
      </c>
      <c r="M46" s="18" t="n">
        <v>0</v>
      </c>
      <c r="N46" s="20" t="n">
        <v>0</v>
      </c>
      <c r="O46" s="18" t="n">
        <v>0</v>
      </c>
      <c r="P46" s="20" t="n">
        <v>0</v>
      </c>
      <c r="Q46" s="18" t="n">
        <v>8.677289050000001</v>
      </c>
      <c r="R46" s="20" t="n">
        <v>0.69252368</v>
      </c>
    </row>
    <row r="47" spans="1:18">
      <c r="A47" s="15" t="s">
        <v>389</v>
      </c>
      <c r="B47" s="17" t="n">
        <v>5928</v>
      </c>
      <c r="C47" s="18">
        <f>(5207.0/B47*100)</f>
        <v/>
      </c>
      <c r="D47" s="19" t="n">
        <v>721</v>
      </c>
      <c r="E47" s="18" t="n">
        <v>80.37595625</v>
      </c>
      <c r="F47" s="20" t="n">
        <v>1.64940961</v>
      </c>
      <c r="G47" s="18" t="n">
        <v>11.84030604</v>
      </c>
      <c r="H47" s="20" t="n">
        <v>1.41237988</v>
      </c>
      <c r="I47" s="18" t="s">
        <v>349</v>
      </c>
      <c r="J47" s="20" t="s">
        <v>349</v>
      </c>
      <c r="K47" s="18" t="n">
        <v>0.43792556</v>
      </c>
      <c r="L47" s="20" t="n">
        <v>0.25834288</v>
      </c>
      <c r="M47" s="18" t="n">
        <v>0</v>
      </c>
      <c r="N47" s="20" t="n">
        <v>0</v>
      </c>
      <c r="O47" s="18" t="n">
        <v>0</v>
      </c>
      <c r="P47" s="20" t="n">
        <v>0</v>
      </c>
      <c r="Q47" s="18" t="n">
        <v>7.34581214</v>
      </c>
      <c r="R47" s="20" t="n">
        <v>1.28945521</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(10338.0/B50*100)</f>
        <v/>
      </c>
      <c r="D50" s="19" t="n">
        <v>1457</v>
      </c>
      <c r="E50" s="18" t="n">
        <v>92.60429282</v>
      </c>
      <c r="F50" s="20" t="n">
        <v>0.99267314</v>
      </c>
      <c r="G50" s="18" t="n">
        <v>3.51417489</v>
      </c>
      <c r="H50" s="20" t="n">
        <v>0.62787359</v>
      </c>
      <c r="I50" s="18" t="s">
        <v>349</v>
      </c>
      <c r="J50" s="20" t="s">
        <v>349</v>
      </c>
      <c r="K50" s="18" t="n">
        <v>1.01867344</v>
      </c>
      <c r="L50" s="20" t="n">
        <v>0.51911136</v>
      </c>
      <c r="M50" s="18" t="n">
        <v>0</v>
      </c>
      <c r="N50" s="20" t="n">
        <v>0</v>
      </c>
      <c r="O50" s="18" t="n">
        <v>0</v>
      </c>
      <c r="P50" s="20" t="n">
        <v>0</v>
      </c>
      <c r="Q50" s="18" t="n">
        <v>2.86285885</v>
      </c>
      <c r="R50" s="20" t="n">
        <v>0.63485908</v>
      </c>
    </row>
    <row r="51" spans="1:18">
      <c r="A51" s="15" t="s">
        <v>393</v>
      </c>
      <c r="B51" s="17" t="n">
        <v>6866</v>
      </c>
      <c r="C51" s="18">
        <f>(6116.0/B51*100)</f>
        <v/>
      </c>
      <c r="D51" s="19" t="n">
        <v>750</v>
      </c>
      <c r="E51" s="18" t="n">
        <v>92.19664084</v>
      </c>
      <c r="F51" s="20" t="n">
        <v>1.08593799</v>
      </c>
      <c r="G51" s="18" t="n">
        <v>5.19314165</v>
      </c>
      <c r="H51" s="20" t="n">
        <v>0.91072719</v>
      </c>
      <c r="I51" s="18" t="s">
        <v>349</v>
      </c>
      <c r="J51" s="20" t="s">
        <v>349</v>
      </c>
      <c r="K51" s="18" t="n">
        <v>0.17828179</v>
      </c>
      <c r="L51" s="20" t="n">
        <v>0.17856089</v>
      </c>
      <c r="M51" s="18" t="n">
        <v>0</v>
      </c>
      <c r="N51" s="20" t="n">
        <v>0</v>
      </c>
      <c r="O51" s="18" t="n">
        <v>0</v>
      </c>
      <c r="P51" s="20" t="n">
        <v>0</v>
      </c>
      <c r="Q51" s="18" t="n">
        <v>2.43193572</v>
      </c>
      <c r="R51" s="20" t="n">
        <v>0.54611186</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(4873.0/B53*100)</f>
        <v/>
      </c>
      <c r="D53" s="19" t="n">
        <v>698</v>
      </c>
      <c r="E53" s="18" t="n">
        <v>84.62093105</v>
      </c>
      <c r="F53" s="20" t="n">
        <v>1.5776099</v>
      </c>
      <c r="G53" s="18" t="n">
        <v>9.93908457</v>
      </c>
      <c r="H53" s="20" t="n">
        <v>1.19342804</v>
      </c>
      <c r="I53" s="18" t="s">
        <v>349</v>
      </c>
      <c r="J53" s="20" t="s">
        <v>349</v>
      </c>
      <c r="K53" s="18" t="n">
        <v>0.29981227</v>
      </c>
      <c r="L53" s="20" t="n">
        <v>0.2203314</v>
      </c>
      <c r="M53" s="18" t="n">
        <v>0</v>
      </c>
      <c r="N53" s="20" t="n">
        <v>0</v>
      </c>
      <c r="O53" s="18" t="n">
        <v>0</v>
      </c>
      <c r="P53" s="20" t="n">
        <v>0</v>
      </c>
      <c r="Q53" s="18" t="n">
        <v>5.14017211</v>
      </c>
      <c r="R53" s="20" t="n">
        <v>0.81775192</v>
      </c>
    </row>
    <row r="54" spans="1:18">
      <c r="A54" s="15" t="s">
        <v>396</v>
      </c>
      <c r="B54" s="17" t="n">
        <v>4740</v>
      </c>
      <c r="C54" s="18">
        <f>(3942.0/B54*100)</f>
        <v/>
      </c>
      <c r="D54" s="19" t="n">
        <v>798</v>
      </c>
      <c r="E54" s="18" t="n">
        <v>85.44758066999999</v>
      </c>
      <c r="F54" s="20" t="n">
        <v>1.23864276</v>
      </c>
      <c r="G54" s="18" t="n">
        <v>0.5778765</v>
      </c>
      <c r="H54" s="20" t="n">
        <v>0.20992628</v>
      </c>
      <c r="I54" s="18" t="s">
        <v>349</v>
      </c>
      <c r="J54" s="20" t="s">
        <v>349</v>
      </c>
      <c r="K54" s="18" t="n">
        <v>3.00408582</v>
      </c>
      <c r="L54" s="20" t="n">
        <v>0.68891482</v>
      </c>
      <c r="M54" s="18" t="n">
        <v>0</v>
      </c>
      <c r="N54" s="20" t="n">
        <v>0</v>
      </c>
      <c r="O54" s="18" t="n">
        <v>0</v>
      </c>
      <c r="P54" s="20" t="n">
        <v>0</v>
      </c>
      <c r="Q54" s="18" t="n">
        <v>10.97045701</v>
      </c>
      <c r="R54" s="20" t="n">
        <v>1.17997063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(6138.0/B67*100)</f>
        <v/>
      </c>
      <c r="D67" s="19" t="n">
        <v>833</v>
      </c>
      <c r="E67" s="18" t="n">
        <v>87.86847381</v>
      </c>
      <c r="F67" s="20" t="n">
        <v>1.0994084</v>
      </c>
      <c r="G67" s="18" t="n">
        <v>5.66889605</v>
      </c>
      <c r="H67" s="20" t="n">
        <v>0.72607413</v>
      </c>
      <c r="I67" s="18" t="s">
        <v>349</v>
      </c>
      <c r="J67" s="20" t="s">
        <v>349</v>
      </c>
      <c r="K67" s="18" t="n">
        <v>0.25569242</v>
      </c>
      <c r="L67" s="20" t="n">
        <v>0.1875413</v>
      </c>
      <c r="M67" s="18" t="n">
        <v>0</v>
      </c>
      <c r="N67" s="20" t="n">
        <v>0</v>
      </c>
      <c r="O67" s="18" t="n">
        <v>0</v>
      </c>
      <c r="P67" s="20" t="n">
        <v>0</v>
      </c>
      <c r="Q67" s="18" t="n">
        <v>6.20693772</v>
      </c>
      <c r="R67" s="20" t="n">
        <v>0.91252798</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(4737.0/B75*100)</f>
        <v/>
      </c>
      <c r="D75" s="19" t="n">
        <v>638</v>
      </c>
      <c r="E75" s="18" t="n">
        <v>87.15985033</v>
      </c>
      <c r="F75" s="20" t="n">
        <v>1.41455175</v>
      </c>
      <c r="G75" s="18" t="n">
        <v>5.38929214</v>
      </c>
      <c r="H75" s="20" t="n">
        <v>0.84020741</v>
      </c>
      <c r="I75" s="18" t="s">
        <v>349</v>
      </c>
      <c r="J75" s="20" t="s">
        <v>349</v>
      </c>
      <c r="K75" s="18" t="n">
        <v>0.67007858</v>
      </c>
      <c r="L75" s="20" t="n">
        <v>0.32302272</v>
      </c>
      <c r="M75" s="18" t="n">
        <v>0</v>
      </c>
      <c r="N75" s="20" t="n">
        <v>0</v>
      </c>
      <c r="O75" s="18" t="n">
        <v>0</v>
      </c>
      <c r="P75" s="20" t="n">
        <v>0</v>
      </c>
      <c r="Q75" s="18" t="n">
        <v>6.78077895</v>
      </c>
      <c r="R75" s="20" t="n">
        <v>0.94613757</v>
      </c>
    </row>
    <row r="76" spans="1:18">
      <c r="A76" s="15" t="s">
        <v>418</v>
      </c>
      <c r="B76" s="17" t="n">
        <v>14167</v>
      </c>
      <c r="C76" s="18">
        <f>(12409.0/B76*100)</f>
        <v/>
      </c>
      <c r="D76" s="19" t="n">
        <v>1758</v>
      </c>
      <c r="E76" s="18" t="n">
        <v>85.82675181</v>
      </c>
      <c r="F76" s="20" t="n">
        <v>1.10965432</v>
      </c>
      <c r="G76" s="18" t="n">
        <v>10.84192344</v>
      </c>
      <c r="H76" s="20" t="n">
        <v>0.94930369</v>
      </c>
      <c r="I76" s="18" t="s">
        <v>349</v>
      </c>
      <c r="J76" s="20" t="s">
        <v>349</v>
      </c>
      <c r="K76" s="18" t="n">
        <v>0.61882747</v>
      </c>
      <c r="L76" s="20" t="n">
        <v>0.194503</v>
      </c>
      <c r="M76" s="18" t="n">
        <v>0</v>
      </c>
      <c r="N76" s="20" t="n">
        <v>0</v>
      </c>
      <c r="O76" s="18" t="n">
        <v>0</v>
      </c>
      <c r="P76" s="20" t="n">
        <v>0</v>
      </c>
      <c r="Q76" s="18" t="n">
        <v>2.71249728</v>
      </c>
      <c r="R76" s="20" t="n">
        <v>0.57560575</v>
      </c>
    </row>
    <row r="77" spans="1:18">
      <c r="A77" s="15" t="s">
        <v>419</v>
      </c>
      <c r="B77" s="17" t="n">
        <v>6062</v>
      </c>
      <c r="C77" s="18">
        <f>(5333.0/B77*100)</f>
        <v/>
      </c>
      <c r="D77" s="19" t="n">
        <v>729</v>
      </c>
      <c r="E77" s="18" t="n">
        <v>84.87968188000001</v>
      </c>
      <c r="F77" s="20" t="n">
        <v>1.23151825</v>
      </c>
      <c r="G77" s="18" t="n">
        <v>8.04335274</v>
      </c>
      <c r="H77" s="20" t="n">
        <v>1.19152389</v>
      </c>
      <c r="I77" s="18" t="s">
        <v>349</v>
      </c>
      <c r="J77" s="20" t="s">
        <v>349</v>
      </c>
      <c r="K77" s="18" t="n">
        <v>0.23051326</v>
      </c>
      <c r="L77" s="20" t="n">
        <v>0.14347772</v>
      </c>
      <c r="M77" s="18" t="n">
        <v>0</v>
      </c>
      <c r="N77" s="20" t="n">
        <v>0</v>
      </c>
      <c r="O77" s="18" t="n">
        <v>0</v>
      </c>
      <c r="P77" s="20" t="n">
        <v>0</v>
      </c>
      <c r="Q77" s="18" t="n">
        <v>6.84645212</v>
      </c>
      <c r="R77" s="20" t="n">
        <v>0.85079959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(6170.0/B11*100)</f>
        <v/>
      </c>
      <c r="D11" s="19" t="n">
        <v>883</v>
      </c>
      <c r="E11" s="18" t="n">
        <v>51.12850855</v>
      </c>
      <c r="F11" s="20" t="n">
        <v>2.27288191</v>
      </c>
      <c r="G11" s="18" t="n">
        <v>30.97037116</v>
      </c>
      <c r="H11" s="20" t="n">
        <v>1.84329163</v>
      </c>
      <c r="I11" s="18" t="s">
        <v>349</v>
      </c>
      <c r="J11" s="20" t="s">
        <v>349</v>
      </c>
      <c r="K11" s="18" t="n">
        <v>0.60461451</v>
      </c>
      <c r="L11" s="20" t="n">
        <v>0.39420072</v>
      </c>
      <c r="M11" s="18" t="n">
        <v>0</v>
      </c>
      <c r="N11" s="20" t="n">
        <v>0</v>
      </c>
      <c r="O11" s="18" t="n">
        <v>0</v>
      </c>
      <c r="P11" s="20" t="n">
        <v>0</v>
      </c>
      <c r="Q11" s="18" t="n">
        <v>17.29650578</v>
      </c>
      <c r="R11" s="20" t="n">
        <v>1.7531834</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(6660.0/B28*100)</f>
        <v/>
      </c>
      <c r="D28" s="19" t="n">
        <v>908</v>
      </c>
      <c r="E28" s="18" t="n">
        <v>63.75623485</v>
      </c>
      <c r="F28" s="20" t="n">
        <v>2.07093108</v>
      </c>
      <c r="G28" s="18" t="n">
        <v>30.58062783</v>
      </c>
      <c r="H28" s="20" t="n">
        <v>2.01615133</v>
      </c>
      <c r="I28" s="18" t="s">
        <v>349</v>
      </c>
      <c r="J28" s="20" t="s">
        <v>349</v>
      </c>
      <c r="K28" s="18" t="n">
        <v>0.27257339</v>
      </c>
      <c r="L28" s="20" t="n">
        <v>0.20891009</v>
      </c>
      <c r="M28" s="18" t="n">
        <v>0</v>
      </c>
      <c r="N28" s="20" t="n">
        <v>0</v>
      </c>
      <c r="O28" s="18" t="n">
        <v>0</v>
      </c>
      <c r="P28" s="20" t="n">
        <v>0</v>
      </c>
      <c r="Q28" s="18" t="n">
        <v>5.39056393</v>
      </c>
      <c r="R28" s="20" t="n">
        <v>0.79440255</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(20448.0/B46*100)</f>
        <v/>
      </c>
      <c r="D46" s="19" t="n">
        <v>2693</v>
      </c>
      <c r="E46" s="18" t="n">
        <v>70.89934103</v>
      </c>
      <c r="F46" s="20" t="n">
        <v>1.41776947</v>
      </c>
      <c r="G46" s="18" t="n">
        <v>18.18227361</v>
      </c>
      <c r="H46" s="20" t="n">
        <v>1.21747282</v>
      </c>
      <c r="I46" s="18" t="s">
        <v>349</v>
      </c>
      <c r="J46" s="20" t="s">
        <v>349</v>
      </c>
      <c r="K46" s="18" t="n">
        <v>0.57375115</v>
      </c>
      <c r="L46" s="20" t="n">
        <v>0.24607526</v>
      </c>
      <c r="M46" s="18" t="n">
        <v>0</v>
      </c>
      <c r="N46" s="20" t="n">
        <v>0</v>
      </c>
      <c r="O46" s="18" t="n">
        <v>0</v>
      </c>
      <c r="P46" s="20" t="n">
        <v>0</v>
      </c>
      <c r="Q46" s="18" t="n">
        <v>10.34463421</v>
      </c>
      <c r="R46" s="20" t="n">
        <v>0.82033362</v>
      </c>
    </row>
    <row r="47" spans="1:18">
      <c r="A47" s="15" t="s">
        <v>389</v>
      </c>
      <c r="B47" s="17" t="n">
        <v>5928</v>
      </c>
      <c r="C47" s="18">
        <f>(5208.0/B47*100)</f>
        <v/>
      </c>
      <c r="D47" s="19" t="n">
        <v>720</v>
      </c>
      <c r="E47" s="18" t="n">
        <v>40.50643168</v>
      </c>
      <c r="F47" s="20" t="n">
        <v>1.9702336</v>
      </c>
      <c r="G47" s="18" t="n">
        <v>49.23025849</v>
      </c>
      <c r="H47" s="20" t="n">
        <v>2.08772352</v>
      </c>
      <c r="I47" s="18" t="s">
        <v>349</v>
      </c>
      <c r="J47" s="20" t="s">
        <v>349</v>
      </c>
      <c r="K47" s="18" t="n">
        <v>0.58151821</v>
      </c>
      <c r="L47" s="20" t="n">
        <v>0.30183656</v>
      </c>
      <c r="M47" s="18" t="n">
        <v>0</v>
      </c>
      <c r="N47" s="20" t="n">
        <v>0</v>
      </c>
      <c r="O47" s="18" t="n">
        <v>0</v>
      </c>
      <c r="P47" s="20" t="n">
        <v>0</v>
      </c>
      <c r="Q47" s="18" t="n">
        <v>9.68179162</v>
      </c>
      <c r="R47" s="20" t="n">
        <v>1.23635827</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(10339.0/B50*100)</f>
        <v/>
      </c>
      <c r="D50" s="19" t="n">
        <v>1456</v>
      </c>
      <c r="E50" s="18" t="n">
        <v>72.15575905999999</v>
      </c>
      <c r="F50" s="20" t="n">
        <v>1.69535946</v>
      </c>
      <c r="G50" s="18" t="n">
        <v>21.38690326</v>
      </c>
      <c r="H50" s="20" t="n">
        <v>1.5740659</v>
      </c>
      <c r="I50" s="18" t="s">
        <v>349</v>
      </c>
      <c r="J50" s="20" t="s">
        <v>349</v>
      </c>
      <c r="K50" s="18" t="n">
        <v>1.28281913</v>
      </c>
      <c r="L50" s="20" t="n">
        <v>0.54757368</v>
      </c>
      <c r="M50" s="18" t="n">
        <v>0</v>
      </c>
      <c r="N50" s="20" t="n">
        <v>0</v>
      </c>
      <c r="O50" s="18" t="n">
        <v>0</v>
      </c>
      <c r="P50" s="20" t="n">
        <v>0</v>
      </c>
      <c r="Q50" s="18" t="n">
        <v>5.17451855</v>
      </c>
      <c r="R50" s="20" t="n">
        <v>0.82779231</v>
      </c>
    </row>
    <row r="51" spans="1:18">
      <c r="A51" s="15" t="s">
        <v>393</v>
      </c>
      <c r="B51" s="17" t="n">
        <v>6866</v>
      </c>
      <c r="C51" s="18">
        <f>(6121.0/B51*100)</f>
        <v/>
      </c>
      <c r="D51" s="19" t="n">
        <v>745</v>
      </c>
      <c r="E51" s="18" t="n">
        <v>64.24127677</v>
      </c>
      <c r="F51" s="20" t="n">
        <v>2.21583704</v>
      </c>
      <c r="G51" s="18" t="n">
        <v>29.26757476</v>
      </c>
      <c r="H51" s="20" t="n">
        <v>2.11493747</v>
      </c>
      <c r="I51" s="18" t="s">
        <v>349</v>
      </c>
      <c r="J51" s="20" t="s">
        <v>349</v>
      </c>
      <c r="K51" s="18" t="n">
        <v>0.17959014</v>
      </c>
      <c r="L51" s="20" t="n">
        <v>0.1798903</v>
      </c>
      <c r="M51" s="18" t="n">
        <v>0</v>
      </c>
      <c r="N51" s="20" t="n">
        <v>0</v>
      </c>
      <c r="O51" s="18" t="n">
        <v>0</v>
      </c>
      <c r="P51" s="20" t="n">
        <v>0</v>
      </c>
      <c r="Q51" s="18" t="n">
        <v>6.31155833</v>
      </c>
      <c r="R51" s="20" t="n">
        <v>1.04116937</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(4873.0/B53*100)</f>
        <v/>
      </c>
      <c r="D53" s="19" t="n">
        <v>698</v>
      </c>
      <c r="E53" s="18" t="n">
        <v>40.5402502</v>
      </c>
      <c r="F53" s="20" t="n">
        <v>1.91554622</v>
      </c>
      <c r="G53" s="18" t="n">
        <v>49.06777345</v>
      </c>
      <c r="H53" s="20" t="n">
        <v>2.07226085</v>
      </c>
      <c r="I53" s="18" t="s">
        <v>349</v>
      </c>
      <c r="J53" s="20" t="s">
        <v>349</v>
      </c>
      <c r="K53" s="18" t="n">
        <v>0.4589614</v>
      </c>
      <c r="L53" s="20" t="n">
        <v>0.26951288</v>
      </c>
      <c r="M53" s="18" t="n">
        <v>0</v>
      </c>
      <c r="N53" s="20" t="n">
        <v>0</v>
      </c>
      <c r="O53" s="18" t="n">
        <v>0</v>
      </c>
      <c r="P53" s="20" t="n">
        <v>0</v>
      </c>
      <c r="Q53" s="18" t="n">
        <v>9.93301495</v>
      </c>
      <c r="R53" s="20" t="n">
        <v>1.08069946</v>
      </c>
    </row>
    <row r="54" spans="1:18">
      <c r="A54" s="15" t="s">
        <v>396</v>
      </c>
      <c r="B54" s="17" t="n">
        <v>4740</v>
      </c>
      <c r="C54" s="18">
        <f>(3945.0/B54*100)</f>
        <v/>
      </c>
      <c r="D54" s="19" t="n">
        <v>795</v>
      </c>
      <c r="E54" s="18" t="n">
        <v>78.23439337000001</v>
      </c>
      <c r="F54" s="20" t="n">
        <v>1.81078408</v>
      </c>
      <c r="G54" s="18" t="n">
        <v>8.71200602</v>
      </c>
      <c r="H54" s="20" t="n">
        <v>1.1220179</v>
      </c>
      <c r="I54" s="18" t="s">
        <v>349</v>
      </c>
      <c r="J54" s="20" t="s">
        <v>349</v>
      </c>
      <c r="K54" s="18" t="n">
        <v>3.64276709</v>
      </c>
      <c r="L54" s="20" t="n">
        <v>0.74053123</v>
      </c>
      <c r="M54" s="18" t="n">
        <v>0</v>
      </c>
      <c r="N54" s="20" t="n">
        <v>0</v>
      </c>
      <c r="O54" s="18" t="n">
        <v>0</v>
      </c>
      <c r="P54" s="20" t="n">
        <v>0</v>
      </c>
      <c r="Q54" s="18" t="n">
        <v>9.410833520000001</v>
      </c>
      <c r="R54" s="20" t="n">
        <v>1.28373091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(6145.0/B67*100)</f>
        <v/>
      </c>
      <c r="D67" s="19" t="n">
        <v>826</v>
      </c>
      <c r="E67" s="18" t="n">
        <v>56.36521565</v>
      </c>
      <c r="F67" s="20" t="n">
        <v>2.11667887</v>
      </c>
      <c r="G67" s="18" t="n">
        <v>36.67403145</v>
      </c>
      <c r="H67" s="20" t="n">
        <v>2.06110918</v>
      </c>
      <c r="I67" s="18" t="s">
        <v>349</v>
      </c>
      <c r="J67" s="20" t="s">
        <v>349</v>
      </c>
      <c r="K67" s="18" t="n">
        <v>0.2577522</v>
      </c>
      <c r="L67" s="20" t="n">
        <v>0.18905129</v>
      </c>
      <c r="M67" s="18" t="n">
        <v>0</v>
      </c>
      <c r="N67" s="20" t="n">
        <v>0</v>
      </c>
      <c r="O67" s="18" t="n">
        <v>0</v>
      </c>
      <c r="P67" s="20" t="n">
        <v>0</v>
      </c>
      <c r="Q67" s="18" t="n">
        <v>6.7030007</v>
      </c>
      <c r="R67" s="20" t="n">
        <v>0.8113714400000001</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(4736.0/B75*100)</f>
        <v/>
      </c>
      <c r="D75" s="19" t="n">
        <v>639</v>
      </c>
      <c r="E75" s="18" t="n">
        <v>60.14356344</v>
      </c>
      <c r="F75" s="20" t="n">
        <v>2.35435149</v>
      </c>
      <c r="G75" s="18" t="n">
        <v>25.15960639</v>
      </c>
      <c r="H75" s="20" t="n">
        <v>1.86348439</v>
      </c>
      <c r="I75" s="18" t="s">
        <v>349</v>
      </c>
      <c r="J75" s="20" t="s">
        <v>349</v>
      </c>
      <c r="K75" s="18" t="n">
        <v>1.4341298</v>
      </c>
      <c r="L75" s="20" t="n">
        <v>0.42681963</v>
      </c>
      <c r="M75" s="18" t="n">
        <v>0</v>
      </c>
      <c r="N75" s="20" t="n">
        <v>0</v>
      </c>
      <c r="O75" s="18" t="n">
        <v>0</v>
      </c>
      <c r="P75" s="20" t="n">
        <v>0</v>
      </c>
      <c r="Q75" s="18" t="n">
        <v>13.26270036</v>
      </c>
      <c r="R75" s="20" t="n">
        <v>1.69751275</v>
      </c>
    </row>
    <row r="76" spans="1:18">
      <c r="A76" s="15" t="s">
        <v>418</v>
      </c>
      <c r="B76" s="17" t="n">
        <v>14167</v>
      </c>
      <c r="C76" s="18">
        <f>(12410.0/B76*100)</f>
        <v/>
      </c>
      <c r="D76" s="19" t="n">
        <v>1757</v>
      </c>
      <c r="E76" s="18" t="n">
        <v>9.20345272</v>
      </c>
      <c r="F76" s="20" t="n">
        <v>0.78058171</v>
      </c>
      <c r="G76" s="18" t="n">
        <v>33.16655978</v>
      </c>
      <c r="H76" s="20" t="n">
        <v>1.52513408</v>
      </c>
      <c r="I76" s="18" t="s">
        <v>349</v>
      </c>
      <c r="J76" s="20" t="s">
        <v>349</v>
      </c>
      <c r="K76" s="18" t="n">
        <v>0.15483543</v>
      </c>
      <c r="L76" s="20" t="n">
        <v>0.09448347999999999</v>
      </c>
      <c r="M76" s="18" t="n">
        <v>55.90659576</v>
      </c>
      <c r="N76" s="20" t="n">
        <v>1.28910482</v>
      </c>
      <c r="O76" s="18" t="n">
        <v>0</v>
      </c>
      <c r="P76" s="20" t="n">
        <v>0</v>
      </c>
      <c r="Q76" s="18" t="n">
        <v>1.5685563</v>
      </c>
      <c r="R76" s="20" t="n">
        <v>0.33629274</v>
      </c>
    </row>
    <row r="77" spans="1:18">
      <c r="A77" s="15" t="s">
        <v>419</v>
      </c>
      <c r="B77" s="17" t="n">
        <v>6062</v>
      </c>
      <c r="C77" s="18">
        <f>(5334.0/B77*100)</f>
        <v/>
      </c>
      <c r="D77" s="19" t="n">
        <v>728</v>
      </c>
      <c r="E77" s="18" t="n">
        <v>56.11899225</v>
      </c>
      <c r="F77" s="20" t="n">
        <v>1.81661845</v>
      </c>
      <c r="G77" s="18" t="n">
        <v>22.19001715</v>
      </c>
      <c r="H77" s="20" t="n">
        <v>1.67147102</v>
      </c>
      <c r="I77" s="18" t="s">
        <v>349</v>
      </c>
      <c r="J77" s="20" t="s">
        <v>349</v>
      </c>
      <c r="K77" s="18" t="n">
        <v>0.54848207</v>
      </c>
      <c r="L77" s="20" t="n">
        <v>0.28369901</v>
      </c>
      <c r="M77" s="18" t="n">
        <v>0</v>
      </c>
      <c r="N77" s="20" t="n">
        <v>0</v>
      </c>
      <c r="O77" s="18" t="n">
        <v>0</v>
      </c>
      <c r="P77" s="20" t="n">
        <v>0</v>
      </c>
      <c r="Q77" s="18" t="n">
        <v>21.14250852</v>
      </c>
      <c r="R77" s="20" t="n">
        <v>1.59064494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(6173.0/B11*100)</f>
        <v/>
      </c>
      <c r="D11" s="19" t="n">
        <v>880</v>
      </c>
      <c r="E11" s="18" t="n">
        <v>37.03737474</v>
      </c>
      <c r="F11" s="20" t="n">
        <v>2.18812317</v>
      </c>
      <c r="G11" s="18" t="n">
        <v>28.7000717</v>
      </c>
      <c r="H11" s="20" t="n">
        <v>1.78602417</v>
      </c>
      <c r="I11" s="18" t="s">
        <v>349</v>
      </c>
      <c r="J11" s="20" t="s">
        <v>349</v>
      </c>
      <c r="K11" s="18" t="n">
        <v>0.60567921</v>
      </c>
      <c r="L11" s="20" t="n">
        <v>0.39491859</v>
      </c>
      <c r="M11" s="18" t="n">
        <v>0</v>
      </c>
      <c r="N11" s="20" t="n">
        <v>0</v>
      </c>
      <c r="O11" s="18" t="n">
        <v>0</v>
      </c>
      <c r="P11" s="20" t="n">
        <v>0</v>
      </c>
      <c r="Q11" s="18" t="n">
        <v>33.65687435</v>
      </c>
      <c r="R11" s="20" t="n">
        <v>2.26097718</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(6666.0/B28*100)</f>
        <v/>
      </c>
      <c r="D28" s="19" t="n">
        <v>902</v>
      </c>
      <c r="E28" s="18" t="n">
        <v>62.61561566</v>
      </c>
      <c r="F28" s="20" t="n">
        <v>1.93911244</v>
      </c>
      <c r="G28" s="18" t="n">
        <v>21.79248902</v>
      </c>
      <c r="H28" s="20" t="n">
        <v>1.40342165</v>
      </c>
      <c r="I28" s="18" t="s">
        <v>349</v>
      </c>
      <c r="J28" s="20" t="s">
        <v>349</v>
      </c>
      <c r="K28" s="18" t="n">
        <v>0.34276117</v>
      </c>
      <c r="L28" s="20" t="n">
        <v>0.22111569</v>
      </c>
      <c r="M28" s="18" t="n">
        <v>0.2776568</v>
      </c>
      <c r="N28" s="20" t="n">
        <v>0.2340977</v>
      </c>
      <c r="O28" s="18" t="n">
        <v>0</v>
      </c>
      <c r="P28" s="20" t="n">
        <v>0</v>
      </c>
      <c r="Q28" s="18" t="n">
        <v>14.97147736</v>
      </c>
      <c r="R28" s="20" t="n">
        <v>1.43704512</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(20475.0/B46*100)</f>
        <v/>
      </c>
      <c r="D46" s="19" t="n">
        <v>2666</v>
      </c>
      <c r="E46" s="18" t="n">
        <v>53.56358133</v>
      </c>
      <c r="F46" s="20" t="n">
        <v>1.13138253</v>
      </c>
      <c r="G46" s="18" t="n">
        <v>17.21131731</v>
      </c>
      <c r="H46" s="20" t="n">
        <v>0.97888743</v>
      </c>
      <c r="I46" s="18" t="s">
        <v>349</v>
      </c>
      <c r="J46" s="20" t="s">
        <v>349</v>
      </c>
      <c r="K46" s="18" t="n">
        <v>0.72599325</v>
      </c>
      <c r="L46" s="20" t="n">
        <v>0.26170953</v>
      </c>
      <c r="M46" s="18" t="n">
        <v>0.15606413</v>
      </c>
      <c r="N46" s="20" t="n">
        <v>0.08002539</v>
      </c>
      <c r="O46" s="18" t="n">
        <v>0</v>
      </c>
      <c r="P46" s="20" t="n">
        <v>0</v>
      </c>
      <c r="Q46" s="18" t="n">
        <v>28.34304399</v>
      </c>
      <c r="R46" s="20" t="n">
        <v>1.22855447</v>
      </c>
    </row>
    <row r="47" spans="1:18">
      <c r="A47" s="15" t="s">
        <v>389</v>
      </c>
      <c r="B47" s="17" t="n">
        <v>5928</v>
      </c>
      <c r="C47" s="18">
        <f>(5207.0/B47*100)</f>
        <v/>
      </c>
      <c r="D47" s="19" t="n">
        <v>721</v>
      </c>
      <c r="E47" s="18" t="n">
        <v>31.27508518</v>
      </c>
      <c r="F47" s="20" t="n">
        <v>1.84231105</v>
      </c>
      <c r="G47" s="18" t="n">
        <v>41.48621664</v>
      </c>
      <c r="H47" s="20" t="n">
        <v>2.37144452</v>
      </c>
      <c r="I47" s="18" t="s">
        <v>349</v>
      </c>
      <c r="J47" s="20" t="s">
        <v>349</v>
      </c>
      <c r="K47" s="18" t="n">
        <v>0.58076826</v>
      </c>
      <c r="L47" s="20" t="n">
        <v>0.30144698</v>
      </c>
      <c r="M47" s="18" t="n">
        <v>0</v>
      </c>
      <c r="N47" s="20" t="n">
        <v>0</v>
      </c>
      <c r="O47" s="18" t="n">
        <v>0</v>
      </c>
      <c r="P47" s="20" t="n">
        <v>0</v>
      </c>
      <c r="Q47" s="18" t="n">
        <v>26.65792992</v>
      </c>
      <c r="R47" s="20" t="n">
        <v>1.95829479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(10341.0/B50*100)</f>
        <v/>
      </c>
      <c r="D50" s="19" t="n">
        <v>1454</v>
      </c>
      <c r="E50" s="18" t="n">
        <v>61.67991198</v>
      </c>
      <c r="F50" s="20" t="n">
        <v>1.71420885</v>
      </c>
      <c r="G50" s="18" t="n">
        <v>20.37354766</v>
      </c>
      <c r="H50" s="20" t="n">
        <v>1.39455828</v>
      </c>
      <c r="I50" s="18" t="s">
        <v>349</v>
      </c>
      <c r="J50" s="20" t="s">
        <v>349</v>
      </c>
      <c r="K50" s="18" t="n">
        <v>1.41778282</v>
      </c>
      <c r="L50" s="20" t="n">
        <v>0.57589269</v>
      </c>
      <c r="M50" s="18" t="n">
        <v>0.38010932</v>
      </c>
      <c r="N50" s="20" t="n">
        <v>0.19558262</v>
      </c>
      <c r="O50" s="18" t="n">
        <v>0</v>
      </c>
      <c r="P50" s="20" t="n">
        <v>0</v>
      </c>
      <c r="Q50" s="18" t="n">
        <v>16.14864822</v>
      </c>
      <c r="R50" s="20" t="n">
        <v>1.47516759</v>
      </c>
    </row>
    <row r="51" spans="1:18">
      <c r="A51" s="15" t="s">
        <v>393</v>
      </c>
      <c r="B51" s="17" t="n">
        <v>6866</v>
      </c>
      <c r="C51" s="18">
        <f>(6129.0/B51*100)</f>
        <v/>
      </c>
      <c r="D51" s="19" t="n">
        <v>737</v>
      </c>
      <c r="E51" s="18" t="n">
        <v>53.30329733</v>
      </c>
      <c r="F51" s="20" t="n">
        <v>1.88499967</v>
      </c>
      <c r="G51" s="18" t="n">
        <v>21.42887266</v>
      </c>
      <c r="H51" s="20" t="n">
        <v>1.91982837</v>
      </c>
      <c r="I51" s="18" t="s">
        <v>349</v>
      </c>
      <c r="J51" s="20" t="s">
        <v>349</v>
      </c>
      <c r="K51" s="18" t="n">
        <v>0.33229181</v>
      </c>
      <c r="L51" s="20" t="n">
        <v>0.23828346</v>
      </c>
      <c r="M51" s="18" t="n">
        <v>0.15037048</v>
      </c>
      <c r="N51" s="20" t="n">
        <v>0.15502029</v>
      </c>
      <c r="O51" s="18" t="n">
        <v>0</v>
      </c>
      <c r="P51" s="20" t="n">
        <v>0</v>
      </c>
      <c r="Q51" s="18" t="n">
        <v>24.78516773</v>
      </c>
      <c r="R51" s="20" t="n">
        <v>1.61343133</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(4873.0/B53*100)</f>
        <v/>
      </c>
      <c r="D53" s="19" t="n">
        <v>698</v>
      </c>
      <c r="E53" s="18" t="n">
        <v>34.31549506</v>
      </c>
      <c r="F53" s="20" t="n">
        <v>1.80801147</v>
      </c>
      <c r="G53" s="18" t="n">
        <v>40.09814855</v>
      </c>
      <c r="H53" s="20" t="n">
        <v>1.92754937</v>
      </c>
      <c r="I53" s="18" t="s">
        <v>349</v>
      </c>
      <c r="J53" s="20" t="s">
        <v>349</v>
      </c>
      <c r="K53" s="18" t="n">
        <v>0.56242571</v>
      </c>
      <c r="L53" s="20" t="n">
        <v>0.28774444</v>
      </c>
      <c r="M53" s="18" t="n">
        <v>0</v>
      </c>
      <c r="N53" s="20" t="n">
        <v>0</v>
      </c>
      <c r="O53" s="18" t="n">
        <v>0</v>
      </c>
      <c r="P53" s="20" t="n">
        <v>0</v>
      </c>
      <c r="Q53" s="18" t="n">
        <v>25.02393068</v>
      </c>
      <c r="R53" s="20" t="n">
        <v>1.56583819</v>
      </c>
    </row>
    <row r="54" spans="1:18">
      <c r="A54" s="15" t="s">
        <v>396</v>
      </c>
      <c r="B54" s="17" t="n">
        <v>4740</v>
      </c>
      <c r="C54" s="18">
        <f>(3944.0/B54*100)</f>
        <v/>
      </c>
      <c r="D54" s="19" t="n">
        <v>796</v>
      </c>
      <c r="E54" s="18" t="n">
        <v>53.35805667</v>
      </c>
      <c r="F54" s="20" t="n">
        <v>2.12343763</v>
      </c>
      <c r="G54" s="18" t="n">
        <v>5.16691741</v>
      </c>
      <c r="H54" s="20" t="n">
        <v>0.98949845</v>
      </c>
      <c r="I54" s="18" t="s">
        <v>349</v>
      </c>
      <c r="J54" s="20" t="s">
        <v>349</v>
      </c>
      <c r="K54" s="18" t="n">
        <v>4.21966443</v>
      </c>
      <c r="L54" s="20" t="n">
        <v>0.82328138</v>
      </c>
      <c r="M54" s="18" t="n">
        <v>0.65032906</v>
      </c>
      <c r="N54" s="20" t="n">
        <v>0.5747199</v>
      </c>
      <c r="O54" s="18" t="n">
        <v>0</v>
      </c>
      <c r="P54" s="20" t="n">
        <v>0</v>
      </c>
      <c r="Q54" s="18" t="n">
        <v>36.60503243</v>
      </c>
      <c r="R54" s="20" t="n">
        <v>2.09202323</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(6147.0/B67*100)</f>
        <v/>
      </c>
      <c r="D67" s="19" t="n">
        <v>824</v>
      </c>
      <c r="E67" s="18" t="n">
        <v>51.48004332</v>
      </c>
      <c r="F67" s="20" t="n">
        <v>1.86187052</v>
      </c>
      <c r="G67" s="18" t="n">
        <v>20.64922733</v>
      </c>
      <c r="H67" s="20" t="n">
        <v>1.52127034</v>
      </c>
      <c r="I67" s="18" t="s">
        <v>349</v>
      </c>
      <c r="J67" s="20" t="s">
        <v>349</v>
      </c>
      <c r="K67" s="18" t="n">
        <v>0.25836963</v>
      </c>
      <c r="L67" s="20" t="n">
        <v>0.18950323</v>
      </c>
      <c r="M67" s="18" t="n">
        <v>0.21443269</v>
      </c>
      <c r="N67" s="20" t="n">
        <v>0.15138376</v>
      </c>
      <c r="O67" s="18" t="n">
        <v>0</v>
      </c>
      <c r="P67" s="20" t="n">
        <v>0</v>
      </c>
      <c r="Q67" s="18" t="n">
        <v>27.39792702</v>
      </c>
      <c r="R67" s="20" t="n">
        <v>1.58319909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(4737.0/B75*100)</f>
        <v/>
      </c>
      <c r="D75" s="19" t="n">
        <v>638</v>
      </c>
      <c r="E75" s="18" t="n">
        <v>42.24355803</v>
      </c>
      <c r="F75" s="20" t="n">
        <v>2.20714181</v>
      </c>
      <c r="G75" s="18" t="n">
        <v>28.67284984</v>
      </c>
      <c r="H75" s="20" t="n">
        <v>1.85574665</v>
      </c>
      <c r="I75" s="18" t="s">
        <v>349</v>
      </c>
      <c r="J75" s="20" t="s">
        <v>349</v>
      </c>
      <c r="K75" s="18" t="n">
        <v>1.78490585</v>
      </c>
      <c r="L75" s="20" t="n">
        <v>0.5611855100000001</v>
      </c>
      <c r="M75" s="18" t="n">
        <v>0.44764037</v>
      </c>
      <c r="N75" s="20" t="n">
        <v>0.25773503</v>
      </c>
      <c r="O75" s="18" t="n">
        <v>0</v>
      </c>
      <c r="P75" s="20" t="n">
        <v>0</v>
      </c>
      <c r="Q75" s="18" t="n">
        <v>26.8510459</v>
      </c>
      <c r="R75" s="20" t="n">
        <v>2.17027904</v>
      </c>
    </row>
    <row r="76" spans="1:18">
      <c r="A76" s="15" t="s">
        <v>418</v>
      </c>
      <c r="B76" s="17" t="n">
        <v>14167</v>
      </c>
      <c r="C76" s="18">
        <f>(12409.0/B76*100)</f>
        <v/>
      </c>
      <c r="D76" s="19" t="n">
        <v>1758</v>
      </c>
      <c r="E76" s="18" t="n">
        <v>46.06460115</v>
      </c>
      <c r="F76" s="20" t="n">
        <v>1.20532915</v>
      </c>
      <c r="G76" s="18" t="n">
        <v>41.50666984</v>
      </c>
      <c r="H76" s="20" t="n">
        <v>1.35844545</v>
      </c>
      <c r="I76" s="18" t="s">
        <v>349</v>
      </c>
      <c r="J76" s="20" t="s">
        <v>349</v>
      </c>
      <c r="K76" s="18" t="n">
        <v>0.77068846</v>
      </c>
      <c r="L76" s="20" t="n">
        <v>0.24122155</v>
      </c>
      <c r="M76" s="18" t="n">
        <v>0.02916003</v>
      </c>
      <c r="N76" s="20" t="n">
        <v>0.0290883</v>
      </c>
      <c r="O76" s="18" t="n">
        <v>0</v>
      </c>
      <c r="P76" s="20" t="n">
        <v>0</v>
      </c>
      <c r="Q76" s="18" t="n">
        <v>11.6288805</v>
      </c>
      <c r="R76" s="20" t="n">
        <v>0.88203035</v>
      </c>
    </row>
    <row r="77" spans="1:18">
      <c r="A77" s="15" t="s">
        <v>419</v>
      </c>
      <c r="B77" s="17" t="n">
        <v>6062</v>
      </c>
      <c r="C77" s="18">
        <f>(5336.0/B77*100)</f>
        <v/>
      </c>
      <c r="D77" s="19" t="n">
        <v>726</v>
      </c>
      <c r="E77" s="18" t="n">
        <v>30.28827833</v>
      </c>
      <c r="F77" s="20" t="n">
        <v>1.62214323</v>
      </c>
      <c r="G77" s="18" t="n">
        <v>22.81877641</v>
      </c>
      <c r="H77" s="20" t="n">
        <v>1.45612695</v>
      </c>
      <c r="I77" s="18" t="s">
        <v>349</v>
      </c>
      <c r="J77" s="20" t="s">
        <v>349</v>
      </c>
      <c r="K77" s="18" t="n">
        <v>0.69851745</v>
      </c>
      <c r="L77" s="20" t="n">
        <v>0.31908079</v>
      </c>
      <c r="M77" s="18" t="n">
        <v>2.88685713</v>
      </c>
      <c r="N77" s="20" t="n">
        <v>0.55004894</v>
      </c>
      <c r="O77" s="18" t="n">
        <v>0</v>
      </c>
      <c r="P77" s="20" t="n">
        <v>0</v>
      </c>
      <c r="Q77" s="18" t="n">
        <v>43.30757067</v>
      </c>
      <c r="R77" s="20" t="n">
        <v>1.85735164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(6189.0/B11*100)</f>
        <v/>
      </c>
      <c r="D11" s="19" t="n">
        <v>864</v>
      </c>
      <c r="E11" s="18" t="n">
        <v>71.07297174999999</v>
      </c>
      <c r="F11" s="20" t="n">
        <v>1.87263232</v>
      </c>
      <c r="G11" s="18" t="n">
        <v>3.16450876</v>
      </c>
      <c r="H11" s="20" t="n">
        <v>0.67296039</v>
      </c>
      <c r="I11" s="18" t="s">
        <v>349</v>
      </c>
      <c r="J11" s="20" t="s">
        <v>349</v>
      </c>
      <c r="K11" s="18" t="n">
        <v>0.74932933</v>
      </c>
      <c r="L11" s="20" t="n">
        <v>0.42236438</v>
      </c>
      <c r="M11" s="18" t="n">
        <v>0</v>
      </c>
      <c r="N11" s="20" t="n">
        <v>0</v>
      </c>
      <c r="O11" s="18" t="n">
        <v>0</v>
      </c>
      <c r="P11" s="20" t="n">
        <v>0</v>
      </c>
      <c r="Q11" s="18" t="n">
        <v>25.01319016</v>
      </c>
      <c r="R11" s="20" t="n">
        <v>1.86516369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(6701.0/B28*100)</f>
        <v/>
      </c>
      <c r="D28" s="19" t="n">
        <v>867</v>
      </c>
      <c r="E28" s="18" t="n">
        <v>84.58732961</v>
      </c>
      <c r="F28" s="20" t="n">
        <v>1.50903439</v>
      </c>
      <c r="G28" s="18" t="n">
        <v>3.02459864</v>
      </c>
      <c r="H28" s="20" t="n">
        <v>0.62068583</v>
      </c>
      <c r="I28" s="18" t="s">
        <v>349</v>
      </c>
      <c r="J28" s="20" t="s">
        <v>349</v>
      </c>
      <c r="K28" s="18" t="n">
        <v>0.47125546</v>
      </c>
      <c r="L28" s="20" t="n">
        <v>0.25579112</v>
      </c>
      <c r="M28" s="18" t="n">
        <v>0.28838058</v>
      </c>
      <c r="N28" s="20" t="n">
        <v>0.24309976</v>
      </c>
      <c r="O28" s="18" t="n">
        <v>0</v>
      </c>
      <c r="P28" s="20" t="n">
        <v>0</v>
      </c>
      <c r="Q28" s="18" t="n">
        <v>11.62843571</v>
      </c>
      <c r="R28" s="20" t="n">
        <v>1.29720266</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(20691.0/B46*100)</f>
        <v/>
      </c>
      <c r="D46" s="19" t="n">
        <v>2450</v>
      </c>
      <c r="E46" s="18" t="n">
        <v>70.41476754999999</v>
      </c>
      <c r="F46" s="20" t="n">
        <v>1.18359289</v>
      </c>
      <c r="G46" s="18" t="n">
        <v>3.05838676</v>
      </c>
      <c r="H46" s="20" t="n">
        <v>0.50864568</v>
      </c>
      <c r="I46" s="18" t="s">
        <v>349</v>
      </c>
      <c r="J46" s="20" t="s">
        <v>349</v>
      </c>
      <c r="K46" s="18" t="n">
        <v>0.82505448</v>
      </c>
      <c r="L46" s="20" t="n">
        <v>0.28468011</v>
      </c>
      <c r="M46" s="18" t="n">
        <v>0.16678991</v>
      </c>
      <c r="N46" s="20" t="n">
        <v>0.08540627000000001</v>
      </c>
      <c r="O46" s="18" t="n">
        <v>0</v>
      </c>
      <c r="P46" s="20" t="n">
        <v>0</v>
      </c>
      <c r="Q46" s="18" t="n">
        <v>25.53500131</v>
      </c>
      <c r="R46" s="20" t="n">
        <v>1.08762169</v>
      </c>
    </row>
    <row r="47" spans="1:18">
      <c r="A47" s="15" t="s">
        <v>389</v>
      </c>
      <c r="B47" s="17" t="n">
        <v>5928</v>
      </c>
      <c r="C47" s="18">
        <f>(5218.0/B47*100)</f>
        <v/>
      </c>
      <c r="D47" s="19" t="n">
        <v>710</v>
      </c>
      <c r="E47" s="18" t="n">
        <v>71.36493446999999</v>
      </c>
      <c r="F47" s="20" t="n">
        <v>1.72749827</v>
      </c>
      <c r="G47" s="18" t="n">
        <v>6.41559401</v>
      </c>
      <c r="H47" s="20" t="n">
        <v>0.92643608</v>
      </c>
      <c r="I47" s="18" t="s">
        <v>349</v>
      </c>
      <c r="J47" s="20" t="s">
        <v>349</v>
      </c>
      <c r="K47" s="18" t="n">
        <v>0.59007361</v>
      </c>
      <c r="L47" s="20" t="n">
        <v>0.30568664</v>
      </c>
      <c r="M47" s="18" t="n">
        <v>0</v>
      </c>
      <c r="N47" s="20" t="n">
        <v>0</v>
      </c>
      <c r="O47" s="18" t="n">
        <v>0</v>
      </c>
      <c r="P47" s="20" t="n">
        <v>0</v>
      </c>
      <c r="Q47" s="18" t="n">
        <v>21.62939791</v>
      </c>
      <c r="R47" s="20" t="n">
        <v>1.61473076</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(10363.0/B50*100)</f>
        <v/>
      </c>
      <c r="D50" s="19" t="n">
        <v>1432</v>
      </c>
      <c r="E50" s="18" t="n">
        <v>83.67544818</v>
      </c>
      <c r="F50" s="20" t="n">
        <v>1.18589807</v>
      </c>
      <c r="G50" s="18" t="n">
        <v>1.83754463</v>
      </c>
      <c r="H50" s="20" t="n">
        <v>0.43786688</v>
      </c>
      <c r="I50" s="18" t="s">
        <v>349</v>
      </c>
      <c r="J50" s="20" t="s">
        <v>349</v>
      </c>
      <c r="K50" s="18" t="n">
        <v>1.65505362</v>
      </c>
      <c r="L50" s="20" t="n">
        <v>0.60933936</v>
      </c>
      <c r="M50" s="18" t="n">
        <v>0.36574886</v>
      </c>
      <c r="N50" s="20" t="n">
        <v>0.19769681</v>
      </c>
      <c r="O50" s="18" t="n">
        <v>0</v>
      </c>
      <c r="P50" s="20" t="n">
        <v>0</v>
      </c>
      <c r="Q50" s="18" t="n">
        <v>12.46620471</v>
      </c>
      <c r="R50" s="20" t="n">
        <v>1.04991487</v>
      </c>
    </row>
    <row r="51" spans="1:18">
      <c r="A51" s="15" t="s">
        <v>393</v>
      </c>
      <c r="B51" s="17" t="n">
        <v>6866</v>
      </c>
      <c r="C51" s="18">
        <f>(6153.0/B51*100)</f>
        <v/>
      </c>
      <c r="D51" s="19" t="n">
        <v>713</v>
      </c>
      <c r="E51" s="18" t="n">
        <v>82.14945028</v>
      </c>
      <c r="F51" s="20" t="n">
        <v>1.42721482</v>
      </c>
      <c r="G51" s="18" t="n">
        <v>1.92036349</v>
      </c>
      <c r="H51" s="20" t="n">
        <v>0.41490573</v>
      </c>
      <c r="I51" s="18" t="s">
        <v>349</v>
      </c>
      <c r="J51" s="20" t="s">
        <v>349</v>
      </c>
      <c r="K51" s="18" t="n">
        <v>0.44262958</v>
      </c>
      <c r="L51" s="20" t="n">
        <v>0.26115317</v>
      </c>
      <c r="M51" s="18" t="n">
        <v>0.1544088</v>
      </c>
      <c r="N51" s="20" t="n">
        <v>0.15891697</v>
      </c>
      <c r="O51" s="18" t="n">
        <v>0</v>
      </c>
      <c r="P51" s="20" t="n">
        <v>0</v>
      </c>
      <c r="Q51" s="18" t="n">
        <v>15.33314785</v>
      </c>
      <c r="R51" s="20" t="n">
        <v>1.51388125</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(4877.0/B53*100)</f>
        <v/>
      </c>
      <c r="D53" s="19" t="n">
        <v>694</v>
      </c>
      <c r="E53" s="18" t="n">
        <v>78.30862809</v>
      </c>
      <c r="F53" s="20" t="n">
        <v>1.62123375</v>
      </c>
      <c r="G53" s="18" t="n">
        <v>2.32965117</v>
      </c>
      <c r="H53" s="20" t="n">
        <v>0.64891501</v>
      </c>
      <c r="I53" s="18" t="s">
        <v>349</v>
      </c>
      <c r="J53" s="20" t="s">
        <v>349</v>
      </c>
      <c r="K53" s="18" t="n">
        <v>0.56613691</v>
      </c>
      <c r="L53" s="20" t="n">
        <v>0.28939851</v>
      </c>
      <c r="M53" s="18" t="n">
        <v>0</v>
      </c>
      <c r="N53" s="20" t="n">
        <v>0</v>
      </c>
      <c r="O53" s="18" t="n">
        <v>0</v>
      </c>
      <c r="P53" s="20" t="n">
        <v>0</v>
      </c>
      <c r="Q53" s="18" t="n">
        <v>18.79558383</v>
      </c>
      <c r="R53" s="20" t="n">
        <v>1.61045691</v>
      </c>
    </row>
    <row r="54" spans="1:18">
      <c r="A54" s="15" t="s">
        <v>396</v>
      </c>
      <c r="B54" s="17" t="n">
        <v>4740</v>
      </c>
      <c r="C54" s="18">
        <f>(3948.0/B54*100)</f>
        <v/>
      </c>
      <c r="D54" s="19" t="n">
        <v>792</v>
      </c>
      <c r="E54" s="18" t="n">
        <v>69.96108871</v>
      </c>
      <c r="F54" s="20" t="n">
        <v>1.72668587</v>
      </c>
      <c r="G54" s="18" t="n">
        <v>1.00239284</v>
      </c>
      <c r="H54" s="20" t="n">
        <v>0.38450435</v>
      </c>
      <c r="I54" s="18" t="s">
        <v>349</v>
      </c>
      <c r="J54" s="20" t="s">
        <v>349</v>
      </c>
      <c r="K54" s="18" t="n">
        <v>5.22080914</v>
      </c>
      <c r="L54" s="20" t="n">
        <v>0.92898189</v>
      </c>
      <c r="M54" s="18" t="n">
        <v>0.65215942</v>
      </c>
      <c r="N54" s="20" t="n">
        <v>0.57470331</v>
      </c>
      <c r="O54" s="18" t="n">
        <v>0</v>
      </c>
      <c r="P54" s="20" t="n">
        <v>0</v>
      </c>
      <c r="Q54" s="18" t="n">
        <v>23.16354989</v>
      </c>
      <c r="R54" s="20" t="n">
        <v>1.69832031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(6193.0/B67*100)</f>
        <v/>
      </c>
      <c r="D67" s="19" t="n">
        <v>778</v>
      </c>
      <c r="E67" s="18" t="n">
        <v>74.64123019</v>
      </c>
      <c r="F67" s="20" t="n">
        <v>1.7127254</v>
      </c>
      <c r="G67" s="18" t="n">
        <v>1.78430807</v>
      </c>
      <c r="H67" s="20" t="n">
        <v>0.37207479</v>
      </c>
      <c r="I67" s="18" t="s">
        <v>349</v>
      </c>
      <c r="J67" s="20" t="s">
        <v>349</v>
      </c>
      <c r="K67" s="18" t="n">
        <v>0.27436793</v>
      </c>
      <c r="L67" s="20" t="n">
        <v>0.20123796</v>
      </c>
      <c r="M67" s="18" t="n">
        <v>0.2277104</v>
      </c>
      <c r="N67" s="20" t="n">
        <v>0.16106235</v>
      </c>
      <c r="O67" s="18" t="n">
        <v>0</v>
      </c>
      <c r="P67" s="20" t="n">
        <v>0</v>
      </c>
      <c r="Q67" s="18" t="n">
        <v>23.07238341</v>
      </c>
      <c r="R67" s="20" t="n">
        <v>1.71405319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(4755.0/B75*100)</f>
        <v/>
      </c>
      <c r="D75" s="19" t="n">
        <v>620</v>
      </c>
      <c r="E75" s="18" t="n">
        <v>64.08851761</v>
      </c>
      <c r="F75" s="20" t="n">
        <v>1.84140649</v>
      </c>
      <c r="G75" s="18" t="n">
        <v>15.37672491</v>
      </c>
      <c r="H75" s="20" t="n">
        <v>1.50949597</v>
      </c>
      <c r="I75" s="18" t="s">
        <v>349</v>
      </c>
      <c r="J75" s="20" t="s">
        <v>349</v>
      </c>
      <c r="K75" s="18" t="n">
        <v>2.02220284</v>
      </c>
      <c r="L75" s="20" t="n">
        <v>0.60478129</v>
      </c>
      <c r="M75" s="18" t="n">
        <v>0.3189374</v>
      </c>
      <c r="N75" s="20" t="n">
        <v>0.2236424</v>
      </c>
      <c r="O75" s="18" t="n">
        <v>0</v>
      </c>
      <c r="P75" s="20" t="n">
        <v>0</v>
      </c>
      <c r="Q75" s="18" t="n">
        <v>18.19361724</v>
      </c>
      <c r="R75" s="20" t="n">
        <v>1.56171026</v>
      </c>
    </row>
    <row r="76" spans="1:18">
      <c r="A76" s="15" t="s">
        <v>418</v>
      </c>
      <c r="B76" s="17" t="n">
        <v>14167</v>
      </c>
      <c r="C76" s="18">
        <f>(12415.0/B76*100)</f>
        <v/>
      </c>
      <c r="D76" s="19" t="n">
        <v>1752</v>
      </c>
      <c r="E76" s="18" t="n">
        <v>84.47995381</v>
      </c>
      <c r="F76" s="20" t="n">
        <v>1.01695085</v>
      </c>
      <c r="G76" s="18" t="n">
        <v>3.51453323</v>
      </c>
      <c r="H76" s="20" t="n">
        <v>0.47349322</v>
      </c>
      <c r="I76" s="18" t="s">
        <v>349</v>
      </c>
      <c r="J76" s="20" t="s">
        <v>349</v>
      </c>
      <c r="K76" s="18" t="n">
        <v>0.8856886</v>
      </c>
      <c r="L76" s="20" t="n">
        <v>0.27795581</v>
      </c>
      <c r="M76" s="18" t="n">
        <v>0.0292084</v>
      </c>
      <c r="N76" s="20" t="n">
        <v>0.0291427</v>
      </c>
      <c r="O76" s="18" t="n">
        <v>0</v>
      </c>
      <c r="P76" s="20" t="n">
        <v>0</v>
      </c>
      <c r="Q76" s="18" t="n">
        <v>11.09061597</v>
      </c>
      <c r="R76" s="20" t="n">
        <v>0.8942725500000001</v>
      </c>
    </row>
    <row r="77" spans="1:18">
      <c r="A77" s="15" t="s">
        <v>419</v>
      </c>
      <c r="B77" s="17" t="n">
        <v>6062</v>
      </c>
      <c r="C77" s="18">
        <f>(5340.0/B77*100)</f>
        <v/>
      </c>
      <c r="D77" s="19" t="n">
        <v>722</v>
      </c>
      <c r="E77" s="18" t="n">
        <v>64.52992931999999</v>
      </c>
      <c r="F77" s="20" t="n">
        <v>2.10568205</v>
      </c>
      <c r="G77" s="18" t="n">
        <v>3.5108463</v>
      </c>
      <c r="H77" s="20" t="n">
        <v>0.70977256</v>
      </c>
      <c r="I77" s="18" t="s">
        <v>349</v>
      </c>
      <c r="J77" s="20" t="s">
        <v>349</v>
      </c>
      <c r="K77" s="18" t="n">
        <v>0.85288071</v>
      </c>
      <c r="L77" s="20" t="n">
        <v>0.35349482</v>
      </c>
      <c r="M77" s="18" t="n">
        <v>2.90084538</v>
      </c>
      <c r="N77" s="20" t="n">
        <v>0.55270487</v>
      </c>
      <c r="O77" s="18" t="n">
        <v>0</v>
      </c>
      <c r="P77" s="20" t="n">
        <v>0</v>
      </c>
      <c r="Q77" s="18" t="n">
        <v>28.20549828</v>
      </c>
      <c r="R77" s="20" t="n">
        <v>1.75015075</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(6181.0/B11*100)</f>
        <v/>
      </c>
      <c r="D11" s="19" t="n">
        <v>872</v>
      </c>
      <c r="E11" s="18" t="n">
        <v>44.81453144</v>
      </c>
      <c r="F11" s="20" t="n">
        <v>2.06976097</v>
      </c>
      <c r="G11" s="18" t="n">
        <v>46.27128712</v>
      </c>
      <c r="H11" s="20" t="n">
        <v>2.18991619</v>
      </c>
      <c r="I11" s="18" t="s">
        <v>349</v>
      </c>
      <c r="J11" s="20" t="s">
        <v>349</v>
      </c>
      <c r="K11" s="18" t="n">
        <v>0.87358276</v>
      </c>
      <c r="L11" s="20" t="n">
        <v>0.43011132</v>
      </c>
      <c r="M11" s="18" t="n">
        <v>0</v>
      </c>
      <c r="N11" s="20" t="n">
        <v>0</v>
      </c>
      <c r="O11" s="18" t="n">
        <v>0</v>
      </c>
      <c r="P11" s="20" t="n">
        <v>0</v>
      </c>
      <c r="Q11" s="18" t="n">
        <v>8.04059867</v>
      </c>
      <c r="R11" s="20" t="n">
        <v>1.14155256</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(6687.0/B28*100)</f>
        <v/>
      </c>
      <c r="D28" s="19" t="n">
        <v>881</v>
      </c>
      <c r="E28" s="18" t="n">
        <v>59.36923115</v>
      </c>
      <c r="F28" s="20" t="n">
        <v>1.91907071</v>
      </c>
      <c r="G28" s="18" t="n">
        <v>34.96031874</v>
      </c>
      <c r="H28" s="20" t="n">
        <v>1.85103615</v>
      </c>
      <c r="I28" s="18" t="s">
        <v>349</v>
      </c>
      <c r="J28" s="20" t="s">
        <v>349</v>
      </c>
      <c r="K28" s="18" t="n">
        <v>0.73373623</v>
      </c>
      <c r="L28" s="20" t="n">
        <v>0.29837407</v>
      </c>
      <c r="M28" s="18" t="n">
        <v>0</v>
      </c>
      <c r="N28" s="20" t="n">
        <v>0</v>
      </c>
      <c r="O28" s="18" t="n">
        <v>0</v>
      </c>
      <c r="P28" s="20" t="n">
        <v>0</v>
      </c>
      <c r="Q28" s="18" t="n">
        <v>4.93671388</v>
      </c>
      <c r="R28" s="20" t="n">
        <v>0.79637037</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(20609.0/B46*100)</f>
        <v/>
      </c>
      <c r="D46" s="19" t="n">
        <v>2532</v>
      </c>
      <c r="E46" s="18" t="n">
        <v>56.00704342</v>
      </c>
      <c r="F46" s="20" t="n">
        <v>1.59606342</v>
      </c>
      <c r="G46" s="18" t="n">
        <v>29.62493539</v>
      </c>
      <c r="H46" s="20" t="n">
        <v>1.51827188</v>
      </c>
      <c r="I46" s="18" t="s">
        <v>349</v>
      </c>
      <c r="J46" s="20" t="s">
        <v>349</v>
      </c>
      <c r="K46" s="18" t="n">
        <v>1.02342911</v>
      </c>
      <c r="L46" s="20" t="n">
        <v>0.29881458</v>
      </c>
      <c r="M46" s="18" t="n">
        <v>0</v>
      </c>
      <c r="N46" s="20" t="n">
        <v>0</v>
      </c>
      <c r="O46" s="18" t="n">
        <v>0</v>
      </c>
      <c r="P46" s="20" t="n">
        <v>0</v>
      </c>
      <c r="Q46" s="18" t="n">
        <v>13.34459207</v>
      </c>
      <c r="R46" s="20" t="n">
        <v>0.96926736</v>
      </c>
    </row>
    <row r="47" spans="1:18">
      <c r="A47" s="15" t="s">
        <v>389</v>
      </c>
      <c r="B47" s="17" t="n">
        <v>5928</v>
      </c>
      <c r="C47" s="18">
        <f>(5213.0/B47*100)</f>
        <v/>
      </c>
      <c r="D47" s="19" t="n">
        <v>715</v>
      </c>
      <c r="E47" s="18" t="n">
        <v>46.02349178</v>
      </c>
      <c r="F47" s="20" t="n">
        <v>2.06080375</v>
      </c>
      <c r="G47" s="18" t="n">
        <v>45.16572356</v>
      </c>
      <c r="H47" s="20" t="n">
        <v>2.31390691</v>
      </c>
      <c r="I47" s="18" t="s">
        <v>349</v>
      </c>
      <c r="J47" s="20" t="s">
        <v>349</v>
      </c>
      <c r="K47" s="18" t="n">
        <v>0.58611136</v>
      </c>
      <c r="L47" s="20" t="n">
        <v>0.30413773</v>
      </c>
      <c r="M47" s="18" t="n">
        <v>0</v>
      </c>
      <c r="N47" s="20" t="n">
        <v>0</v>
      </c>
      <c r="O47" s="18" t="n">
        <v>0</v>
      </c>
      <c r="P47" s="20" t="n">
        <v>0</v>
      </c>
      <c r="Q47" s="18" t="n">
        <v>8.224673299999999</v>
      </c>
      <c r="R47" s="20" t="n">
        <v>1.28360967</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(10353.0/B50*100)</f>
        <v/>
      </c>
      <c r="D50" s="19" t="n">
        <v>1442</v>
      </c>
      <c r="E50" s="18" t="n">
        <v>59.58846249</v>
      </c>
      <c r="F50" s="20" t="n">
        <v>1.6062224</v>
      </c>
      <c r="G50" s="18" t="n">
        <v>31.25029588</v>
      </c>
      <c r="H50" s="20" t="n">
        <v>1.62974118</v>
      </c>
      <c r="I50" s="18" t="s">
        <v>349</v>
      </c>
      <c r="J50" s="20" t="s">
        <v>349</v>
      </c>
      <c r="K50" s="18" t="n">
        <v>2.00321027</v>
      </c>
      <c r="L50" s="20" t="n">
        <v>0.63626768</v>
      </c>
      <c r="M50" s="18" t="n">
        <v>0</v>
      </c>
      <c r="N50" s="20" t="n">
        <v>0</v>
      </c>
      <c r="O50" s="18" t="n">
        <v>0</v>
      </c>
      <c r="P50" s="20" t="n">
        <v>0</v>
      </c>
      <c r="Q50" s="18" t="n">
        <v>7.15803136</v>
      </c>
      <c r="R50" s="20" t="n">
        <v>0.99502514</v>
      </c>
    </row>
    <row r="51" spans="1:18">
      <c r="A51" s="15" t="s">
        <v>393</v>
      </c>
      <c r="B51" s="17" t="n">
        <v>6866</v>
      </c>
      <c r="C51" s="18">
        <f>(6140.0/B51*100)</f>
        <v/>
      </c>
      <c r="D51" s="19" t="n">
        <v>726</v>
      </c>
      <c r="E51" s="18" t="n">
        <v>53.75088335</v>
      </c>
      <c r="F51" s="20" t="n">
        <v>2.0061108</v>
      </c>
      <c r="G51" s="18" t="n">
        <v>35.11004807</v>
      </c>
      <c r="H51" s="20" t="n">
        <v>1.84098775</v>
      </c>
      <c r="I51" s="18" t="s">
        <v>349</v>
      </c>
      <c r="J51" s="20" t="s">
        <v>349</v>
      </c>
      <c r="K51" s="18" t="n">
        <v>0.50468508</v>
      </c>
      <c r="L51" s="20" t="n">
        <v>0.26679777</v>
      </c>
      <c r="M51" s="18" t="n">
        <v>0</v>
      </c>
      <c r="N51" s="20" t="n">
        <v>0</v>
      </c>
      <c r="O51" s="18" t="n">
        <v>0</v>
      </c>
      <c r="P51" s="20" t="n">
        <v>0</v>
      </c>
      <c r="Q51" s="18" t="n">
        <v>10.63438351</v>
      </c>
      <c r="R51" s="20" t="n">
        <v>1.26128925</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(4875.0/B53*100)</f>
        <v/>
      </c>
      <c r="D53" s="19" t="n">
        <v>696</v>
      </c>
      <c r="E53" s="18" t="n">
        <v>47.79694459</v>
      </c>
      <c r="F53" s="20" t="n">
        <v>1.85564842</v>
      </c>
      <c r="G53" s="18" t="n">
        <v>42.45786946</v>
      </c>
      <c r="H53" s="20" t="n">
        <v>1.95720264</v>
      </c>
      <c r="I53" s="18" t="s">
        <v>349</v>
      </c>
      <c r="J53" s="20" t="s">
        <v>349</v>
      </c>
      <c r="K53" s="18" t="n">
        <v>0.7410675</v>
      </c>
      <c r="L53" s="20" t="n">
        <v>0.33461982</v>
      </c>
      <c r="M53" s="18" t="n">
        <v>0</v>
      </c>
      <c r="N53" s="20" t="n">
        <v>0</v>
      </c>
      <c r="O53" s="18" t="n">
        <v>0</v>
      </c>
      <c r="P53" s="20" t="n">
        <v>0</v>
      </c>
      <c r="Q53" s="18" t="n">
        <v>9.004118460000001</v>
      </c>
      <c r="R53" s="20" t="n">
        <v>1.13071624</v>
      </c>
    </row>
    <row r="54" spans="1:18">
      <c r="A54" s="15" t="s">
        <v>396</v>
      </c>
      <c r="B54" s="17" t="n">
        <v>4740</v>
      </c>
      <c r="C54" s="18">
        <f>(3946.0/B54*100)</f>
        <v/>
      </c>
      <c r="D54" s="19" t="n">
        <v>794</v>
      </c>
      <c r="E54" s="18" t="n">
        <v>66.81756346</v>
      </c>
      <c r="F54" s="20" t="n">
        <v>2.03258179</v>
      </c>
      <c r="G54" s="18" t="n">
        <v>12.66906751</v>
      </c>
      <c r="H54" s="20" t="n">
        <v>1.40403896</v>
      </c>
      <c r="I54" s="18" t="s">
        <v>349</v>
      </c>
      <c r="J54" s="20" t="s">
        <v>349</v>
      </c>
      <c r="K54" s="18" t="n">
        <v>6.58224928</v>
      </c>
      <c r="L54" s="20" t="n">
        <v>0.97959471</v>
      </c>
      <c r="M54" s="18" t="n">
        <v>0</v>
      </c>
      <c r="N54" s="20" t="n">
        <v>0</v>
      </c>
      <c r="O54" s="18" t="n">
        <v>0</v>
      </c>
      <c r="P54" s="20" t="n">
        <v>0</v>
      </c>
      <c r="Q54" s="18" t="n">
        <v>13.93111975</v>
      </c>
      <c r="R54" s="20" t="n">
        <v>1.62795058</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(6172.0/B67*100)</f>
        <v/>
      </c>
      <c r="D67" s="19" t="n">
        <v>799</v>
      </c>
      <c r="E67" s="18" t="n">
        <v>51.50309109</v>
      </c>
      <c r="F67" s="20" t="n">
        <v>1.86364805</v>
      </c>
      <c r="G67" s="18" t="n">
        <v>41.14443959</v>
      </c>
      <c r="H67" s="20" t="n">
        <v>1.85798229</v>
      </c>
      <c r="I67" s="18" t="s">
        <v>349</v>
      </c>
      <c r="J67" s="20" t="s">
        <v>349</v>
      </c>
      <c r="K67" s="18" t="n">
        <v>0.26702343</v>
      </c>
      <c r="L67" s="20" t="n">
        <v>0.19586771</v>
      </c>
      <c r="M67" s="18" t="n">
        <v>0</v>
      </c>
      <c r="N67" s="20" t="n">
        <v>0</v>
      </c>
      <c r="O67" s="18" t="n">
        <v>0</v>
      </c>
      <c r="P67" s="20" t="n">
        <v>0</v>
      </c>
      <c r="Q67" s="18" t="n">
        <v>7.0854459</v>
      </c>
      <c r="R67" s="20" t="n">
        <v>0.93633741</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(4746.0/B75*100)</f>
        <v/>
      </c>
      <c r="D75" s="19" t="n">
        <v>629</v>
      </c>
      <c r="E75" s="18" t="n">
        <v>67.68411836999999</v>
      </c>
      <c r="F75" s="20" t="n">
        <v>1.7109433</v>
      </c>
      <c r="G75" s="18" t="n">
        <v>21.57369471</v>
      </c>
      <c r="H75" s="20" t="n">
        <v>1.74618143</v>
      </c>
      <c r="I75" s="18" t="s">
        <v>349</v>
      </c>
      <c r="J75" s="20" t="s">
        <v>349</v>
      </c>
      <c r="K75" s="18" t="n">
        <v>2.39499076</v>
      </c>
      <c r="L75" s="20" t="n">
        <v>0.65656568</v>
      </c>
      <c r="M75" s="18" t="n">
        <v>0</v>
      </c>
      <c r="N75" s="20" t="n">
        <v>0</v>
      </c>
      <c r="O75" s="18" t="n">
        <v>0</v>
      </c>
      <c r="P75" s="20" t="n">
        <v>0</v>
      </c>
      <c r="Q75" s="18" t="n">
        <v>8.347196159999999</v>
      </c>
      <c r="R75" s="20" t="n">
        <v>1.09900282</v>
      </c>
    </row>
    <row r="76" spans="1:18">
      <c r="A76" s="15" t="s">
        <v>418</v>
      </c>
      <c r="B76" s="17" t="n">
        <v>14167</v>
      </c>
      <c r="C76" s="18">
        <f>(12414.0/B76*100)</f>
        <v/>
      </c>
      <c r="D76" s="19" t="n">
        <v>1753</v>
      </c>
      <c r="E76" s="18" t="n">
        <v>47.75313448</v>
      </c>
      <c r="F76" s="20" t="n">
        <v>1.66068625</v>
      </c>
      <c r="G76" s="18" t="n">
        <v>45.06254238</v>
      </c>
      <c r="H76" s="20" t="n">
        <v>1.56880138</v>
      </c>
      <c r="I76" s="18" t="s">
        <v>349</v>
      </c>
      <c r="J76" s="20" t="s">
        <v>349</v>
      </c>
      <c r="K76" s="18" t="n">
        <v>1.23909955</v>
      </c>
      <c r="L76" s="20" t="n">
        <v>0.34612314</v>
      </c>
      <c r="M76" s="18" t="n">
        <v>0</v>
      </c>
      <c r="N76" s="20" t="n">
        <v>0</v>
      </c>
      <c r="O76" s="18" t="n">
        <v>0</v>
      </c>
      <c r="P76" s="20" t="n">
        <v>0</v>
      </c>
      <c r="Q76" s="18" t="n">
        <v>5.94522359</v>
      </c>
      <c r="R76" s="20" t="n">
        <v>0.73999859</v>
      </c>
    </row>
    <row r="77" spans="1:18">
      <c r="A77" s="15" t="s">
        <v>419</v>
      </c>
      <c r="B77" s="17" t="n">
        <v>6062</v>
      </c>
      <c r="C77" s="18">
        <f>(5338.0/B77*100)</f>
        <v/>
      </c>
      <c r="D77" s="19" t="n">
        <v>724</v>
      </c>
      <c r="E77" s="18" t="n">
        <v>50.07098547</v>
      </c>
      <c r="F77" s="20" t="n">
        <v>1.97230913</v>
      </c>
      <c r="G77" s="18" t="n">
        <v>39.97979759</v>
      </c>
      <c r="H77" s="20" t="n">
        <v>1.96553436</v>
      </c>
      <c r="I77" s="18" t="s">
        <v>349</v>
      </c>
      <c r="J77" s="20" t="s">
        <v>349</v>
      </c>
      <c r="K77" s="18" t="n">
        <v>0.85108969</v>
      </c>
      <c r="L77" s="20" t="n">
        <v>0.35279568</v>
      </c>
      <c r="M77" s="18" t="n">
        <v>0</v>
      </c>
      <c r="N77" s="20" t="n">
        <v>0</v>
      </c>
      <c r="O77" s="18" t="n">
        <v>0</v>
      </c>
      <c r="P77" s="20" t="n">
        <v>0</v>
      </c>
      <c r="Q77" s="18" t="n">
        <v>9.098127249999999</v>
      </c>
      <c r="R77" s="20" t="n">
        <v>1.12106899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528</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7053</v>
      </c>
      <c r="C11" s="18">
        <f>(6190.0/B11*100)</f>
        <v/>
      </c>
      <c r="D11" s="19" t="n">
        <v>863</v>
      </c>
      <c r="E11" s="18" t="n">
        <v>25.29618066</v>
      </c>
      <c r="F11" s="20" t="n">
        <v>1.86694347</v>
      </c>
      <c r="G11" s="18" t="n">
        <v>22.79448936</v>
      </c>
      <c r="H11" s="20" t="n">
        <v>1.58320404</v>
      </c>
      <c r="I11" s="18" t="n">
        <v>29.09498985</v>
      </c>
      <c r="J11" s="20" t="n">
        <v>1.71291062</v>
      </c>
      <c r="K11" s="18" t="s">
        <v>349</v>
      </c>
      <c r="L11" s="20" t="s">
        <v>349</v>
      </c>
      <c r="M11" s="18" t="n">
        <v>1.09576566</v>
      </c>
      <c r="N11" s="20" t="n">
        <v>0.45907567</v>
      </c>
      <c r="O11" s="18" t="n">
        <v>0</v>
      </c>
      <c r="P11" s="20" t="n">
        <v>0</v>
      </c>
      <c r="Q11" s="18" t="n">
        <v>0</v>
      </c>
      <c r="R11" s="20" t="n">
        <v>0</v>
      </c>
      <c r="S11" s="18" t="n">
        <v>21.71857447</v>
      </c>
      <c r="T11" s="20" t="n">
        <v>2.04025078</v>
      </c>
    </row>
    <row r="12" spans="1:2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7568</v>
      </c>
      <c r="C28" s="18">
        <f>(6701.0/B28*100)</f>
        <v/>
      </c>
      <c r="D28" s="19" t="n">
        <v>867</v>
      </c>
      <c r="E28" s="18" t="n">
        <v>45.13209576</v>
      </c>
      <c r="F28" s="20" t="n">
        <v>1.85178146</v>
      </c>
      <c r="G28" s="18" t="n">
        <v>25.01706782</v>
      </c>
      <c r="H28" s="20" t="n">
        <v>1.67239866</v>
      </c>
      <c r="I28" s="18" t="n">
        <v>21.09585662</v>
      </c>
      <c r="J28" s="20" t="n">
        <v>1.54744663</v>
      </c>
      <c r="K28" s="18" t="s">
        <v>349</v>
      </c>
      <c r="L28" s="20" t="s">
        <v>349</v>
      </c>
      <c r="M28" s="18" t="n">
        <v>0.86161175</v>
      </c>
      <c r="N28" s="20" t="n">
        <v>0.35921509</v>
      </c>
      <c r="O28" s="18" t="n">
        <v>0.28838058</v>
      </c>
      <c r="P28" s="20" t="n">
        <v>0.24309976</v>
      </c>
      <c r="Q28" s="18" t="n">
        <v>0</v>
      </c>
      <c r="R28" s="20" t="n">
        <v>0</v>
      </c>
      <c r="S28" s="18" t="n">
        <v>7.60498748</v>
      </c>
      <c r="T28" s="20" t="n">
        <v>0.89875312</v>
      </c>
    </row>
    <row r="29" spans="1:2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row>
    <row r="46" spans="1:20">
      <c r="A46" s="15" t="s">
        <v>388</v>
      </c>
      <c r="B46" s="17" t="n">
        <v>23141</v>
      </c>
      <c r="C46" s="18">
        <f>(20691.0/B46*100)</f>
        <v/>
      </c>
      <c r="D46" s="19" t="n">
        <v>2450</v>
      </c>
      <c r="E46" s="18" t="n">
        <v>32.83183791</v>
      </c>
      <c r="F46" s="20" t="n">
        <v>1.32821799</v>
      </c>
      <c r="G46" s="18" t="n">
        <v>21.92289327</v>
      </c>
      <c r="H46" s="20" t="n">
        <v>1.34139054</v>
      </c>
      <c r="I46" s="18" t="n">
        <v>19.27641659</v>
      </c>
      <c r="J46" s="20" t="n">
        <v>1.25231008</v>
      </c>
      <c r="K46" s="18" t="s">
        <v>349</v>
      </c>
      <c r="L46" s="20" t="s">
        <v>349</v>
      </c>
      <c r="M46" s="18" t="n">
        <v>1.18864876</v>
      </c>
      <c r="N46" s="20" t="n">
        <v>0.34636738</v>
      </c>
      <c r="O46" s="18" t="n">
        <v>0.16683439</v>
      </c>
      <c r="P46" s="20" t="n">
        <v>0.08542858</v>
      </c>
      <c r="Q46" s="18" t="n">
        <v>0</v>
      </c>
      <c r="R46" s="20" t="n">
        <v>0</v>
      </c>
      <c r="S46" s="18" t="n">
        <v>24.61336909</v>
      </c>
      <c r="T46" s="20" t="n">
        <v>1.34418687</v>
      </c>
    </row>
    <row r="47" spans="1:20">
      <c r="A47" s="15" t="s">
        <v>389</v>
      </c>
      <c r="B47" s="17" t="n">
        <v>5928</v>
      </c>
      <c r="C47" s="18">
        <f>(5217.0/B47*100)</f>
        <v/>
      </c>
      <c r="D47" s="19" t="n">
        <v>711</v>
      </c>
      <c r="E47" s="18" t="n">
        <v>22.19778992</v>
      </c>
      <c r="F47" s="20" t="n">
        <v>1.55521359</v>
      </c>
      <c r="G47" s="18" t="n">
        <v>20.00591827</v>
      </c>
      <c r="H47" s="20" t="n">
        <v>1.63612531</v>
      </c>
      <c r="I47" s="18" t="n">
        <v>31.34076352</v>
      </c>
      <c r="J47" s="20" t="n">
        <v>2.08682887</v>
      </c>
      <c r="K47" s="18" t="s">
        <v>349</v>
      </c>
      <c r="L47" s="20" t="s">
        <v>349</v>
      </c>
      <c r="M47" s="18" t="n">
        <v>0.58923832</v>
      </c>
      <c r="N47" s="20" t="n">
        <v>0.3052827</v>
      </c>
      <c r="O47" s="18" t="n">
        <v>0</v>
      </c>
      <c r="P47" s="20" t="n">
        <v>0</v>
      </c>
      <c r="Q47" s="18" t="n">
        <v>0</v>
      </c>
      <c r="R47" s="20" t="n">
        <v>0</v>
      </c>
      <c r="S47" s="18" t="n">
        <v>25.86628997</v>
      </c>
      <c r="T47" s="20" t="n">
        <v>1.93188852</v>
      </c>
    </row>
    <row r="48" spans="1:2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row>
    <row r="50" spans="1:20">
      <c r="A50" s="15" t="s">
        <v>392</v>
      </c>
      <c r="B50" s="17" t="n">
        <v>11795</v>
      </c>
      <c r="C50" s="18">
        <f>(10362.0/B50*100)</f>
        <v/>
      </c>
      <c r="D50" s="19" t="n">
        <v>1433</v>
      </c>
      <c r="E50" s="18" t="n">
        <v>36.24126385</v>
      </c>
      <c r="F50" s="20" t="n">
        <v>1.72503589</v>
      </c>
      <c r="G50" s="18" t="n">
        <v>28.64605058</v>
      </c>
      <c r="H50" s="20" t="n">
        <v>1.48072643</v>
      </c>
      <c r="I50" s="18" t="n">
        <v>24.17999459</v>
      </c>
      <c r="J50" s="20" t="n">
        <v>1.59392377</v>
      </c>
      <c r="K50" s="18" t="s">
        <v>349</v>
      </c>
      <c r="L50" s="20" t="s">
        <v>349</v>
      </c>
      <c r="M50" s="18" t="n">
        <v>2.35444577</v>
      </c>
      <c r="N50" s="20" t="n">
        <v>0.71409159</v>
      </c>
      <c r="O50" s="18" t="n">
        <v>0.36525312</v>
      </c>
      <c r="P50" s="20" t="n">
        <v>0.19742973</v>
      </c>
      <c r="Q50" s="18" t="n">
        <v>0</v>
      </c>
      <c r="R50" s="20" t="n">
        <v>0</v>
      </c>
      <c r="S50" s="18" t="n">
        <v>8.21299209</v>
      </c>
      <c r="T50" s="20" t="n">
        <v>0.96424677</v>
      </c>
    </row>
    <row r="51" spans="1:20">
      <c r="A51" s="15" t="s">
        <v>393</v>
      </c>
      <c r="B51" s="17" t="n">
        <v>6866</v>
      </c>
      <c r="C51" s="18">
        <f>(6153.0/B51*100)</f>
        <v/>
      </c>
      <c r="D51" s="19" t="n">
        <v>713</v>
      </c>
      <c r="E51" s="18" t="n">
        <v>38.28101767</v>
      </c>
      <c r="F51" s="20" t="n">
        <v>1.95514586</v>
      </c>
      <c r="G51" s="18" t="n">
        <v>28.36603175</v>
      </c>
      <c r="H51" s="20" t="n">
        <v>1.9203884</v>
      </c>
      <c r="I51" s="18" t="n">
        <v>18.96061778</v>
      </c>
      <c r="J51" s="20" t="n">
        <v>1.6049411</v>
      </c>
      <c r="K51" s="18" t="s">
        <v>349</v>
      </c>
      <c r="L51" s="20" t="s">
        <v>349</v>
      </c>
      <c r="M51" s="18" t="n">
        <v>0.5123678699999999</v>
      </c>
      <c r="N51" s="20" t="n">
        <v>0.27085445</v>
      </c>
      <c r="O51" s="18" t="n">
        <v>0.1544088</v>
      </c>
      <c r="P51" s="20" t="n">
        <v>0.15891697</v>
      </c>
      <c r="Q51" s="18" t="n">
        <v>0</v>
      </c>
      <c r="R51" s="20" t="n">
        <v>0</v>
      </c>
      <c r="S51" s="18" t="n">
        <v>13.72555613</v>
      </c>
      <c r="T51" s="20" t="n">
        <v>1.20574162</v>
      </c>
    </row>
    <row r="52" spans="1:2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5571</v>
      </c>
      <c r="C53" s="18">
        <f>(4875.0/B53*100)</f>
        <v/>
      </c>
      <c r="D53" s="19" t="n">
        <v>696</v>
      </c>
      <c r="E53" s="18" t="n">
        <v>27.3121232</v>
      </c>
      <c r="F53" s="20" t="n">
        <v>1.708607</v>
      </c>
      <c r="G53" s="18" t="n">
        <v>20.46769581</v>
      </c>
      <c r="H53" s="20" t="n">
        <v>1.768073</v>
      </c>
      <c r="I53" s="18" t="n">
        <v>29.83380818</v>
      </c>
      <c r="J53" s="20" t="n">
        <v>1.96005128</v>
      </c>
      <c r="K53" s="18" t="s">
        <v>349</v>
      </c>
      <c r="L53" s="20" t="s">
        <v>349</v>
      </c>
      <c r="M53" s="18" t="n">
        <v>0.7410675</v>
      </c>
      <c r="N53" s="20" t="n">
        <v>0.33461982</v>
      </c>
      <c r="O53" s="18" t="n">
        <v>0</v>
      </c>
      <c r="P53" s="20" t="n">
        <v>0</v>
      </c>
      <c r="Q53" s="18" t="n">
        <v>0</v>
      </c>
      <c r="R53" s="20" t="n">
        <v>0</v>
      </c>
      <c r="S53" s="18" t="n">
        <v>21.64530531</v>
      </c>
      <c r="T53" s="20" t="n">
        <v>1.62397961</v>
      </c>
    </row>
    <row r="54" spans="1:20">
      <c r="A54" s="15" t="s">
        <v>396</v>
      </c>
      <c r="B54" s="17" t="n">
        <v>4740</v>
      </c>
      <c r="C54" s="18">
        <f>(3948.0/B54*100)</f>
        <v/>
      </c>
      <c r="D54" s="19" t="n">
        <v>792</v>
      </c>
      <c r="E54" s="18" t="n">
        <v>38.10880347</v>
      </c>
      <c r="F54" s="20" t="n">
        <v>2.08882193</v>
      </c>
      <c r="G54" s="18" t="n">
        <v>12.81913219</v>
      </c>
      <c r="H54" s="20" t="n">
        <v>1.03374921</v>
      </c>
      <c r="I54" s="18" t="n">
        <v>13.38508296</v>
      </c>
      <c r="J54" s="20" t="n">
        <v>1.47133817</v>
      </c>
      <c r="K54" s="18" t="s">
        <v>349</v>
      </c>
      <c r="L54" s="20" t="s">
        <v>349</v>
      </c>
      <c r="M54" s="18" t="n">
        <v>8.5819989</v>
      </c>
      <c r="N54" s="20" t="n">
        <v>1.06554219</v>
      </c>
      <c r="O54" s="18" t="n">
        <v>0.65215942</v>
      </c>
      <c r="P54" s="20" t="n">
        <v>0.57470331</v>
      </c>
      <c r="Q54" s="18" t="n">
        <v>0</v>
      </c>
      <c r="R54" s="20" t="n">
        <v>0</v>
      </c>
      <c r="S54" s="18" t="n">
        <v>26.45282305</v>
      </c>
      <c r="T54" s="20" t="n">
        <v>1.96735755</v>
      </c>
    </row>
    <row r="55" spans="1:20">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row>
    <row r="59" spans="1:20">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row>
    <row r="60" spans="1:20">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row>
    <row r="61" spans="1:2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row>
    <row r="64" spans="1:20">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row>
    <row r="66" spans="1:2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6971</v>
      </c>
      <c r="C67" s="18">
        <f>(6193.0/B67*100)</f>
        <v/>
      </c>
      <c r="D67" s="19" t="n">
        <v>778</v>
      </c>
      <c r="E67" s="18" t="n">
        <v>36.07303631</v>
      </c>
      <c r="F67" s="20" t="n">
        <v>1.81228852</v>
      </c>
      <c r="G67" s="18" t="n">
        <v>20.45855734</v>
      </c>
      <c r="H67" s="20" t="n">
        <v>1.5199679</v>
      </c>
      <c r="I67" s="18" t="n">
        <v>21.57296067</v>
      </c>
      <c r="J67" s="20" t="n">
        <v>1.69579582</v>
      </c>
      <c r="K67" s="18" t="s">
        <v>349</v>
      </c>
      <c r="L67" s="20" t="s">
        <v>349</v>
      </c>
      <c r="M67" s="18" t="n">
        <v>0.27436793</v>
      </c>
      <c r="N67" s="20" t="n">
        <v>0.20123796</v>
      </c>
      <c r="O67" s="18" t="n">
        <v>0.2277104</v>
      </c>
      <c r="P67" s="20" t="n">
        <v>0.16106235</v>
      </c>
      <c r="Q67" s="18" t="n">
        <v>0</v>
      </c>
      <c r="R67" s="20" t="n">
        <v>0</v>
      </c>
      <c r="S67" s="18" t="n">
        <v>21.39336735</v>
      </c>
      <c r="T67" s="20" t="n">
        <v>1.37468126</v>
      </c>
    </row>
    <row r="68" spans="1:2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row>
    <row r="70" spans="1:2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row>
    <row r="75" spans="1:20">
      <c r="A75" s="15" t="s">
        <v>417</v>
      </c>
      <c r="B75" s="17" t="n">
        <v>5375</v>
      </c>
      <c r="C75" s="18">
        <f>(4755.0/B75*100)</f>
        <v/>
      </c>
      <c r="D75" s="19" t="n">
        <v>620</v>
      </c>
      <c r="E75" s="18" t="n">
        <v>38.56222408</v>
      </c>
      <c r="F75" s="20" t="n">
        <v>2.15309585</v>
      </c>
      <c r="G75" s="18" t="n">
        <v>25.54613056</v>
      </c>
      <c r="H75" s="20" t="n">
        <v>1.83691757</v>
      </c>
      <c r="I75" s="18" t="n">
        <v>13.96003767</v>
      </c>
      <c r="J75" s="20" t="n">
        <v>1.35804022</v>
      </c>
      <c r="K75" s="18" t="s">
        <v>349</v>
      </c>
      <c r="L75" s="20" t="s">
        <v>349</v>
      </c>
      <c r="M75" s="18" t="n">
        <v>2.59279002</v>
      </c>
      <c r="N75" s="20" t="n">
        <v>0.70632097</v>
      </c>
      <c r="O75" s="18" t="n">
        <v>0.31901438</v>
      </c>
      <c r="P75" s="20" t="n">
        <v>0.22378388</v>
      </c>
      <c r="Q75" s="18" t="n">
        <v>0</v>
      </c>
      <c r="R75" s="20" t="n">
        <v>0</v>
      </c>
      <c r="S75" s="18" t="n">
        <v>19.01980329</v>
      </c>
      <c r="T75" s="20" t="n">
        <v>1.81466542</v>
      </c>
    </row>
    <row r="76" spans="1:20">
      <c r="A76" s="15" t="s">
        <v>418</v>
      </c>
      <c r="B76" s="17" t="n">
        <v>14167</v>
      </c>
      <c r="C76" s="18">
        <f>(12414.0/B76*100)</f>
        <v/>
      </c>
      <c r="D76" s="19" t="n">
        <v>1753</v>
      </c>
      <c r="E76" s="18" t="n">
        <v>39.78316412</v>
      </c>
      <c r="F76" s="20" t="n">
        <v>1.30909862</v>
      </c>
      <c r="G76" s="18" t="n">
        <v>24.61551047</v>
      </c>
      <c r="H76" s="20" t="n">
        <v>1.25235575</v>
      </c>
      <c r="I76" s="18" t="n">
        <v>21.62803969</v>
      </c>
      <c r="J76" s="20" t="n">
        <v>1.14839998</v>
      </c>
      <c r="K76" s="18" t="s">
        <v>349</v>
      </c>
      <c r="L76" s="20" t="s">
        <v>349</v>
      </c>
      <c r="M76" s="18" t="n">
        <v>1.54407905</v>
      </c>
      <c r="N76" s="20" t="n">
        <v>0.4007884</v>
      </c>
      <c r="O76" s="18" t="n">
        <v>0.02919197</v>
      </c>
      <c r="P76" s="20" t="n">
        <v>0.02912615</v>
      </c>
      <c r="Q76" s="18" t="n">
        <v>0</v>
      </c>
      <c r="R76" s="20" t="n">
        <v>0</v>
      </c>
      <c r="S76" s="18" t="n">
        <v>12.40001469</v>
      </c>
      <c r="T76" s="20" t="n">
        <v>0.97720564</v>
      </c>
    </row>
    <row r="77" spans="1:20">
      <c r="A77" s="15" t="s">
        <v>419</v>
      </c>
      <c r="B77" s="17" t="n">
        <v>6062</v>
      </c>
      <c r="C77" s="18">
        <f>(5340.0/B77*100)</f>
        <v/>
      </c>
      <c r="D77" s="19" t="n">
        <v>722</v>
      </c>
      <c r="E77" s="18" t="n">
        <v>18.16932035</v>
      </c>
      <c r="F77" s="20" t="n">
        <v>1.47722105</v>
      </c>
      <c r="G77" s="18" t="n">
        <v>17.94926576</v>
      </c>
      <c r="H77" s="20" t="n">
        <v>1.53010334</v>
      </c>
      <c r="I77" s="18" t="n">
        <v>28.51851044</v>
      </c>
      <c r="J77" s="20" t="n">
        <v>1.71831103</v>
      </c>
      <c r="K77" s="18" t="s">
        <v>349</v>
      </c>
      <c r="L77" s="20" t="s">
        <v>349</v>
      </c>
      <c r="M77" s="18" t="n">
        <v>0.98953713</v>
      </c>
      <c r="N77" s="20" t="n">
        <v>0.37722715</v>
      </c>
      <c r="O77" s="18" t="n">
        <v>2.90084538</v>
      </c>
      <c r="P77" s="20" t="n">
        <v>0.55270487</v>
      </c>
      <c r="Q77" s="18" t="n">
        <v>0</v>
      </c>
      <c r="R77" s="20" t="n">
        <v>0</v>
      </c>
      <c r="S77" s="18" t="n">
        <v>31.47252094</v>
      </c>
      <c r="T77" s="20" t="n">
        <v>1.79157574</v>
      </c>
    </row>
    <row r="78" spans="1:20">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row>
    <row customHeight="1" ht="25" r="79" spans="1:20">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529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(6195.0/B11*100)</f>
        <v/>
      </c>
      <c r="D11" s="19" t="n">
        <v>858</v>
      </c>
      <c r="E11" s="18" t="n">
        <v>51.92085603</v>
      </c>
      <c r="F11" s="20" t="n">
        <v>2.15012364</v>
      </c>
      <c r="G11" s="18" t="n">
        <v>46.7817025</v>
      </c>
      <c r="H11" s="20" t="n">
        <v>2.14823879</v>
      </c>
      <c r="I11" s="18" t="s">
        <v>349</v>
      </c>
      <c r="J11" s="20" t="s">
        <v>349</v>
      </c>
      <c r="K11" s="18" t="n">
        <v>1.10370368</v>
      </c>
      <c r="L11" s="20" t="n">
        <v>0.46234953</v>
      </c>
      <c r="M11" s="18" t="n">
        <v>0</v>
      </c>
      <c r="N11" s="20" t="n">
        <v>0</v>
      </c>
      <c r="O11" s="18" t="n">
        <v>0</v>
      </c>
      <c r="P11" s="20" t="n">
        <v>0</v>
      </c>
      <c r="Q11" s="18" t="n">
        <v>0.19373779</v>
      </c>
      <c r="R11" s="20" t="n">
        <v>0.1640425</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(6711.0/B28*100)</f>
        <v/>
      </c>
      <c r="D28" s="19" t="n">
        <v>857</v>
      </c>
      <c r="E28" s="18" t="n">
        <v>56.80702084</v>
      </c>
      <c r="F28" s="20" t="n">
        <v>2.00856946</v>
      </c>
      <c r="G28" s="18" t="n">
        <v>41.63430694</v>
      </c>
      <c r="H28" s="20" t="n">
        <v>1.90361301</v>
      </c>
      <c r="I28" s="18" t="s">
        <v>349</v>
      </c>
      <c r="J28" s="20" t="s">
        <v>349</v>
      </c>
      <c r="K28" s="18" t="n">
        <v>1.17055924</v>
      </c>
      <c r="L28" s="20" t="n">
        <v>0.45409479</v>
      </c>
      <c r="M28" s="18" t="n">
        <v>0</v>
      </c>
      <c r="N28" s="20" t="n">
        <v>0</v>
      </c>
      <c r="O28" s="18" t="n">
        <v>0</v>
      </c>
      <c r="P28" s="20" t="n">
        <v>0</v>
      </c>
      <c r="Q28" s="18" t="n">
        <v>0.38811298</v>
      </c>
      <c r="R28" s="20" t="n">
        <v>0.19855254</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(20765.0/B46*100)</f>
        <v/>
      </c>
      <c r="D46" s="19" t="n">
        <v>2376</v>
      </c>
      <c r="E46" s="18" t="n">
        <v>47.23030274</v>
      </c>
      <c r="F46" s="20" t="n">
        <v>1.52027155</v>
      </c>
      <c r="G46" s="18" t="n">
        <v>50.06472914</v>
      </c>
      <c r="H46" s="20" t="n">
        <v>1.50550471</v>
      </c>
      <c r="I46" s="18" t="s">
        <v>349</v>
      </c>
      <c r="J46" s="20" t="s">
        <v>349</v>
      </c>
      <c r="K46" s="18" t="n">
        <v>1.80791496</v>
      </c>
      <c r="L46" s="20" t="n">
        <v>0.41692106</v>
      </c>
      <c r="M46" s="18" t="n">
        <v>0</v>
      </c>
      <c r="N46" s="20" t="n">
        <v>0</v>
      </c>
      <c r="O46" s="18" t="n">
        <v>0</v>
      </c>
      <c r="P46" s="20" t="n">
        <v>0</v>
      </c>
      <c r="Q46" s="18" t="n">
        <v>0.89705316</v>
      </c>
      <c r="R46" s="20" t="n">
        <v>0.24193865</v>
      </c>
    </row>
    <row r="47" spans="1:18">
      <c r="A47" s="15" t="s">
        <v>389</v>
      </c>
      <c r="B47" s="17" t="n">
        <v>5928</v>
      </c>
      <c r="C47" s="18">
        <f>(5221.0/B47*100)</f>
        <v/>
      </c>
      <c r="D47" s="19" t="n">
        <v>707</v>
      </c>
      <c r="E47" s="18" t="n">
        <v>44.1194363</v>
      </c>
      <c r="F47" s="20" t="n">
        <v>1.92834918</v>
      </c>
      <c r="G47" s="18" t="n">
        <v>54.57091442</v>
      </c>
      <c r="H47" s="20" t="n">
        <v>1.8748306</v>
      </c>
      <c r="I47" s="18" t="s">
        <v>349</v>
      </c>
      <c r="J47" s="20" t="s">
        <v>349</v>
      </c>
      <c r="K47" s="18" t="n">
        <v>0.59242641</v>
      </c>
      <c r="L47" s="20" t="n">
        <v>0.30691425</v>
      </c>
      <c r="M47" s="18" t="n">
        <v>0</v>
      </c>
      <c r="N47" s="20" t="n">
        <v>0</v>
      </c>
      <c r="O47" s="18" t="n">
        <v>0</v>
      </c>
      <c r="P47" s="20" t="n">
        <v>0</v>
      </c>
      <c r="Q47" s="18" t="n">
        <v>0.71722287</v>
      </c>
      <c r="R47" s="20" t="n">
        <v>0.36464834</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(10369.0/B50*100)</f>
        <v/>
      </c>
      <c r="D50" s="19" t="n">
        <v>1426</v>
      </c>
      <c r="E50" s="18" t="n">
        <v>46.96189781</v>
      </c>
      <c r="F50" s="20" t="n">
        <v>1.65850042</v>
      </c>
      <c r="G50" s="18" t="n">
        <v>48.83634507</v>
      </c>
      <c r="H50" s="20" t="n">
        <v>1.62409056</v>
      </c>
      <c r="I50" s="18" t="s">
        <v>349</v>
      </c>
      <c r="J50" s="20" t="s">
        <v>349</v>
      </c>
      <c r="K50" s="18" t="n">
        <v>2.6479312</v>
      </c>
      <c r="L50" s="20" t="n">
        <v>0.72685146</v>
      </c>
      <c r="M50" s="18" t="n">
        <v>0</v>
      </c>
      <c r="N50" s="20" t="n">
        <v>0</v>
      </c>
      <c r="O50" s="18" t="n">
        <v>0</v>
      </c>
      <c r="P50" s="20" t="n">
        <v>0</v>
      </c>
      <c r="Q50" s="18" t="n">
        <v>1.55382592</v>
      </c>
      <c r="R50" s="20" t="n">
        <v>0.40060113</v>
      </c>
    </row>
    <row r="51" spans="1:18">
      <c r="A51" s="15" t="s">
        <v>393</v>
      </c>
      <c r="B51" s="17" t="n">
        <v>6866</v>
      </c>
      <c r="C51" s="18">
        <f>(6160.0/B51*100)</f>
        <v/>
      </c>
      <c r="D51" s="19" t="n">
        <v>706</v>
      </c>
      <c r="E51" s="18" t="n">
        <v>54.74295323</v>
      </c>
      <c r="F51" s="20" t="n">
        <v>1.8382995</v>
      </c>
      <c r="G51" s="18" t="n">
        <v>43.99752444</v>
      </c>
      <c r="H51" s="20" t="n">
        <v>1.84453058</v>
      </c>
      <c r="I51" s="18" t="s">
        <v>349</v>
      </c>
      <c r="J51" s="20" t="s">
        <v>349</v>
      </c>
      <c r="K51" s="18" t="n">
        <v>0.6723008700000001</v>
      </c>
      <c r="L51" s="20" t="n">
        <v>0.31299373</v>
      </c>
      <c r="M51" s="18" t="n">
        <v>0</v>
      </c>
      <c r="N51" s="20" t="n">
        <v>0</v>
      </c>
      <c r="O51" s="18" t="n">
        <v>0</v>
      </c>
      <c r="P51" s="20" t="n">
        <v>0</v>
      </c>
      <c r="Q51" s="18" t="n">
        <v>0.58722146</v>
      </c>
      <c r="R51" s="20" t="n">
        <v>0.29672552</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(4878.0/B53*100)</f>
        <v/>
      </c>
      <c r="D53" s="19" t="n">
        <v>693</v>
      </c>
      <c r="E53" s="18" t="n">
        <v>47.11183839</v>
      </c>
      <c r="F53" s="20" t="n">
        <v>1.77348184</v>
      </c>
      <c r="G53" s="18" t="n">
        <v>50.71256385</v>
      </c>
      <c r="H53" s="20" t="n">
        <v>1.79768571</v>
      </c>
      <c r="I53" s="18" t="s">
        <v>349</v>
      </c>
      <c r="J53" s="20" t="s">
        <v>349</v>
      </c>
      <c r="K53" s="18" t="n">
        <v>0.8494119999999999</v>
      </c>
      <c r="L53" s="20" t="n">
        <v>0.35092317</v>
      </c>
      <c r="M53" s="18" t="n">
        <v>0</v>
      </c>
      <c r="N53" s="20" t="n">
        <v>0</v>
      </c>
      <c r="O53" s="18" t="n">
        <v>0</v>
      </c>
      <c r="P53" s="20" t="n">
        <v>0</v>
      </c>
      <c r="Q53" s="18" t="n">
        <v>1.32618576</v>
      </c>
      <c r="R53" s="20" t="n">
        <v>0.45884934</v>
      </c>
    </row>
    <row r="54" spans="1:18">
      <c r="A54" s="15" t="s">
        <v>396</v>
      </c>
      <c r="B54" s="17" t="n">
        <v>4740</v>
      </c>
      <c r="C54" s="18">
        <f>(3949.0/B54*100)</f>
        <v/>
      </c>
      <c r="D54" s="19" t="n">
        <v>791</v>
      </c>
      <c r="E54" s="18" t="n">
        <v>52.64187376</v>
      </c>
      <c r="F54" s="20" t="n">
        <v>1.99576938</v>
      </c>
      <c r="G54" s="18" t="n">
        <v>34.68137106</v>
      </c>
      <c r="H54" s="20" t="n">
        <v>1.98108301</v>
      </c>
      <c r="I54" s="18" t="s">
        <v>349</v>
      </c>
      <c r="J54" s="20" t="s">
        <v>349</v>
      </c>
      <c r="K54" s="18" t="n">
        <v>10.54720382</v>
      </c>
      <c r="L54" s="20" t="n">
        <v>1.19254498</v>
      </c>
      <c r="M54" s="18" t="n">
        <v>0</v>
      </c>
      <c r="N54" s="20" t="n">
        <v>0</v>
      </c>
      <c r="O54" s="18" t="n">
        <v>0</v>
      </c>
      <c r="P54" s="20" t="n">
        <v>0</v>
      </c>
      <c r="Q54" s="18" t="n">
        <v>2.12955136</v>
      </c>
      <c r="R54" s="20" t="n">
        <v>0.54006152</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(6203.0/B67*100)</f>
        <v/>
      </c>
      <c r="D67" s="19" t="n">
        <v>768</v>
      </c>
      <c r="E67" s="18" t="n">
        <v>56.18076656</v>
      </c>
      <c r="F67" s="20" t="n">
        <v>1.98496185</v>
      </c>
      <c r="G67" s="18" t="n">
        <v>42.62118584</v>
      </c>
      <c r="H67" s="20" t="n">
        <v>1.96769903</v>
      </c>
      <c r="I67" s="18" t="s">
        <v>349</v>
      </c>
      <c r="J67" s="20" t="s">
        <v>349</v>
      </c>
      <c r="K67" s="18" t="n">
        <v>0.27764297</v>
      </c>
      <c r="L67" s="20" t="n">
        <v>0.20363691</v>
      </c>
      <c r="M67" s="18" t="n">
        <v>0</v>
      </c>
      <c r="N67" s="20" t="n">
        <v>0</v>
      </c>
      <c r="O67" s="18" t="n">
        <v>0</v>
      </c>
      <c r="P67" s="20" t="n">
        <v>0</v>
      </c>
      <c r="Q67" s="18" t="n">
        <v>0.9204046299999999</v>
      </c>
      <c r="R67" s="20" t="n">
        <v>0.32505379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(4758.0/B75*100)</f>
        <v/>
      </c>
      <c r="D75" s="19" t="n">
        <v>617</v>
      </c>
      <c r="E75" s="18" t="n">
        <v>47.35945904</v>
      </c>
      <c r="F75" s="20" t="n">
        <v>1.99323782</v>
      </c>
      <c r="G75" s="18" t="n">
        <v>47.07213037</v>
      </c>
      <c r="H75" s="20" t="n">
        <v>1.99461706</v>
      </c>
      <c r="I75" s="18" t="s">
        <v>349</v>
      </c>
      <c r="J75" s="20" t="s">
        <v>349</v>
      </c>
      <c r="K75" s="18" t="n">
        <v>3.64820085</v>
      </c>
      <c r="L75" s="20" t="n">
        <v>0.8759473</v>
      </c>
      <c r="M75" s="18" t="n">
        <v>0</v>
      </c>
      <c r="N75" s="20" t="n">
        <v>0</v>
      </c>
      <c r="O75" s="18" t="n">
        <v>0</v>
      </c>
      <c r="P75" s="20" t="n">
        <v>0</v>
      </c>
      <c r="Q75" s="18" t="n">
        <v>1.92020974</v>
      </c>
      <c r="R75" s="20" t="n">
        <v>0.89446425</v>
      </c>
    </row>
    <row r="76" spans="1:18">
      <c r="A76" s="15" t="s">
        <v>418</v>
      </c>
      <c r="B76" s="17" t="n">
        <v>14167</v>
      </c>
      <c r="C76" s="18">
        <f>(12414.0/B76*100)</f>
        <v/>
      </c>
      <c r="D76" s="19" t="n">
        <v>1753</v>
      </c>
      <c r="E76" s="18" t="n">
        <v>46.93118409</v>
      </c>
      <c r="F76" s="20" t="n">
        <v>1.52206766</v>
      </c>
      <c r="G76" s="18" t="n">
        <v>50.44479289</v>
      </c>
      <c r="H76" s="20" t="n">
        <v>1.54882483</v>
      </c>
      <c r="I76" s="18" t="s">
        <v>349</v>
      </c>
      <c r="J76" s="20" t="s">
        <v>349</v>
      </c>
      <c r="K76" s="18" t="n">
        <v>1.58859561</v>
      </c>
      <c r="L76" s="20" t="n">
        <v>0.40275713</v>
      </c>
      <c r="M76" s="18" t="n">
        <v>0</v>
      </c>
      <c r="N76" s="20" t="n">
        <v>0</v>
      </c>
      <c r="O76" s="18" t="n">
        <v>0</v>
      </c>
      <c r="P76" s="20" t="n">
        <v>0</v>
      </c>
      <c r="Q76" s="18" t="n">
        <v>1.03542742</v>
      </c>
      <c r="R76" s="20" t="n">
        <v>0.35949307</v>
      </c>
    </row>
    <row r="77" spans="1:18">
      <c r="A77" s="15" t="s">
        <v>419</v>
      </c>
      <c r="B77" s="17" t="n">
        <v>6062</v>
      </c>
      <c r="C77" s="18">
        <f>(5344.0/B77*100)</f>
        <v/>
      </c>
      <c r="D77" s="19" t="n">
        <v>718</v>
      </c>
      <c r="E77" s="18" t="n">
        <v>47.36743294</v>
      </c>
      <c r="F77" s="20" t="n">
        <v>1.9551189</v>
      </c>
      <c r="G77" s="18" t="n">
        <v>50.02510201</v>
      </c>
      <c r="H77" s="20" t="n">
        <v>1.84290866</v>
      </c>
      <c r="I77" s="18" t="s">
        <v>349</v>
      </c>
      <c r="J77" s="20" t="s">
        <v>349</v>
      </c>
      <c r="K77" s="18" t="n">
        <v>1.60182829</v>
      </c>
      <c r="L77" s="20" t="n">
        <v>0.47426672</v>
      </c>
      <c r="M77" s="18" t="n">
        <v>0</v>
      </c>
      <c r="N77" s="20" t="n">
        <v>0</v>
      </c>
      <c r="O77" s="18" t="n">
        <v>0</v>
      </c>
      <c r="P77" s="20" t="n">
        <v>0</v>
      </c>
      <c r="Q77" s="18" t="n">
        <v>1.00563677</v>
      </c>
      <c r="R77" s="20" t="n">
        <v>0.366564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(6195.0/B11*100)</f>
        <v/>
      </c>
      <c r="D11" s="19" t="n">
        <v>858</v>
      </c>
      <c r="E11" s="18" t="n">
        <v>58.4631843</v>
      </c>
      <c r="F11" s="20" t="n">
        <v>1.95694653</v>
      </c>
      <c r="G11" s="18" t="n">
        <v>39.84005469</v>
      </c>
      <c r="H11" s="20" t="n">
        <v>1.93419587</v>
      </c>
      <c r="I11" s="18" t="s">
        <v>349</v>
      </c>
      <c r="J11" s="20" t="s">
        <v>349</v>
      </c>
      <c r="K11" s="18" t="n">
        <v>1.25703702</v>
      </c>
      <c r="L11" s="20" t="n">
        <v>0.48224852</v>
      </c>
      <c r="M11" s="18" t="n">
        <v>0</v>
      </c>
      <c r="N11" s="20" t="n">
        <v>0</v>
      </c>
      <c r="O11" s="18" t="n">
        <v>0</v>
      </c>
      <c r="P11" s="20" t="n">
        <v>0</v>
      </c>
      <c r="Q11" s="18" t="n">
        <v>0.43972399</v>
      </c>
      <c r="R11" s="20" t="n">
        <v>0.25819089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(6713.0/B28*100)</f>
        <v/>
      </c>
      <c r="D28" s="19" t="n">
        <v>855</v>
      </c>
      <c r="E28" s="18" t="n">
        <v>62.42073517</v>
      </c>
      <c r="F28" s="20" t="n">
        <v>1.93236113</v>
      </c>
      <c r="G28" s="18" t="n">
        <v>36.03698297</v>
      </c>
      <c r="H28" s="20" t="n">
        <v>1.92106565</v>
      </c>
      <c r="I28" s="18" t="s">
        <v>349</v>
      </c>
      <c r="J28" s="20" t="s">
        <v>349</v>
      </c>
      <c r="K28" s="18" t="n">
        <v>1.17272765</v>
      </c>
      <c r="L28" s="20" t="n">
        <v>0.45524374</v>
      </c>
      <c r="M28" s="18" t="n">
        <v>0</v>
      </c>
      <c r="N28" s="20" t="n">
        <v>0</v>
      </c>
      <c r="O28" s="18" t="n">
        <v>0</v>
      </c>
      <c r="P28" s="20" t="n">
        <v>0</v>
      </c>
      <c r="Q28" s="18" t="n">
        <v>0.36955421</v>
      </c>
      <c r="R28" s="20" t="n">
        <v>0.14802253</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(20788.0/B46*100)</f>
        <v/>
      </c>
      <c r="D46" s="19" t="n">
        <v>2353</v>
      </c>
      <c r="E46" s="18" t="n">
        <v>71.51358395</v>
      </c>
      <c r="F46" s="20" t="n">
        <v>1.19850952</v>
      </c>
      <c r="G46" s="18" t="n">
        <v>25.63698009</v>
      </c>
      <c r="H46" s="20" t="n">
        <v>1.21083812</v>
      </c>
      <c r="I46" s="18" t="s">
        <v>349</v>
      </c>
      <c r="J46" s="20" t="s">
        <v>349</v>
      </c>
      <c r="K46" s="18" t="n">
        <v>1.99505878</v>
      </c>
      <c r="L46" s="20" t="n">
        <v>0.4342818</v>
      </c>
      <c r="M46" s="18" t="n">
        <v>0</v>
      </c>
      <c r="N46" s="20" t="n">
        <v>0</v>
      </c>
      <c r="O46" s="18" t="n">
        <v>0</v>
      </c>
      <c r="P46" s="20" t="n">
        <v>0</v>
      </c>
      <c r="Q46" s="18" t="n">
        <v>0.85437717</v>
      </c>
      <c r="R46" s="20" t="n">
        <v>0.21104977</v>
      </c>
    </row>
    <row r="47" spans="1:18">
      <c r="A47" s="15" t="s">
        <v>389</v>
      </c>
      <c r="B47" s="17" t="n">
        <v>5928</v>
      </c>
      <c r="C47" s="18">
        <f>(5222.0/B47*100)</f>
        <v/>
      </c>
      <c r="D47" s="19" t="n">
        <v>706</v>
      </c>
      <c r="E47" s="18" t="n">
        <v>59.23418046</v>
      </c>
      <c r="F47" s="20" t="n">
        <v>2.2908401</v>
      </c>
      <c r="G47" s="18" t="n">
        <v>39.449295</v>
      </c>
      <c r="H47" s="20" t="n">
        <v>2.30823474</v>
      </c>
      <c r="I47" s="18" t="s">
        <v>349</v>
      </c>
      <c r="J47" s="20" t="s">
        <v>349</v>
      </c>
      <c r="K47" s="18" t="n">
        <v>0.88155963</v>
      </c>
      <c r="L47" s="20" t="n">
        <v>0.36909468</v>
      </c>
      <c r="M47" s="18" t="n">
        <v>0</v>
      </c>
      <c r="N47" s="20" t="n">
        <v>0</v>
      </c>
      <c r="O47" s="18" t="n">
        <v>0</v>
      </c>
      <c r="P47" s="20" t="n">
        <v>0</v>
      </c>
      <c r="Q47" s="18" t="n">
        <v>0.4349649</v>
      </c>
      <c r="R47" s="20" t="n">
        <v>0.30663158</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(10370.0/B50*100)</f>
        <v/>
      </c>
      <c r="D50" s="19" t="n">
        <v>1425</v>
      </c>
      <c r="E50" s="18" t="n">
        <v>64.31233573</v>
      </c>
      <c r="F50" s="20" t="n">
        <v>1.57881839</v>
      </c>
      <c r="G50" s="18" t="n">
        <v>31.54884138</v>
      </c>
      <c r="H50" s="20" t="n">
        <v>1.50327468</v>
      </c>
      <c r="I50" s="18" t="s">
        <v>349</v>
      </c>
      <c r="J50" s="20" t="s">
        <v>349</v>
      </c>
      <c r="K50" s="18" t="n">
        <v>2.81926756</v>
      </c>
      <c r="L50" s="20" t="n">
        <v>0.73210819</v>
      </c>
      <c r="M50" s="18" t="n">
        <v>0</v>
      </c>
      <c r="N50" s="20" t="n">
        <v>0</v>
      </c>
      <c r="O50" s="18" t="n">
        <v>0</v>
      </c>
      <c r="P50" s="20" t="n">
        <v>0</v>
      </c>
      <c r="Q50" s="18" t="n">
        <v>1.31955533</v>
      </c>
      <c r="R50" s="20" t="n">
        <v>0.43392865</v>
      </c>
    </row>
    <row r="51" spans="1:18">
      <c r="A51" s="15" t="s">
        <v>393</v>
      </c>
      <c r="B51" s="17" t="n">
        <v>6866</v>
      </c>
      <c r="C51" s="18">
        <f>(6161.0/B51*100)</f>
        <v/>
      </c>
      <c r="D51" s="19" t="n">
        <v>705</v>
      </c>
      <c r="E51" s="18" t="n">
        <v>71.21227618</v>
      </c>
      <c r="F51" s="20" t="n">
        <v>1.75095713</v>
      </c>
      <c r="G51" s="18" t="n">
        <v>26.63722884</v>
      </c>
      <c r="H51" s="20" t="n">
        <v>1.67581662</v>
      </c>
      <c r="I51" s="18" t="s">
        <v>349</v>
      </c>
      <c r="J51" s="20" t="s">
        <v>349</v>
      </c>
      <c r="K51" s="18" t="n">
        <v>0.8216073</v>
      </c>
      <c r="L51" s="20" t="n">
        <v>0.34568127</v>
      </c>
      <c r="M51" s="18" t="n">
        <v>0</v>
      </c>
      <c r="N51" s="20" t="n">
        <v>0</v>
      </c>
      <c r="O51" s="18" t="n">
        <v>0</v>
      </c>
      <c r="P51" s="20" t="n">
        <v>0</v>
      </c>
      <c r="Q51" s="18" t="n">
        <v>1.32888768</v>
      </c>
      <c r="R51" s="20" t="n">
        <v>0.64049763</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(4879.0/B53*100)</f>
        <v/>
      </c>
      <c r="D53" s="19" t="n">
        <v>692</v>
      </c>
      <c r="E53" s="18" t="n">
        <v>57.24354173</v>
      </c>
      <c r="F53" s="20" t="n">
        <v>2.03435835</v>
      </c>
      <c r="G53" s="18" t="n">
        <v>41.07146648</v>
      </c>
      <c r="H53" s="20" t="n">
        <v>2.07070608</v>
      </c>
      <c r="I53" s="18" t="s">
        <v>349</v>
      </c>
      <c r="J53" s="20" t="s">
        <v>349</v>
      </c>
      <c r="K53" s="18" t="n">
        <v>0.85035111</v>
      </c>
      <c r="L53" s="20" t="n">
        <v>0.35132342</v>
      </c>
      <c r="M53" s="18" t="n">
        <v>0</v>
      </c>
      <c r="N53" s="20" t="n">
        <v>0</v>
      </c>
      <c r="O53" s="18" t="n">
        <v>0</v>
      </c>
      <c r="P53" s="20" t="n">
        <v>0</v>
      </c>
      <c r="Q53" s="18" t="n">
        <v>0.83464068</v>
      </c>
      <c r="R53" s="20" t="n">
        <v>0.34844559</v>
      </c>
    </row>
    <row r="54" spans="1:18">
      <c r="A54" s="15" t="s">
        <v>396</v>
      </c>
      <c r="B54" s="17" t="n">
        <v>4740</v>
      </c>
      <c r="C54" s="18">
        <f>(3949.0/B54*100)</f>
        <v/>
      </c>
      <c r="D54" s="19" t="n">
        <v>791</v>
      </c>
      <c r="E54" s="18" t="n">
        <v>67.50786643000001</v>
      </c>
      <c r="F54" s="20" t="n">
        <v>1.75384778</v>
      </c>
      <c r="G54" s="18" t="n">
        <v>19.80217816</v>
      </c>
      <c r="H54" s="20" t="n">
        <v>1.70013981</v>
      </c>
      <c r="I54" s="18" t="s">
        <v>349</v>
      </c>
      <c r="J54" s="20" t="s">
        <v>349</v>
      </c>
      <c r="K54" s="18" t="n">
        <v>11.14425665</v>
      </c>
      <c r="L54" s="20" t="n">
        <v>1.27647069</v>
      </c>
      <c r="M54" s="18" t="n">
        <v>0</v>
      </c>
      <c r="N54" s="20" t="n">
        <v>0</v>
      </c>
      <c r="O54" s="18" t="n">
        <v>0</v>
      </c>
      <c r="P54" s="20" t="n">
        <v>0</v>
      </c>
      <c r="Q54" s="18" t="n">
        <v>1.54569876</v>
      </c>
      <c r="R54" s="20" t="n">
        <v>0.48352551</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(6207.0/B67*100)</f>
        <v/>
      </c>
      <c r="D67" s="19" t="n">
        <v>764</v>
      </c>
      <c r="E67" s="18" t="n">
        <v>61.24394483</v>
      </c>
      <c r="F67" s="20" t="n">
        <v>1.63636777</v>
      </c>
      <c r="G67" s="18" t="n">
        <v>37.62146044</v>
      </c>
      <c r="H67" s="20" t="n">
        <v>1.68840194</v>
      </c>
      <c r="I67" s="18" t="s">
        <v>349</v>
      </c>
      <c r="J67" s="20" t="s">
        <v>349</v>
      </c>
      <c r="K67" s="18" t="n">
        <v>0.27893862</v>
      </c>
      <c r="L67" s="20" t="n">
        <v>0.20458268</v>
      </c>
      <c r="M67" s="18" t="n">
        <v>0</v>
      </c>
      <c r="N67" s="20" t="n">
        <v>0</v>
      </c>
      <c r="O67" s="18" t="n">
        <v>0</v>
      </c>
      <c r="P67" s="20" t="n">
        <v>0</v>
      </c>
      <c r="Q67" s="18" t="n">
        <v>0.85565611</v>
      </c>
      <c r="R67" s="20" t="n">
        <v>0.35123693</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(4759.0/B75*100)</f>
        <v/>
      </c>
      <c r="D75" s="19" t="n">
        <v>616</v>
      </c>
      <c r="E75" s="18" t="n">
        <v>65.87543439</v>
      </c>
      <c r="F75" s="20" t="n">
        <v>2.06633199</v>
      </c>
      <c r="G75" s="18" t="n">
        <v>28.91054882</v>
      </c>
      <c r="H75" s="20" t="n">
        <v>1.96327128</v>
      </c>
      <c r="I75" s="18" t="s">
        <v>349</v>
      </c>
      <c r="J75" s="20" t="s">
        <v>349</v>
      </c>
      <c r="K75" s="18" t="n">
        <v>4.01057785</v>
      </c>
      <c r="L75" s="20" t="n">
        <v>0.97580375</v>
      </c>
      <c r="M75" s="18" t="n">
        <v>0</v>
      </c>
      <c r="N75" s="20" t="n">
        <v>0</v>
      </c>
      <c r="O75" s="18" t="n">
        <v>0</v>
      </c>
      <c r="P75" s="20" t="n">
        <v>0</v>
      </c>
      <c r="Q75" s="18" t="n">
        <v>1.20343895</v>
      </c>
      <c r="R75" s="20" t="n">
        <v>0.4775795</v>
      </c>
    </row>
    <row r="76" spans="1:18">
      <c r="A76" s="15" t="s">
        <v>418</v>
      </c>
      <c r="B76" s="17" t="n">
        <v>14167</v>
      </c>
      <c r="C76" s="18">
        <f>(12414.0/B76*100)</f>
        <v/>
      </c>
      <c r="D76" s="19" t="n">
        <v>1753</v>
      </c>
      <c r="E76" s="18" t="n">
        <v>57.30726561</v>
      </c>
      <c r="F76" s="20" t="n">
        <v>1.32428554</v>
      </c>
      <c r="G76" s="18" t="n">
        <v>39.63992247</v>
      </c>
      <c r="H76" s="20" t="n">
        <v>1.31331868</v>
      </c>
      <c r="I76" s="18" t="s">
        <v>349</v>
      </c>
      <c r="J76" s="20" t="s">
        <v>349</v>
      </c>
      <c r="K76" s="18" t="n">
        <v>1.77976733</v>
      </c>
      <c r="L76" s="20" t="n">
        <v>0.44166929</v>
      </c>
      <c r="M76" s="18" t="n">
        <v>0</v>
      </c>
      <c r="N76" s="20" t="n">
        <v>0</v>
      </c>
      <c r="O76" s="18" t="n">
        <v>0</v>
      </c>
      <c r="P76" s="20" t="n">
        <v>0</v>
      </c>
      <c r="Q76" s="18" t="n">
        <v>1.27304459</v>
      </c>
      <c r="R76" s="20" t="n">
        <v>0.37633337</v>
      </c>
    </row>
    <row r="77" spans="1:18">
      <c r="A77" s="15" t="s">
        <v>419</v>
      </c>
      <c r="B77" s="17" t="n">
        <v>6062</v>
      </c>
      <c r="C77" s="18">
        <f>(5346.0/B77*100)</f>
        <v/>
      </c>
      <c r="D77" s="19" t="n">
        <v>716</v>
      </c>
      <c r="E77" s="18" t="n">
        <v>55.93945053</v>
      </c>
      <c r="F77" s="20" t="n">
        <v>1.96541095</v>
      </c>
      <c r="G77" s="18" t="n">
        <v>40.67970981</v>
      </c>
      <c r="H77" s="20" t="n">
        <v>1.8634075</v>
      </c>
      <c r="I77" s="18" t="s">
        <v>349</v>
      </c>
      <c r="J77" s="20" t="s">
        <v>349</v>
      </c>
      <c r="K77" s="18" t="n">
        <v>1.60643938</v>
      </c>
      <c r="L77" s="20" t="n">
        <v>0.47558188</v>
      </c>
      <c r="M77" s="18" t="n">
        <v>0</v>
      </c>
      <c r="N77" s="20" t="n">
        <v>0</v>
      </c>
      <c r="O77" s="18" t="n">
        <v>0</v>
      </c>
      <c r="P77" s="20" t="n">
        <v>0</v>
      </c>
      <c r="Q77" s="18" t="n">
        <v>1.77440028</v>
      </c>
      <c r="R77" s="20" t="n">
        <v>0.48140747</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(6199.0/B11*100)</f>
        <v/>
      </c>
      <c r="D11" s="19" t="n">
        <v>854</v>
      </c>
      <c r="E11" s="18" t="n">
        <v>63.04470538</v>
      </c>
      <c r="F11" s="20" t="n">
        <v>2.04598048</v>
      </c>
      <c r="G11" s="18" t="n">
        <v>25.8820127</v>
      </c>
      <c r="H11" s="20" t="n">
        <v>1.72148536</v>
      </c>
      <c r="I11" s="18" t="s">
        <v>349</v>
      </c>
      <c r="J11" s="20" t="s">
        <v>349</v>
      </c>
      <c r="K11" s="18" t="n">
        <v>2.82238434</v>
      </c>
      <c r="L11" s="20" t="n">
        <v>0.6629122200000001</v>
      </c>
      <c r="M11" s="18" t="n">
        <v>0</v>
      </c>
      <c r="N11" s="20" t="n">
        <v>0</v>
      </c>
      <c r="O11" s="18" t="n">
        <v>0</v>
      </c>
      <c r="P11" s="20" t="n">
        <v>0</v>
      </c>
      <c r="Q11" s="18" t="n">
        <v>8.250897569999999</v>
      </c>
      <c r="R11" s="20" t="n">
        <v>1.02091487</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(6724.0/B28*100)</f>
        <v/>
      </c>
      <c r="D28" s="19" t="n">
        <v>844</v>
      </c>
      <c r="E28" s="18" t="n">
        <v>68.05877897000001</v>
      </c>
      <c r="F28" s="20" t="n">
        <v>2.01166413</v>
      </c>
      <c r="G28" s="18" t="n">
        <v>28.42229683</v>
      </c>
      <c r="H28" s="20" t="n">
        <v>1.97182217</v>
      </c>
      <c r="I28" s="18" t="s">
        <v>349</v>
      </c>
      <c r="J28" s="20" t="s">
        <v>349</v>
      </c>
      <c r="K28" s="18" t="n">
        <v>1.40621585</v>
      </c>
      <c r="L28" s="20" t="n">
        <v>0.48826563</v>
      </c>
      <c r="M28" s="18" t="n">
        <v>0</v>
      </c>
      <c r="N28" s="20" t="n">
        <v>0</v>
      </c>
      <c r="O28" s="18" t="n">
        <v>0</v>
      </c>
      <c r="P28" s="20" t="n">
        <v>0</v>
      </c>
      <c r="Q28" s="18" t="n">
        <v>2.11270835</v>
      </c>
      <c r="R28" s="20" t="n">
        <v>0.57549283</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(20863.0/B46*100)</f>
        <v/>
      </c>
      <c r="D46" s="19" t="n">
        <v>2278</v>
      </c>
      <c r="E46" s="18" t="n">
        <v>76.69994807</v>
      </c>
      <c r="F46" s="20" t="n">
        <v>1.31256539</v>
      </c>
      <c r="G46" s="18" t="n">
        <v>12.82456752</v>
      </c>
      <c r="H46" s="20" t="n">
        <v>1.15068813</v>
      </c>
      <c r="I46" s="18" t="s">
        <v>349</v>
      </c>
      <c r="J46" s="20" t="s">
        <v>349</v>
      </c>
      <c r="K46" s="18" t="n">
        <v>3.54725361</v>
      </c>
      <c r="L46" s="20" t="n">
        <v>0.59406395</v>
      </c>
      <c r="M46" s="18" t="n">
        <v>0</v>
      </c>
      <c r="N46" s="20" t="n">
        <v>0</v>
      </c>
      <c r="O46" s="18" t="n">
        <v>0</v>
      </c>
      <c r="P46" s="20" t="n">
        <v>0</v>
      </c>
      <c r="Q46" s="18" t="n">
        <v>6.92823079</v>
      </c>
      <c r="R46" s="20" t="n">
        <v>0.71858267</v>
      </c>
    </row>
    <row r="47" spans="1:18">
      <c r="A47" s="15" t="s">
        <v>389</v>
      </c>
      <c r="B47" s="17" t="n">
        <v>5928</v>
      </c>
      <c r="C47" s="18">
        <f>(5226.0/B47*100)</f>
        <v/>
      </c>
      <c r="D47" s="19" t="n">
        <v>702</v>
      </c>
      <c r="E47" s="18" t="n">
        <v>62.89201109</v>
      </c>
      <c r="F47" s="20" t="n">
        <v>2.26044359</v>
      </c>
      <c r="G47" s="18" t="n">
        <v>31.02745964</v>
      </c>
      <c r="H47" s="20" t="n">
        <v>2.22979342</v>
      </c>
      <c r="I47" s="18" t="s">
        <v>349</v>
      </c>
      <c r="J47" s="20" t="s">
        <v>349</v>
      </c>
      <c r="K47" s="18" t="n">
        <v>1.56457432</v>
      </c>
      <c r="L47" s="20" t="n">
        <v>0.5082292</v>
      </c>
      <c r="M47" s="18" t="n">
        <v>0</v>
      </c>
      <c r="N47" s="20" t="n">
        <v>0</v>
      </c>
      <c r="O47" s="18" t="n">
        <v>0</v>
      </c>
      <c r="P47" s="20" t="n">
        <v>0</v>
      </c>
      <c r="Q47" s="18" t="n">
        <v>4.51595495</v>
      </c>
      <c r="R47" s="20" t="n">
        <v>0.8642942</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(10383.0/B50*100)</f>
        <v/>
      </c>
      <c r="D50" s="19" t="n">
        <v>1412</v>
      </c>
      <c r="E50" s="18" t="n">
        <v>76.9985001</v>
      </c>
      <c r="F50" s="20" t="n">
        <v>1.34319707</v>
      </c>
      <c r="G50" s="18" t="n">
        <v>17.62225069</v>
      </c>
      <c r="H50" s="20" t="n">
        <v>1.23785737</v>
      </c>
      <c r="I50" s="18" t="s">
        <v>349</v>
      </c>
      <c r="J50" s="20" t="s">
        <v>349</v>
      </c>
      <c r="K50" s="18" t="n">
        <v>3.73045111</v>
      </c>
      <c r="L50" s="20" t="n">
        <v>0.77422826</v>
      </c>
      <c r="M50" s="18" t="n">
        <v>0</v>
      </c>
      <c r="N50" s="20" t="n">
        <v>0</v>
      </c>
      <c r="O50" s="18" t="n">
        <v>0</v>
      </c>
      <c r="P50" s="20" t="n">
        <v>0</v>
      </c>
      <c r="Q50" s="18" t="n">
        <v>1.6487981</v>
      </c>
      <c r="R50" s="20" t="n">
        <v>0.37211213</v>
      </c>
    </row>
    <row r="51" spans="1:18">
      <c r="A51" s="15" t="s">
        <v>393</v>
      </c>
      <c r="B51" s="17" t="n">
        <v>6866</v>
      </c>
      <c r="C51" s="18">
        <f>(6174.0/B51*100)</f>
        <v/>
      </c>
      <c r="D51" s="19" t="n">
        <v>692</v>
      </c>
      <c r="E51" s="18" t="n">
        <v>78.29738094</v>
      </c>
      <c r="F51" s="20" t="n">
        <v>1.65976159</v>
      </c>
      <c r="G51" s="18" t="n">
        <v>15.72946831</v>
      </c>
      <c r="H51" s="20" t="n">
        <v>1.65619389</v>
      </c>
      <c r="I51" s="18" t="s">
        <v>349</v>
      </c>
      <c r="J51" s="20" t="s">
        <v>349</v>
      </c>
      <c r="K51" s="18" t="n">
        <v>1.66948446</v>
      </c>
      <c r="L51" s="20" t="n">
        <v>0.52588566</v>
      </c>
      <c r="M51" s="18" t="n">
        <v>0</v>
      </c>
      <c r="N51" s="20" t="n">
        <v>0</v>
      </c>
      <c r="O51" s="18" t="n">
        <v>0</v>
      </c>
      <c r="P51" s="20" t="n">
        <v>0</v>
      </c>
      <c r="Q51" s="18" t="n">
        <v>4.30366629</v>
      </c>
      <c r="R51" s="20" t="n">
        <v>0.84297859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(4882.0/B53*100)</f>
        <v/>
      </c>
      <c r="D53" s="19" t="n">
        <v>689</v>
      </c>
      <c r="E53" s="18" t="n">
        <v>55.36434755</v>
      </c>
      <c r="F53" s="20" t="n">
        <v>2.01016202</v>
      </c>
      <c r="G53" s="18" t="n">
        <v>36.10322468</v>
      </c>
      <c r="H53" s="20" t="n">
        <v>1.91980753</v>
      </c>
      <c r="I53" s="18" t="s">
        <v>349</v>
      </c>
      <c r="J53" s="20" t="s">
        <v>349</v>
      </c>
      <c r="K53" s="18" t="n">
        <v>2.03808408</v>
      </c>
      <c r="L53" s="20" t="n">
        <v>0.47203859</v>
      </c>
      <c r="M53" s="18" t="n">
        <v>0</v>
      </c>
      <c r="N53" s="20" t="n">
        <v>0</v>
      </c>
      <c r="O53" s="18" t="n">
        <v>0</v>
      </c>
      <c r="P53" s="20" t="n">
        <v>0</v>
      </c>
      <c r="Q53" s="18" t="n">
        <v>6.4943437</v>
      </c>
      <c r="R53" s="20" t="n">
        <v>1.02544998</v>
      </c>
    </row>
    <row r="54" spans="1:18">
      <c r="A54" s="15" t="s">
        <v>396</v>
      </c>
      <c r="B54" s="17" t="n">
        <v>4740</v>
      </c>
      <c r="C54" s="18">
        <f>(3949.0/B54*100)</f>
        <v/>
      </c>
      <c r="D54" s="19" t="n">
        <v>791</v>
      </c>
      <c r="E54" s="18" t="n">
        <v>78.41572397</v>
      </c>
      <c r="F54" s="20" t="n">
        <v>1.58079528</v>
      </c>
      <c r="G54" s="18" t="n">
        <v>3.13444568</v>
      </c>
      <c r="H54" s="20" t="n">
        <v>0.60276458</v>
      </c>
      <c r="I54" s="18" t="s">
        <v>349</v>
      </c>
      <c r="J54" s="20" t="s">
        <v>349</v>
      </c>
      <c r="K54" s="18" t="n">
        <v>13.55555531</v>
      </c>
      <c r="L54" s="20" t="n">
        <v>1.44741221</v>
      </c>
      <c r="M54" s="18" t="n">
        <v>0</v>
      </c>
      <c r="N54" s="20" t="n">
        <v>0</v>
      </c>
      <c r="O54" s="18" t="n">
        <v>0</v>
      </c>
      <c r="P54" s="20" t="n">
        <v>0</v>
      </c>
      <c r="Q54" s="18" t="n">
        <v>4.89427503</v>
      </c>
      <c r="R54" s="20" t="n">
        <v>0.7670071899999999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(6232.0/B67*100)</f>
        <v/>
      </c>
      <c r="D67" s="19" t="n">
        <v>739</v>
      </c>
      <c r="E67" s="18" t="n">
        <v>73.49850839</v>
      </c>
      <c r="F67" s="20" t="n">
        <v>1.79876775</v>
      </c>
      <c r="G67" s="18" t="n">
        <v>20.4025296</v>
      </c>
      <c r="H67" s="20" t="n">
        <v>1.53391768</v>
      </c>
      <c r="I67" s="18" t="s">
        <v>349</v>
      </c>
      <c r="J67" s="20" t="s">
        <v>349</v>
      </c>
      <c r="K67" s="18" t="n">
        <v>0.57441648</v>
      </c>
      <c r="L67" s="20" t="n">
        <v>0.29675744</v>
      </c>
      <c r="M67" s="18" t="n">
        <v>0</v>
      </c>
      <c r="N67" s="20" t="n">
        <v>0</v>
      </c>
      <c r="O67" s="18" t="n">
        <v>0</v>
      </c>
      <c r="P67" s="20" t="n">
        <v>0</v>
      </c>
      <c r="Q67" s="18" t="n">
        <v>5.52454552</v>
      </c>
      <c r="R67" s="20" t="n">
        <v>0.81604587</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(4763.0/B75*100)</f>
        <v/>
      </c>
      <c r="D75" s="19" t="n">
        <v>612</v>
      </c>
      <c r="E75" s="18" t="n">
        <v>74.84539404</v>
      </c>
      <c r="F75" s="20" t="n">
        <v>1.7445618</v>
      </c>
      <c r="G75" s="18" t="n">
        <v>14.5584514</v>
      </c>
      <c r="H75" s="20" t="n">
        <v>1.19456881</v>
      </c>
      <c r="I75" s="18" t="s">
        <v>349</v>
      </c>
      <c r="J75" s="20" t="s">
        <v>349</v>
      </c>
      <c r="K75" s="18" t="n">
        <v>5.04357161</v>
      </c>
      <c r="L75" s="20" t="n">
        <v>0.98275132</v>
      </c>
      <c r="M75" s="18" t="n">
        <v>0</v>
      </c>
      <c r="N75" s="20" t="n">
        <v>0</v>
      </c>
      <c r="O75" s="18" t="n">
        <v>0</v>
      </c>
      <c r="P75" s="20" t="n">
        <v>0</v>
      </c>
      <c r="Q75" s="18" t="n">
        <v>5.55258295</v>
      </c>
      <c r="R75" s="20" t="n">
        <v>0.8617642599999999</v>
      </c>
    </row>
    <row r="76" spans="1:18">
      <c r="A76" s="15" t="s">
        <v>418</v>
      </c>
      <c r="B76" s="17" t="n">
        <v>14167</v>
      </c>
      <c r="C76" s="18">
        <f>(12419.0/B76*100)</f>
        <v/>
      </c>
      <c r="D76" s="19" t="n">
        <v>1748</v>
      </c>
      <c r="E76" s="18" t="n">
        <v>65.97272867</v>
      </c>
      <c r="F76" s="20" t="n">
        <v>1.25995237</v>
      </c>
      <c r="G76" s="18" t="n">
        <v>28.16527661</v>
      </c>
      <c r="H76" s="20" t="n">
        <v>1.27391449</v>
      </c>
      <c r="I76" s="18" t="s">
        <v>349</v>
      </c>
      <c r="J76" s="20" t="s">
        <v>349</v>
      </c>
      <c r="K76" s="18" t="n">
        <v>2.56665408</v>
      </c>
      <c r="L76" s="20" t="n">
        <v>0.58511554</v>
      </c>
      <c r="M76" s="18" t="n">
        <v>0</v>
      </c>
      <c r="N76" s="20" t="n">
        <v>0</v>
      </c>
      <c r="O76" s="18" t="n">
        <v>0</v>
      </c>
      <c r="P76" s="20" t="n">
        <v>0</v>
      </c>
      <c r="Q76" s="18" t="n">
        <v>3.29534064</v>
      </c>
      <c r="R76" s="20" t="n">
        <v>0.51023198</v>
      </c>
    </row>
    <row r="77" spans="1:18">
      <c r="A77" s="15" t="s">
        <v>419</v>
      </c>
      <c r="B77" s="17" t="n">
        <v>6062</v>
      </c>
      <c r="C77" s="18">
        <f>(5356.0/B77*100)</f>
        <v/>
      </c>
      <c r="D77" s="19" t="n">
        <v>706</v>
      </c>
      <c r="E77" s="18" t="n">
        <v>53.55757775</v>
      </c>
      <c r="F77" s="20" t="n">
        <v>2.05168942</v>
      </c>
      <c r="G77" s="18" t="n">
        <v>32.31088705</v>
      </c>
      <c r="H77" s="20" t="n">
        <v>1.73410695</v>
      </c>
      <c r="I77" s="18" t="s">
        <v>349</v>
      </c>
      <c r="J77" s="20" t="s">
        <v>349</v>
      </c>
      <c r="K77" s="18" t="n">
        <v>4.28659818</v>
      </c>
      <c r="L77" s="20" t="n">
        <v>0.87559794</v>
      </c>
      <c r="M77" s="18" t="n">
        <v>0</v>
      </c>
      <c r="N77" s="20" t="n">
        <v>0</v>
      </c>
      <c r="O77" s="18" t="n">
        <v>0</v>
      </c>
      <c r="P77" s="20" t="n">
        <v>0</v>
      </c>
      <c r="Q77" s="18" t="n">
        <v>9.84493702</v>
      </c>
      <c r="R77" s="20" t="n">
        <v>1.16325084</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(6199.0/B11*100)</f>
        <v/>
      </c>
      <c r="D11" s="19" t="n">
        <v>854</v>
      </c>
      <c r="E11" s="18" t="n">
        <v>89.2676802</v>
      </c>
      <c r="F11" s="20" t="n">
        <v>1.01117207</v>
      </c>
      <c r="G11" s="18" t="n">
        <v>7.23861262</v>
      </c>
      <c r="H11" s="20" t="n">
        <v>0.7306073</v>
      </c>
      <c r="I11" s="18" t="s">
        <v>349</v>
      </c>
      <c r="J11" s="20" t="s">
        <v>349</v>
      </c>
      <c r="K11" s="18" t="n">
        <v>3.49370718</v>
      </c>
      <c r="L11" s="20" t="n">
        <v>0.72558321</v>
      </c>
      <c r="M11" s="18" t="n">
        <v>0</v>
      </c>
      <c r="N11" s="20" t="n">
        <v>0</v>
      </c>
      <c r="O11" s="18" t="n">
        <v>0</v>
      </c>
      <c r="P11" s="20" t="n">
        <v>0</v>
      </c>
      <c r="Q11" s="18" t="n">
        <v>0</v>
      </c>
      <c r="R11" s="20" t="n">
        <v>0</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(6731.0/B28*100)</f>
        <v/>
      </c>
      <c r="D28" s="19" t="n">
        <v>837</v>
      </c>
      <c r="E28" s="18" t="n">
        <v>93.22872891</v>
      </c>
      <c r="F28" s="20" t="n">
        <v>1.23628097</v>
      </c>
      <c r="G28" s="18" t="n">
        <v>5.07062338</v>
      </c>
      <c r="H28" s="20" t="n">
        <v>1.08156973</v>
      </c>
      <c r="I28" s="18" t="s">
        <v>349</v>
      </c>
      <c r="J28" s="20" t="s">
        <v>349</v>
      </c>
      <c r="K28" s="18" t="n">
        <v>1.70064771</v>
      </c>
      <c r="L28" s="20" t="n">
        <v>0.5187957</v>
      </c>
      <c r="M28" s="18" t="n">
        <v>0</v>
      </c>
      <c r="N28" s="20" t="n">
        <v>0</v>
      </c>
      <c r="O28" s="18" t="n">
        <v>0</v>
      </c>
      <c r="P28" s="20" t="n">
        <v>0</v>
      </c>
      <c r="Q28" s="18" t="n">
        <v>0</v>
      </c>
      <c r="R28" s="20" t="n">
        <v>0</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(20902.0/B46*100)</f>
        <v/>
      </c>
      <c r="D46" s="19" t="n">
        <v>2239</v>
      </c>
      <c r="E46" s="18" t="n">
        <v>91.70193872999999</v>
      </c>
      <c r="F46" s="20" t="n">
        <v>0.81311831</v>
      </c>
      <c r="G46" s="18" t="n">
        <v>3.91863063</v>
      </c>
      <c r="H46" s="20" t="n">
        <v>0.59835889</v>
      </c>
      <c r="I46" s="18" t="s">
        <v>349</v>
      </c>
      <c r="J46" s="20" t="s">
        <v>349</v>
      </c>
      <c r="K46" s="18" t="n">
        <v>4.37943064</v>
      </c>
      <c r="L46" s="20" t="n">
        <v>0.63337478</v>
      </c>
      <c r="M46" s="18" t="n">
        <v>0</v>
      </c>
      <c r="N46" s="20" t="n">
        <v>0</v>
      </c>
      <c r="O46" s="18" t="n">
        <v>0</v>
      </c>
      <c r="P46" s="20" t="n">
        <v>0</v>
      </c>
      <c r="Q46" s="18" t="n">
        <v>0</v>
      </c>
      <c r="R46" s="20" t="n">
        <v>0</v>
      </c>
    </row>
    <row r="47" spans="1:18">
      <c r="A47" s="15" t="s">
        <v>389</v>
      </c>
      <c r="B47" s="17" t="n">
        <v>5928</v>
      </c>
      <c r="C47" s="18">
        <f>(5230.0/B47*100)</f>
        <v/>
      </c>
      <c r="D47" s="19" t="n">
        <v>698</v>
      </c>
      <c r="E47" s="18" t="n">
        <v>88.37826123000001</v>
      </c>
      <c r="F47" s="20" t="n">
        <v>1.38914194</v>
      </c>
      <c r="G47" s="18" t="n">
        <v>9.60319323</v>
      </c>
      <c r="H47" s="20" t="n">
        <v>1.34342426</v>
      </c>
      <c r="I47" s="18" t="s">
        <v>349</v>
      </c>
      <c r="J47" s="20" t="s">
        <v>349</v>
      </c>
      <c r="K47" s="18" t="n">
        <v>2.01854554</v>
      </c>
      <c r="L47" s="20" t="n">
        <v>0.49689962</v>
      </c>
      <c r="M47" s="18" t="n">
        <v>0</v>
      </c>
      <c r="N47" s="20" t="n">
        <v>0</v>
      </c>
      <c r="O47" s="18" t="n">
        <v>0</v>
      </c>
      <c r="P47" s="20" t="n">
        <v>0</v>
      </c>
      <c r="Q47" s="18" t="n">
        <v>0</v>
      </c>
      <c r="R47" s="20" t="n">
        <v>0</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(10385.0/B50*100)</f>
        <v/>
      </c>
      <c r="D50" s="19" t="n">
        <v>1410</v>
      </c>
      <c r="E50" s="18" t="n">
        <v>90.52080126</v>
      </c>
      <c r="F50" s="20" t="n">
        <v>0.97385402</v>
      </c>
      <c r="G50" s="18" t="n">
        <v>4.75303071</v>
      </c>
      <c r="H50" s="20" t="n">
        <v>0.65837834</v>
      </c>
      <c r="I50" s="18" t="s">
        <v>349</v>
      </c>
      <c r="J50" s="20" t="s">
        <v>349</v>
      </c>
      <c r="K50" s="18" t="n">
        <v>4.72616803</v>
      </c>
      <c r="L50" s="20" t="n">
        <v>0.84366117</v>
      </c>
      <c r="M50" s="18" t="n">
        <v>0</v>
      </c>
      <c r="N50" s="20" t="n">
        <v>0</v>
      </c>
      <c r="O50" s="18" t="n">
        <v>0</v>
      </c>
      <c r="P50" s="20" t="n">
        <v>0</v>
      </c>
      <c r="Q50" s="18" t="n">
        <v>0</v>
      </c>
      <c r="R50" s="20" t="n">
        <v>0</v>
      </c>
    </row>
    <row r="51" spans="1:18">
      <c r="A51" s="15" t="s">
        <v>393</v>
      </c>
      <c r="B51" s="17" t="n">
        <v>6866</v>
      </c>
      <c r="C51" s="18">
        <f>(6178.0/B51*100)</f>
        <v/>
      </c>
      <c r="D51" s="19" t="n">
        <v>688</v>
      </c>
      <c r="E51" s="18" t="n">
        <v>93.22225555999999</v>
      </c>
      <c r="F51" s="20" t="n">
        <v>1.10718087</v>
      </c>
      <c r="G51" s="18" t="n">
        <v>4.36611045</v>
      </c>
      <c r="H51" s="20" t="n">
        <v>0.90860584</v>
      </c>
      <c r="I51" s="18" t="s">
        <v>349</v>
      </c>
      <c r="J51" s="20" t="s">
        <v>349</v>
      </c>
      <c r="K51" s="18" t="n">
        <v>2.41163398</v>
      </c>
      <c r="L51" s="20" t="n">
        <v>0.63188406</v>
      </c>
      <c r="M51" s="18" t="n">
        <v>0</v>
      </c>
      <c r="N51" s="20" t="n">
        <v>0</v>
      </c>
      <c r="O51" s="18" t="n">
        <v>0</v>
      </c>
      <c r="P51" s="20" t="n">
        <v>0</v>
      </c>
      <c r="Q51" s="18" t="n">
        <v>0</v>
      </c>
      <c r="R51" s="20" t="n">
        <v>0</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(4881.0/B53*100)</f>
        <v/>
      </c>
      <c r="D53" s="19" t="n">
        <v>690</v>
      </c>
      <c r="E53" s="18" t="n">
        <v>87.53828308</v>
      </c>
      <c r="F53" s="20" t="n">
        <v>1.27425055</v>
      </c>
      <c r="G53" s="18" t="n">
        <v>10.0866592</v>
      </c>
      <c r="H53" s="20" t="n">
        <v>1.24657761</v>
      </c>
      <c r="I53" s="18" t="s">
        <v>349</v>
      </c>
      <c r="J53" s="20" t="s">
        <v>349</v>
      </c>
      <c r="K53" s="18" t="n">
        <v>2.37505772</v>
      </c>
      <c r="L53" s="20" t="n">
        <v>0.49195725</v>
      </c>
      <c r="M53" s="18" t="n">
        <v>0</v>
      </c>
      <c r="N53" s="20" t="n">
        <v>0</v>
      </c>
      <c r="O53" s="18" t="n">
        <v>0</v>
      </c>
      <c r="P53" s="20" t="n">
        <v>0</v>
      </c>
      <c r="Q53" s="18" t="n">
        <v>0</v>
      </c>
      <c r="R53" s="20" t="n">
        <v>0</v>
      </c>
    </row>
    <row r="54" spans="1:18">
      <c r="A54" s="15" t="s">
        <v>396</v>
      </c>
      <c r="B54" s="17" t="n">
        <v>4740</v>
      </c>
      <c r="C54" s="18">
        <f>(3949.0/B54*100)</f>
        <v/>
      </c>
      <c r="D54" s="19" t="n">
        <v>791</v>
      </c>
      <c r="E54" s="18" t="n">
        <v>81.78921271999999</v>
      </c>
      <c r="F54" s="20" t="n">
        <v>1.50744087</v>
      </c>
      <c r="G54" s="18" t="n">
        <v>2.39938964</v>
      </c>
      <c r="H54" s="20" t="n">
        <v>0.55813808</v>
      </c>
      <c r="I54" s="18" t="s">
        <v>349</v>
      </c>
      <c r="J54" s="20" t="s">
        <v>349</v>
      </c>
      <c r="K54" s="18" t="n">
        <v>15.81139764</v>
      </c>
      <c r="L54" s="20" t="n">
        <v>1.40875553</v>
      </c>
      <c r="M54" s="18" t="n">
        <v>0</v>
      </c>
      <c r="N54" s="20" t="n">
        <v>0</v>
      </c>
      <c r="O54" s="18" t="n">
        <v>0</v>
      </c>
      <c r="P54" s="20" t="n">
        <v>0</v>
      </c>
      <c r="Q54" s="18" t="n">
        <v>0</v>
      </c>
      <c r="R54" s="20" t="n">
        <v>0</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(6242.0/B67*100)</f>
        <v/>
      </c>
      <c r="D67" s="19" t="n">
        <v>729</v>
      </c>
      <c r="E67" s="18" t="n">
        <v>93.56118553</v>
      </c>
      <c r="F67" s="20" t="n">
        <v>0.91570005</v>
      </c>
      <c r="G67" s="18" t="n">
        <v>5.23589341</v>
      </c>
      <c r="H67" s="20" t="n">
        <v>0.87996531</v>
      </c>
      <c r="I67" s="18" t="s">
        <v>349</v>
      </c>
      <c r="J67" s="20" t="s">
        <v>349</v>
      </c>
      <c r="K67" s="18" t="n">
        <v>1.20292106</v>
      </c>
      <c r="L67" s="20" t="n">
        <v>0.40282355</v>
      </c>
      <c r="M67" s="18" t="n">
        <v>0</v>
      </c>
      <c r="N67" s="20" t="n">
        <v>0</v>
      </c>
      <c r="O67" s="18" t="n">
        <v>0</v>
      </c>
      <c r="P67" s="20" t="n">
        <v>0</v>
      </c>
      <c r="Q67" s="18" t="n">
        <v>0</v>
      </c>
      <c r="R67" s="20" t="n">
        <v>0</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(4766.0/B75*100)</f>
        <v/>
      </c>
      <c r="D75" s="19" t="n">
        <v>609</v>
      </c>
      <c r="E75" s="18" t="n">
        <v>89.42005056000001</v>
      </c>
      <c r="F75" s="20" t="n">
        <v>1.33328864</v>
      </c>
      <c r="G75" s="18" t="n">
        <v>4.82253651</v>
      </c>
      <c r="H75" s="20" t="n">
        <v>0.87787344</v>
      </c>
      <c r="I75" s="18" t="s">
        <v>349</v>
      </c>
      <c r="J75" s="20" t="s">
        <v>349</v>
      </c>
      <c r="K75" s="18" t="n">
        <v>5.75741293</v>
      </c>
      <c r="L75" s="20" t="n">
        <v>1.0549241</v>
      </c>
      <c r="M75" s="18" t="n">
        <v>0</v>
      </c>
      <c r="N75" s="20" t="n">
        <v>0</v>
      </c>
      <c r="O75" s="18" t="n">
        <v>0</v>
      </c>
      <c r="P75" s="20" t="n">
        <v>0</v>
      </c>
      <c r="Q75" s="18" t="n">
        <v>0</v>
      </c>
      <c r="R75" s="20" t="n">
        <v>0</v>
      </c>
    </row>
    <row r="76" spans="1:18">
      <c r="A76" s="15" t="s">
        <v>418</v>
      </c>
      <c r="B76" s="17" t="n">
        <v>14167</v>
      </c>
      <c r="C76" s="18">
        <f>(12420.0/B76*100)</f>
        <v/>
      </c>
      <c r="D76" s="19" t="n">
        <v>1747</v>
      </c>
      <c r="E76" s="18" t="n">
        <v>87.48626584</v>
      </c>
      <c r="F76" s="20" t="n">
        <v>0.88198102</v>
      </c>
      <c r="G76" s="18" t="n">
        <v>9.46465398</v>
      </c>
      <c r="H76" s="20" t="n">
        <v>0.84237405</v>
      </c>
      <c r="I76" s="18" t="s">
        <v>349</v>
      </c>
      <c r="J76" s="20" t="s">
        <v>349</v>
      </c>
      <c r="K76" s="18" t="n">
        <v>3.04908018</v>
      </c>
      <c r="L76" s="20" t="n">
        <v>0.62031055</v>
      </c>
      <c r="M76" s="18" t="n">
        <v>0</v>
      </c>
      <c r="N76" s="20" t="n">
        <v>0</v>
      </c>
      <c r="O76" s="18" t="n">
        <v>0</v>
      </c>
      <c r="P76" s="20" t="n">
        <v>0</v>
      </c>
      <c r="Q76" s="18" t="n">
        <v>0</v>
      </c>
      <c r="R76" s="20" t="n">
        <v>0</v>
      </c>
    </row>
    <row r="77" spans="1:18">
      <c r="A77" s="15" t="s">
        <v>419</v>
      </c>
      <c r="B77" s="17" t="n">
        <v>6062</v>
      </c>
      <c r="C77" s="18">
        <f>(5361.0/B77*100)</f>
        <v/>
      </c>
      <c r="D77" s="19" t="n">
        <v>701</v>
      </c>
      <c r="E77" s="18" t="n">
        <v>88.91305147</v>
      </c>
      <c r="F77" s="20" t="n">
        <v>1.23900982</v>
      </c>
      <c r="G77" s="18" t="n">
        <v>4.9460571</v>
      </c>
      <c r="H77" s="20" t="n">
        <v>0.86106929</v>
      </c>
      <c r="I77" s="18" t="s">
        <v>349</v>
      </c>
      <c r="J77" s="20" t="s">
        <v>349</v>
      </c>
      <c r="K77" s="18" t="n">
        <v>6.14089144</v>
      </c>
      <c r="L77" s="20" t="n">
        <v>1.04123055</v>
      </c>
      <c r="M77" s="18" t="n">
        <v>0</v>
      </c>
      <c r="N77" s="20" t="n">
        <v>0</v>
      </c>
      <c r="O77" s="18" t="n">
        <v>0</v>
      </c>
      <c r="P77" s="20" t="n">
        <v>0</v>
      </c>
      <c r="Q77" s="18" t="n">
        <v>0</v>
      </c>
      <c r="R77" s="20" t="n">
        <v>0</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43.35525382</v>
      </c>
      <c r="F44" s="20" t="n">
        <v>1.90865494</v>
      </c>
      <c r="G44" s="18" t="n">
        <v>46.3673038</v>
      </c>
      <c r="H44" s="20" t="n">
        <v>1.93401789</v>
      </c>
      <c r="I44" s="18" t="s">
        <v>349</v>
      </c>
      <c r="J44" s="20" t="s">
        <v>349</v>
      </c>
      <c r="K44" s="18" t="n">
        <v>2.85963518</v>
      </c>
      <c r="L44" s="20" t="n">
        <v>0.73620635</v>
      </c>
      <c r="M44" s="18" t="n">
        <v>0</v>
      </c>
      <c r="N44" s="20" t="n">
        <v>0</v>
      </c>
      <c r="O44" s="18" t="n">
        <v>0.20147387</v>
      </c>
      <c r="P44" s="20" t="n">
        <v>0.19531142</v>
      </c>
      <c r="Q44" s="18" t="n">
        <v>7.21633333</v>
      </c>
      <c r="R44" s="20" t="n">
        <v>1.06085765</v>
      </c>
    </row>
    <row r="45" spans="1:18">
      <c r="A45" s="15" t="s">
        <v>387</v>
      </c>
      <c r="B45" s="17" t="n">
        <v>5519</v>
      </c>
      <c r="C45" s="18">
        <f>(4611.0/B45*100)</f>
        <v/>
      </c>
      <c r="D45" s="19" t="n">
        <v>908</v>
      </c>
      <c r="E45" s="18" t="n">
        <v>56.50928789</v>
      </c>
      <c r="F45" s="20" t="n">
        <v>1.91073773</v>
      </c>
      <c r="G45" s="18" t="n">
        <v>21.60827952</v>
      </c>
      <c r="H45" s="20" t="n">
        <v>1.48919031</v>
      </c>
      <c r="I45" s="18" t="s">
        <v>349</v>
      </c>
      <c r="J45" s="20" t="s">
        <v>349</v>
      </c>
      <c r="K45" s="18" t="n">
        <v>4.2212959</v>
      </c>
      <c r="L45" s="20" t="n">
        <v>0.68477688</v>
      </c>
      <c r="M45" s="18" t="n">
        <v>0.13162838</v>
      </c>
      <c r="N45" s="20" t="n">
        <v>0.09276483000000001</v>
      </c>
      <c r="O45" s="18" t="n">
        <v>0.63729878</v>
      </c>
      <c r="P45" s="20" t="n">
        <v>0.25435742</v>
      </c>
      <c r="Q45" s="18" t="n">
        <v>16.89220952</v>
      </c>
      <c r="R45" s="20" t="n">
        <v>1.44466502</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33.72055766</v>
      </c>
      <c r="F49" s="20" t="n">
        <v>1.59736054</v>
      </c>
      <c r="G49" s="18" t="n">
        <v>61.37441108</v>
      </c>
      <c r="H49" s="20" t="n">
        <v>1.63956751</v>
      </c>
      <c r="I49" s="18" t="s">
        <v>349</v>
      </c>
      <c r="J49" s="20" t="s">
        <v>349</v>
      </c>
      <c r="K49" s="18" t="n">
        <v>1.57244521</v>
      </c>
      <c r="L49" s="20" t="n">
        <v>0.39807632</v>
      </c>
      <c r="M49" s="18" t="n">
        <v>0</v>
      </c>
      <c r="N49" s="20" t="n">
        <v>0</v>
      </c>
      <c r="O49" s="18" t="n">
        <v>0.22387507</v>
      </c>
      <c r="P49" s="20" t="n">
        <v>0.15504442</v>
      </c>
      <c r="Q49" s="18" t="n">
        <v>3.10871097</v>
      </c>
      <c r="R49" s="20" t="n">
        <v>0.71708044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49.3313384</v>
      </c>
      <c r="F55" s="20" t="n">
        <v>1.80195179</v>
      </c>
      <c r="G55" s="18" t="n">
        <v>44.3085027</v>
      </c>
      <c r="H55" s="20" t="n">
        <v>1.73757974</v>
      </c>
      <c r="I55" s="18" t="s">
        <v>349</v>
      </c>
      <c r="J55" s="20" t="s">
        <v>349</v>
      </c>
      <c r="K55" s="18" t="n">
        <v>1.5326059</v>
      </c>
      <c r="L55" s="20" t="n">
        <v>0.46372543</v>
      </c>
      <c r="M55" s="18" t="n">
        <v>0</v>
      </c>
      <c r="N55" s="20" t="n">
        <v>0</v>
      </c>
      <c r="O55" s="18" t="n">
        <v>0.2873289</v>
      </c>
      <c r="P55" s="20" t="n">
        <v>0.20689369</v>
      </c>
      <c r="Q55" s="18" t="n">
        <v>4.54022409</v>
      </c>
      <c r="R55" s="20" t="n">
        <v>0.63050573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44.83410425</v>
      </c>
      <c r="F57" s="20" t="n">
        <v>1.8936015</v>
      </c>
      <c r="G57" s="18" t="n">
        <v>51.68190397</v>
      </c>
      <c r="H57" s="20" t="n">
        <v>1.90372404</v>
      </c>
      <c r="I57" s="18" t="s">
        <v>349</v>
      </c>
      <c r="J57" s="20" t="s">
        <v>349</v>
      </c>
      <c r="K57" s="18" t="n">
        <v>0.62028311</v>
      </c>
      <c r="L57" s="20" t="n">
        <v>0.27561029</v>
      </c>
      <c r="M57" s="18" t="n">
        <v>0</v>
      </c>
      <c r="N57" s="20" t="n">
        <v>0</v>
      </c>
      <c r="O57" s="18" t="n">
        <v>0</v>
      </c>
      <c r="P57" s="20" t="n">
        <v>0</v>
      </c>
      <c r="Q57" s="18" t="n">
        <v>2.86370867</v>
      </c>
      <c r="R57" s="20" t="n">
        <v>0.52533914</v>
      </c>
    </row>
    <row r="58" spans="1:18">
      <c r="A58" s="15" t="s">
        <v>400</v>
      </c>
      <c r="B58" s="17" t="n">
        <v>7267</v>
      </c>
      <c r="C58" s="18">
        <f>(6036.0/B58*100)</f>
        <v/>
      </c>
      <c r="D58" s="19" t="n">
        <v>1231</v>
      </c>
      <c r="E58" s="18" t="n">
        <v>45.23210322</v>
      </c>
      <c r="F58" s="20" t="n">
        <v>1.89903782</v>
      </c>
      <c r="G58" s="18" t="n">
        <v>50.84855539</v>
      </c>
      <c r="H58" s="20" t="n">
        <v>1.90475155</v>
      </c>
      <c r="I58" s="18" t="s">
        <v>349</v>
      </c>
      <c r="J58" s="20" t="s">
        <v>349</v>
      </c>
      <c r="K58" s="18" t="n">
        <v>1.12581897</v>
      </c>
      <c r="L58" s="20" t="n">
        <v>0.26891075</v>
      </c>
      <c r="M58" s="18" t="n">
        <v>0</v>
      </c>
      <c r="N58" s="20" t="n">
        <v>0</v>
      </c>
      <c r="O58" s="18" t="n">
        <v>0.33995703</v>
      </c>
      <c r="P58" s="20" t="n">
        <v>0.19055148</v>
      </c>
      <c r="Q58" s="18" t="n">
        <v>2.45356538</v>
      </c>
      <c r="R58" s="20" t="n">
        <v>0.44073103</v>
      </c>
    </row>
    <row r="59" spans="1:18">
      <c r="A59" s="15" t="s">
        <v>401</v>
      </c>
      <c r="B59" s="17" t="n">
        <v>4826</v>
      </c>
      <c r="C59" s="18">
        <f>(4028.0/B59*100)</f>
        <v/>
      </c>
      <c r="D59" s="19" t="n">
        <v>798</v>
      </c>
      <c r="E59" s="18" t="n">
        <v>54.61797832</v>
      </c>
      <c r="F59" s="20" t="n">
        <v>2.29832634</v>
      </c>
      <c r="G59" s="18" t="n">
        <v>41.52615985</v>
      </c>
      <c r="H59" s="20" t="n">
        <v>2.25533413</v>
      </c>
      <c r="I59" s="18" t="s">
        <v>349</v>
      </c>
      <c r="J59" s="20" t="s">
        <v>349</v>
      </c>
      <c r="K59" s="18" t="n">
        <v>1.02369363</v>
      </c>
      <c r="L59" s="20" t="n">
        <v>0.42478844</v>
      </c>
      <c r="M59" s="18" t="n">
        <v>0</v>
      </c>
      <c r="N59" s="20" t="n">
        <v>0</v>
      </c>
      <c r="O59" s="18" t="n">
        <v>0.10565736</v>
      </c>
      <c r="P59" s="20" t="n">
        <v>0.07513723</v>
      </c>
      <c r="Q59" s="18" t="n">
        <v>2.72651085</v>
      </c>
      <c r="R59" s="20" t="n">
        <v>0.69247295</v>
      </c>
    </row>
    <row r="60" spans="1:18">
      <c r="A60" s="15" t="s">
        <v>402</v>
      </c>
      <c r="B60" s="17" t="n">
        <v>4546</v>
      </c>
      <c r="C60" s="18">
        <f>(3801.0/B60*100)</f>
        <v/>
      </c>
      <c r="D60" s="19" t="n">
        <v>745</v>
      </c>
      <c r="E60" s="18" t="n">
        <v>40.84898988</v>
      </c>
      <c r="F60" s="20" t="n">
        <v>1.86386437</v>
      </c>
      <c r="G60" s="18" t="n">
        <v>48.89788613</v>
      </c>
      <c r="H60" s="20" t="n">
        <v>2.19658426</v>
      </c>
      <c r="I60" s="18" t="s">
        <v>349</v>
      </c>
      <c r="J60" s="20" t="s">
        <v>349</v>
      </c>
      <c r="K60" s="18" t="n">
        <v>2.68960958</v>
      </c>
      <c r="L60" s="20" t="n">
        <v>0.7109429900000001</v>
      </c>
      <c r="M60" s="18" t="n">
        <v>0</v>
      </c>
      <c r="N60" s="20" t="n">
        <v>0</v>
      </c>
      <c r="O60" s="18" t="n">
        <v>0.60735278</v>
      </c>
      <c r="P60" s="20" t="n">
        <v>0.3432951</v>
      </c>
      <c r="Q60" s="18" t="n">
        <v>6.95616163</v>
      </c>
      <c r="R60" s="20" t="n">
        <v>1.31817741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43.57582767</v>
      </c>
      <c r="F63" s="20" t="n">
        <v>1.68253841</v>
      </c>
      <c r="G63" s="18" t="n">
        <v>45.51070227</v>
      </c>
      <c r="H63" s="20" t="n">
        <v>1.80988437</v>
      </c>
      <c r="I63" s="18" t="s">
        <v>349</v>
      </c>
      <c r="J63" s="20" t="s">
        <v>349</v>
      </c>
      <c r="K63" s="18" t="n">
        <v>1.30999357</v>
      </c>
      <c r="L63" s="20" t="n">
        <v>0.40895731</v>
      </c>
      <c r="M63" s="18" t="n">
        <v>0</v>
      </c>
      <c r="N63" s="20" t="n">
        <v>0</v>
      </c>
      <c r="O63" s="18" t="n">
        <v>0</v>
      </c>
      <c r="P63" s="20" t="n">
        <v>0</v>
      </c>
      <c r="Q63" s="18" t="n">
        <v>9.60347649</v>
      </c>
      <c r="R63" s="20" t="n">
        <v>0.8478128</v>
      </c>
    </row>
    <row r="64" spans="1:18">
      <c r="A64" s="15" t="s">
        <v>406</v>
      </c>
      <c r="B64" s="17" t="n">
        <v>3634</v>
      </c>
      <c r="C64" s="18">
        <f>(3027.0/B64*100)</f>
        <v/>
      </c>
      <c r="D64" s="19" t="n">
        <v>607</v>
      </c>
      <c r="E64" s="18" t="n">
        <v>25.93012176</v>
      </c>
      <c r="F64" s="20" t="n">
        <v>1.94214307</v>
      </c>
      <c r="G64" s="18" t="n">
        <v>70.94274271</v>
      </c>
      <c r="H64" s="20" t="n">
        <v>2.03460888</v>
      </c>
      <c r="I64" s="18" t="s">
        <v>349</v>
      </c>
      <c r="J64" s="20" t="s">
        <v>349</v>
      </c>
      <c r="K64" s="18" t="n">
        <v>0.77432453</v>
      </c>
      <c r="L64" s="20" t="n">
        <v>0.39098856</v>
      </c>
      <c r="M64" s="18" t="n">
        <v>0</v>
      </c>
      <c r="N64" s="20" t="n">
        <v>0</v>
      </c>
      <c r="O64" s="18" t="n">
        <v>0.13948576</v>
      </c>
      <c r="P64" s="20" t="n">
        <v>0.13972555</v>
      </c>
      <c r="Q64" s="18" t="n">
        <v>2.21332523</v>
      </c>
      <c r="R64" s="20" t="n">
        <v>0.58593702</v>
      </c>
    </row>
    <row r="65" spans="1:18">
      <c r="A65" s="15" t="s">
        <v>407</v>
      </c>
      <c r="B65" s="17" t="n">
        <v>5325</v>
      </c>
      <c r="C65" s="18">
        <f>(4419.0/B65*100)</f>
        <v/>
      </c>
      <c r="D65" s="19" t="n">
        <v>906</v>
      </c>
      <c r="E65" s="18" t="n">
        <v>33.87084012</v>
      </c>
      <c r="F65" s="20" t="n">
        <v>1.40131446</v>
      </c>
      <c r="G65" s="18" t="n">
        <v>59.26272611</v>
      </c>
      <c r="H65" s="20" t="n">
        <v>1.52723984</v>
      </c>
      <c r="I65" s="18" t="s">
        <v>349</v>
      </c>
      <c r="J65" s="20" t="s">
        <v>349</v>
      </c>
      <c r="K65" s="18" t="n">
        <v>3.13708006</v>
      </c>
      <c r="L65" s="20" t="n">
        <v>0.60230025</v>
      </c>
      <c r="M65" s="18" t="n">
        <v>0.46523182</v>
      </c>
      <c r="N65" s="20" t="n">
        <v>0.24696285</v>
      </c>
      <c r="O65" s="18" t="n">
        <v>0</v>
      </c>
      <c r="P65" s="20" t="n">
        <v>0</v>
      </c>
      <c r="Q65" s="18" t="n">
        <v>3.26412189</v>
      </c>
      <c r="R65" s="20" t="n">
        <v>0.64955908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50.68006238</v>
      </c>
      <c r="F69" s="20" t="n">
        <v>2.05046384</v>
      </c>
      <c r="G69" s="18" t="n">
        <v>48.27540091</v>
      </c>
      <c r="H69" s="20" t="n">
        <v>2.01435902</v>
      </c>
      <c r="I69" s="18" t="s">
        <v>349</v>
      </c>
      <c r="J69" s="20" t="s">
        <v>349</v>
      </c>
      <c r="K69" s="18" t="n">
        <v>0</v>
      </c>
      <c r="L69" s="20" t="n">
        <v>0</v>
      </c>
      <c r="M69" s="18" t="n">
        <v>0</v>
      </c>
      <c r="N69" s="20" t="n">
        <v>0</v>
      </c>
      <c r="O69" s="18" t="n">
        <v>0</v>
      </c>
      <c r="P69" s="20" t="n">
        <v>0</v>
      </c>
      <c r="Q69" s="18" t="n">
        <v>1.0445367</v>
      </c>
      <c r="R69" s="20" t="n">
        <v>0.38674788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40.887239</v>
      </c>
      <c r="F74" s="20" t="n">
        <v>1.91285395</v>
      </c>
      <c r="G74" s="18" t="n">
        <v>50.65001293</v>
      </c>
      <c r="H74" s="20" t="n">
        <v>1.9647258</v>
      </c>
      <c r="I74" s="18" t="s">
        <v>349</v>
      </c>
      <c r="J74" s="20" t="s">
        <v>349</v>
      </c>
      <c r="K74" s="18" t="n">
        <v>5.6456066</v>
      </c>
      <c r="L74" s="20" t="n">
        <v>0.99265052</v>
      </c>
      <c r="M74" s="18" t="n">
        <v>0</v>
      </c>
      <c r="N74" s="20" t="n">
        <v>0</v>
      </c>
      <c r="O74" s="18" t="n">
        <v>0</v>
      </c>
      <c r="P74" s="20" t="n">
        <v>0</v>
      </c>
      <c r="Q74" s="18" t="n">
        <v>2.81714147</v>
      </c>
      <c r="R74" s="20" t="n">
        <v>0.6781814900000001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24.54072783</v>
      </c>
      <c r="F78" s="20" t="n">
        <v>1.45535809</v>
      </c>
      <c r="G78" s="18" t="n">
        <v>75.24339866</v>
      </c>
      <c r="H78" s="20" t="n">
        <v>1.48101353</v>
      </c>
      <c r="I78" s="18" t="s">
        <v>349</v>
      </c>
      <c r="J78" s="20" t="s">
        <v>349</v>
      </c>
      <c r="K78" s="18" t="n">
        <v>0</v>
      </c>
      <c r="L78" s="20" t="n">
        <v>0</v>
      </c>
      <c r="M78" s="18" t="n">
        <v>0</v>
      </c>
      <c r="N78" s="20" t="n">
        <v>0</v>
      </c>
      <c r="O78" s="18" t="n">
        <v>0</v>
      </c>
      <c r="P78" s="20" t="n">
        <v>0</v>
      </c>
      <c r="Q78" s="18" t="n">
        <v>0.2158735</v>
      </c>
      <c r="R78" s="20" t="n">
        <v>0.15334868</v>
      </c>
    </row>
    <row customHeight="1" ht="25" r="79" spans="1:18">
      <c r="A79" s="15" t="s">
        <v>421</v>
      </c>
      <c r="B79" s="17" t="n">
        <v>1657</v>
      </c>
      <c r="C79" s="18">
        <f>(1377.0/B79*100)</f>
        <v/>
      </c>
      <c r="D79" s="19" t="n">
        <v>280</v>
      </c>
      <c r="E79" s="18" t="n">
        <v>26.68654542</v>
      </c>
      <c r="F79" s="20" t="n">
        <v>3.67522967</v>
      </c>
      <c r="G79" s="18" t="n">
        <v>69.73598232000001</v>
      </c>
      <c r="H79" s="20" t="n">
        <v>3.84531342</v>
      </c>
      <c r="I79" s="18" t="s">
        <v>349</v>
      </c>
      <c r="J79" s="20" t="s">
        <v>349</v>
      </c>
      <c r="K79" s="18" t="n">
        <v>2.40458645</v>
      </c>
      <c r="L79" s="20" t="n">
        <v>0.96091847</v>
      </c>
      <c r="M79" s="18" t="n">
        <v>0</v>
      </c>
      <c r="N79" s="20" t="n">
        <v>0</v>
      </c>
      <c r="O79" s="18" t="n">
        <v>0</v>
      </c>
      <c r="P79" s="20" t="n">
        <v>0</v>
      </c>
      <c r="Q79" s="18" t="n">
        <v>1.1728858</v>
      </c>
      <c r="R79" s="20" t="n">
        <v>0.72562656</v>
      </c>
    </row>
    <row r="80" spans="1:18">
      <c r="A80" s="15" t="s">
        <v>422</v>
      </c>
      <c r="B80" s="17" t="n">
        <v>7841</v>
      </c>
      <c r="C80" s="18">
        <f>(6548.0/B80*100)</f>
        <v/>
      </c>
      <c r="D80" s="19" t="n">
        <v>1293</v>
      </c>
      <c r="E80" s="18" t="n">
        <v>25.00170944</v>
      </c>
      <c r="F80" s="20" t="n">
        <v>1.69014556</v>
      </c>
      <c r="G80" s="18" t="n">
        <v>74.77103665999999</v>
      </c>
      <c r="H80" s="20" t="n">
        <v>1.7079318</v>
      </c>
      <c r="I80" s="18" t="s">
        <v>349</v>
      </c>
      <c r="J80" s="20" t="s">
        <v>349</v>
      </c>
      <c r="K80" s="18" t="n">
        <v>0</v>
      </c>
      <c r="L80" s="20" t="n">
        <v>0</v>
      </c>
      <c r="M80" s="18" t="n">
        <v>0</v>
      </c>
      <c r="N80" s="20" t="n">
        <v>0</v>
      </c>
      <c r="O80" s="18" t="n">
        <v>0</v>
      </c>
      <c r="P80" s="20" t="n">
        <v>0</v>
      </c>
      <c r="Q80" s="18" t="n">
        <v>0.2272539</v>
      </c>
      <c r="R80" s="20" t="n">
        <v>0.16524379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42.68630563</v>
      </c>
      <c r="F44" s="20" t="n">
        <v>2.05435</v>
      </c>
      <c r="G44" s="18" t="n">
        <v>43.85879668</v>
      </c>
      <c r="H44" s="20" t="n">
        <v>1.99514714</v>
      </c>
      <c r="I44" s="18" t="s">
        <v>349</v>
      </c>
      <c r="J44" s="20" t="s">
        <v>349</v>
      </c>
      <c r="K44" s="18" t="n">
        <v>4.13720987</v>
      </c>
      <c r="L44" s="20" t="n">
        <v>0.84174386</v>
      </c>
      <c r="M44" s="18" t="n">
        <v>0</v>
      </c>
      <c r="N44" s="20" t="n">
        <v>0</v>
      </c>
      <c r="O44" s="18" t="n">
        <v>0</v>
      </c>
      <c r="P44" s="20" t="n">
        <v>0</v>
      </c>
      <c r="Q44" s="18" t="n">
        <v>9.317687810000001</v>
      </c>
      <c r="R44" s="20" t="n">
        <v>1.16296248</v>
      </c>
    </row>
    <row r="45" spans="1:18">
      <c r="A45" s="15" t="s">
        <v>387</v>
      </c>
      <c r="B45" s="17" t="n">
        <v>5519</v>
      </c>
      <c r="C45" s="18">
        <f>(4611.0/B45*100)</f>
        <v/>
      </c>
      <c r="D45" s="19" t="n">
        <v>908</v>
      </c>
      <c r="E45" s="18" t="n">
        <v>49.47987675</v>
      </c>
      <c r="F45" s="20" t="n">
        <v>1.60237388</v>
      </c>
      <c r="G45" s="18" t="n">
        <v>32.88406733</v>
      </c>
      <c r="H45" s="20" t="n">
        <v>1.68200949</v>
      </c>
      <c r="I45" s="18" t="s">
        <v>349</v>
      </c>
      <c r="J45" s="20" t="s">
        <v>349</v>
      </c>
      <c r="K45" s="18" t="n">
        <v>4.92351009</v>
      </c>
      <c r="L45" s="20" t="n">
        <v>0.7428664</v>
      </c>
      <c r="M45" s="18" t="n">
        <v>0.99582627</v>
      </c>
      <c r="N45" s="20" t="n">
        <v>0.36587155</v>
      </c>
      <c r="O45" s="18" t="n">
        <v>1.35126172</v>
      </c>
      <c r="P45" s="20" t="n">
        <v>0.4563888</v>
      </c>
      <c r="Q45" s="18" t="n">
        <v>10.36545784</v>
      </c>
      <c r="R45" s="20" t="n">
        <v>1.08116198</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45.87479997</v>
      </c>
      <c r="F49" s="20" t="n">
        <v>1.77200467</v>
      </c>
      <c r="G49" s="18" t="n">
        <v>47.00435863</v>
      </c>
      <c r="H49" s="20" t="n">
        <v>1.86298819</v>
      </c>
      <c r="I49" s="18" t="s">
        <v>349</v>
      </c>
      <c r="J49" s="20" t="s">
        <v>349</v>
      </c>
      <c r="K49" s="18" t="n">
        <v>2.20130072</v>
      </c>
      <c r="L49" s="20" t="n">
        <v>0.5351142800000001</v>
      </c>
      <c r="M49" s="18" t="n">
        <v>0</v>
      </c>
      <c r="N49" s="20" t="n">
        <v>0</v>
      </c>
      <c r="O49" s="18" t="n">
        <v>0</v>
      </c>
      <c r="P49" s="20" t="n">
        <v>0</v>
      </c>
      <c r="Q49" s="18" t="n">
        <v>4.91954068</v>
      </c>
      <c r="R49" s="20" t="n">
        <v>0.87946068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50.20622525</v>
      </c>
      <c r="F55" s="20" t="n">
        <v>1.71882539</v>
      </c>
      <c r="G55" s="18" t="n">
        <v>37.34072509</v>
      </c>
      <c r="H55" s="20" t="n">
        <v>1.70639737</v>
      </c>
      <c r="I55" s="18" t="s">
        <v>349</v>
      </c>
      <c r="J55" s="20" t="s">
        <v>349</v>
      </c>
      <c r="K55" s="18" t="n">
        <v>1.95796834</v>
      </c>
      <c r="L55" s="20" t="n">
        <v>0.51599382</v>
      </c>
      <c r="M55" s="18" t="n">
        <v>0</v>
      </c>
      <c r="N55" s="20" t="n">
        <v>0</v>
      </c>
      <c r="O55" s="18" t="n">
        <v>0</v>
      </c>
      <c r="P55" s="20" t="n">
        <v>0</v>
      </c>
      <c r="Q55" s="18" t="n">
        <v>10.49508132</v>
      </c>
      <c r="R55" s="20" t="n">
        <v>1.27173451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50.10271511</v>
      </c>
      <c r="F57" s="20" t="n">
        <v>1.54193775</v>
      </c>
      <c r="G57" s="18" t="n">
        <v>40.46779603</v>
      </c>
      <c r="H57" s="20" t="n">
        <v>1.54832793</v>
      </c>
      <c r="I57" s="18" t="s">
        <v>349</v>
      </c>
      <c r="J57" s="20" t="s">
        <v>349</v>
      </c>
      <c r="K57" s="18" t="n">
        <v>0.80902542</v>
      </c>
      <c r="L57" s="20" t="n">
        <v>0.31205719</v>
      </c>
      <c r="M57" s="18" t="n">
        <v>0</v>
      </c>
      <c r="N57" s="20" t="n">
        <v>0</v>
      </c>
      <c r="O57" s="18" t="n">
        <v>0</v>
      </c>
      <c r="P57" s="20" t="n">
        <v>0</v>
      </c>
      <c r="Q57" s="18" t="n">
        <v>8.62046344</v>
      </c>
      <c r="R57" s="20" t="n">
        <v>0.9133219</v>
      </c>
    </row>
    <row r="58" spans="1:18">
      <c r="A58" s="15" t="s">
        <v>400</v>
      </c>
      <c r="B58" s="17" t="n">
        <v>7267</v>
      </c>
      <c r="C58" s="18">
        <f>(6036.0/B58*100)</f>
        <v/>
      </c>
      <c r="D58" s="19" t="n">
        <v>1231</v>
      </c>
      <c r="E58" s="18" t="n">
        <v>55.04599123</v>
      </c>
      <c r="F58" s="20" t="n">
        <v>1.84932891</v>
      </c>
      <c r="G58" s="18" t="n">
        <v>38.49573947</v>
      </c>
      <c r="H58" s="20" t="n">
        <v>1.73662481</v>
      </c>
      <c r="I58" s="18" t="s">
        <v>349</v>
      </c>
      <c r="J58" s="20" t="s">
        <v>349</v>
      </c>
      <c r="K58" s="18" t="n">
        <v>1.61549799</v>
      </c>
      <c r="L58" s="20" t="n">
        <v>0.34586369</v>
      </c>
      <c r="M58" s="18" t="n">
        <v>0</v>
      </c>
      <c r="N58" s="20" t="n">
        <v>0</v>
      </c>
      <c r="O58" s="18" t="n">
        <v>0.02229541</v>
      </c>
      <c r="P58" s="20" t="n">
        <v>0.02235995</v>
      </c>
      <c r="Q58" s="18" t="n">
        <v>4.82047591</v>
      </c>
      <c r="R58" s="20" t="n">
        <v>0.60659757</v>
      </c>
    </row>
    <row r="59" spans="1:18">
      <c r="A59" s="15" t="s">
        <v>401</v>
      </c>
      <c r="B59" s="17" t="n">
        <v>4826</v>
      </c>
      <c r="C59" s="18">
        <f>(4028.0/B59*100)</f>
        <v/>
      </c>
      <c r="D59" s="19" t="n">
        <v>798</v>
      </c>
      <c r="E59" s="18" t="n">
        <v>54.62372128</v>
      </c>
      <c r="F59" s="20" t="n">
        <v>2.07337286</v>
      </c>
      <c r="G59" s="18" t="n">
        <v>37.30612082</v>
      </c>
      <c r="H59" s="20" t="n">
        <v>2.21112482</v>
      </c>
      <c r="I59" s="18" t="s">
        <v>349</v>
      </c>
      <c r="J59" s="20" t="s">
        <v>349</v>
      </c>
      <c r="K59" s="18" t="n">
        <v>1.21268105</v>
      </c>
      <c r="L59" s="20" t="n">
        <v>0.45124231</v>
      </c>
      <c r="M59" s="18" t="n">
        <v>0</v>
      </c>
      <c r="N59" s="20" t="n">
        <v>0</v>
      </c>
      <c r="O59" s="18" t="n">
        <v>0</v>
      </c>
      <c r="P59" s="20" t="n">
        <v>0</v>
      </c>
      <c r="Q59" s="18" t="n">
        <v>6.85747685</v>
      </c>
      <c r="R59" s="20" t="n">
        <v>1.11992187</v>
      </c>
    </row>
    <row r="60" spans="1:18">
      <c r="A60" s="15" t="s">
        <v>402</v>
      </c>
      <c r="B60" s="17" t="n">
        <v>4546</v>
      </c>
      <c r="C60" s="18">
        <f>(3801.0/B60*100)</f>
        <v/>
      </c>
      <c r="D60" s="19" t="n">
        <v>745</v>
      </c>
      <c r="E60" s="18" t="n">
        <v>39.53586749</v>
      </c>
      <c r="F60" s="20" t="n">
        <v>1.94373395</v>
      </c>
      <c r="G60" s="18" t="n">
        <v>50.4222546</v>
      </c>
      <c r="H60" s="20" t="n">
        <v>2.08689916</v>
      </c>
      <c r="I60" s="18" t="s">
        <v>349</v>
      </c>
      <c r="J60" s="20" t="s">
        <v>349</v>
      </c>
      <c r="K60" s="18" t="n">
        <v>2.77650231</v>
      </c>
      <c r="L60" s="20" t="n">
        <v>0.71686894</v>
      </c>
      <c r="M60" s="18" t="n">
        <v>0</v>
      </c>
      <c r="N60" s="20" t="n">
        <v>0</v>
      </c>
      <c r="O60" s="18" t="n">
        <v>0.23638048</v>
      </c>
      <c r="P60" s="20" t="n">
        <v>0.20380274</v>
      </c>
      <c r="Q60" s="18" t="n">
        <v>7.02899512</v>
      </c>
      <c r="R60" s="20" t="n">
        <v>1.11240862</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41.1324211</v>
      </c>
      <c r="F63" s="20" t="n">
        <v>1.69070626</v>
      </c>
      <c r="G63" s="18" t="n">
        <v>43.34499492</v>
      </c>
      <c r="H63" s="20" t="n">
        <v>1.71620955</v>
      </c>
      <c r="I63" s="18" t="s">
        <v>349</v>
      </c>
      <c r="J63" s="20" t="s">
        <v>349</v>
      </c>
      <c r="K63" s="18" t="n">
        <v>2.60881937</v>
      </c>
      <c r="L63" s="20" t="n">
        <v>0.5968629</v>
      </c>
      <c r="M63" s="18" t="n">
        <v>0</v>
      </c>
      <c r="N63" s="20" t="n">
        <v>0</v>
      </c>
      <c r="O63" s="18" t="n">
        <v>0</v>
      </c>
      <c r="P63" s="20" t="n">
        <v>0</v>
      </c>
      <c r="Q63" s="18" t="n">
        <v>12.91376461</v>
      </c>
      <c r="R63" s="20" t="n">
        <v>1.37685179</v>
      </c>
    </row>
    <row r="64" spans="1:18">
      <c r="A64" s="15" t="s">
        <v>406</v>
      </c>
      <c r="B64" s="17" t="n">
        <v>3634</v>
      </c>
      <c r="C64" s="18">
        <f>(3027.0/B64*100)</f>
        <v/>
      </c>
      <c r="D64" s="19" t="n">
        <v>607</v>
      </c>
      <c r="E64" s="18" t="n">
        <v>26.52817674</v>
      </c>
      <c r="F64" s="20" t="n">
        <v>1.98751473</v>
      </c>
      <c r="G64" s="18" t="n">
        <v>71.35670577</v>
      </c>
      <c r="H64" s="20" t="n">
        <v>2.0651139</v>
      </c>
      <c r="I64" s="18" t="s">
        <v>349</v>
      </c>
      <c r="J64" s="20" t="s">
        <v>349</v>
      </c>
      <c r="K64" s="18" t="n">
        <v>0.92807272</v>
      </c>
      <c r="L64" s="20" t="n">
        <v>0.41759946</v>
      </c>
      <c r="M64" s="18" t="n">
        <v>0</v>
      </c>
      <c r="N64" s="20" t="n">
        <v>0</v>
      </c>
      <c r="O64" s="18" t="n">
        <v>0</v>
      </c>
      <c r="P64" s="20" t="n">
        <v>0</v>
      </c>
      <c r="Q64" s="18" t="n">
        <v>1.18704477</v>
      </c>
      <c r="R64" s="20" t="n">
        <v>0.39916022</v>
      </c>
    </row>
    <row r="65" spans="1:18">
      <c r="A65" s="15" t="s">
        <v>407</v>
      </c>
      <c r="B65" s="17" t="n">
        <v>5325</v>
      </c>
      <c r="C65" s="18">
        <f>(4419.0/B65*100)</f>
        <v/>
      </c>
      <c r="D65" s="19" t="n">
        <v>906</v>
      </c>
      <c r="E65" s="18" t="n">
        <v>38.46580964</v>
      </c>
      <c r="F65" s="20" t="n">
        <v>1.70157925</v>
      </c>
      <c r="G65" s="18" t="n">
        <v>49.7950011</v>
      </c>
      <c r="H65" s="20" t="n">
        <v>1.98160908</v>
      </c>
      <c r="I65" s="18" t="s">
        <v>349</v>
      </c>
      <c r="J65" s="20" t="s">
        <v>349</v>
      </c>
      <c r="K65" s="18" t="n">
        <v>4.44779958</v>
      </c>
      <c r="L65" s="20" t="n">
        <v>0.79764648</v>
      </c>
      <c r="M65" s="18" t="n">
        <v>0</v>
      </c>
      <c r="N65" s="20" t="n">
        <v>0</v>
      </c>
      <c r="O65" s="18" t="n">
        <v>0</v>
      </c>
      <c r="P65" s="20" t="n">
        <v>0</v>
      </c>
      <c r="Q65" s="18" t="n">
        <v>7.29138969</v>
      </c>
      <c r="R65" s="20" t="n">
        <v>0.9478382400000001</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36.78554492</v>
      </c>
      <c r="F69" s="20" t="n">
        <v>2.22924857</v>
      </c>
      <c r="G69" s="18" t="n">
        <v>63.21445508</v>
      </c>
      <c r="H69" s="20" t="n">
        <v>2.22924857</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40.29121458</v>
      </c>
      <c r="F74" s="20" t="n">
        <v>1.90814078</v>
      </c>
      <c r="G74" s="18" t="n">
        <v>48.49355938</v>
      </c>
      <c r="H74" s="20" t="n">
        <v>2.15096454</v>
      </c>
      <c r="I74" s="18" t="s">
        <v>349</v>
      </c>
      <c r="J74" s="20" t="s">
        <v>349</v>
      </c>
      <c r="K74" s="18" t="n">
        <v>6.14818047</v>
      </c>
      <c r="L74" s="20" t="n">
        <v>1.00466765</v>
      </c>
      <c r="M74" s="18" t="n">
        <v>0</v>
      </c>
      <c r="N74" s="20" t="n">
        <v>0</v>
      </c>
      <c r="O74" s="18" t="n">
        <v>0</v>
      </c>
      <c r="P74" s="20" t="n">
        <v>0</v>
      </c>
      <c r="Q74" s="18" t="n">
        <v>5.06704558</v>
      </c>
      <c r="R74" s="20" t="n">
        <v>0.79887595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33.19680308</v>
      </c>
      <c r="F78" s="20" t="n">
        <v>1.69645753</v>
      </c>
      <c r="G78" s="18" t="n">
        <v>66.80319692</v>
      </c>
      <c r="H78" s="20" t="n">
        <v>1.69645753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(1377.0/B79*100)</f>
        <v/>
      </c>
      <c r="D79" s="19" t="n">
        <v>280</v>
      </c>
      <c r="E79" s="18" t="n">
        <v>31.9238809</v>
      </c>
      <c r="F79" s="20" t="n">
        <v>2.86516994</v>
      </c>
      <c r="G79" s="18" t="n">
        <v>63.30337817</v>
      </c>
      <c r="H79" s="20" t="n">
        <v>3.12234644</v>
      </c>
      <c r="I79" s="18" t="s">
        <v>349</v>
      </c>
      <c r="J79" s="20" t="s">
        <v>349</v>
      </c>
      <c r="K79" s="18" t="n">
        <v>2.40458645</v>
      </c>
      <c r="L79" s="20" t="n">
        <v>0.96091847</v>
      </c>
      <c r="M79" s="18" t="n">
        <v>0</v>
      </c>
      <c r="N79" s="20" t="n">
        <v>0</v>
      </c>
      <c r="O79" s="18" t="n">
        <v>0</v>
      </c>
      <c r="P79" s="20" t="n">
        <v>0</v>
      </c>
      <c r="Q79" s="18" t="n">
        <v>2.36815447</v>
      </c>
      <c r="R79" s="20" t="n">
        <v>1.23923801</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535</v>
      </c>
    </row>
    <row customHeight="1" ht="30" r="4" spans="1:26">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5215</v>
      </c>
      <c r="C44" s="18">
        <f>(4332.0/B44*100)</f>
        <v/>
      </c>
      <c r="D44" s="19" t="n">
        <v>883</v>
      </c>
      <c r="E44" s="18" t="n">
        <v>25.39058273</v>
      </c>
      <c r="F44" s="20" t="n">
        <v>1.79259852</v>
      </c>
      <c r="G44" s="18" t="n">
        <v>0</v>
      </c>
      <c r="H44" s="20" t="n">
        <v>0</v>
      </c>
      <c r="I44" s="18" t="n">
        <v>5.45544899</v>
      </c>
      <c r="J44" s="20" t="n">
        <v>1.00114982</v>
      </c>
      <c r="K44" s="18" t="n">
        <v>3.47003405</v>
      </c>
      <c r="L44" s="20" t="n">
        <v>0.5823479</v>
      </c>
      <c r="M44" s="18" t="n">
        <v>2.50209942</v>
      </c>
      <c r="N44" s="20" t="n">
        <v>0.56144962</v>
      </c>
      <c r="O44" s="18" t="n">
        <v>14.9372794</v>
      </c>
      <c r="P44" s="20" t="n">
        <v>1.65962195</v>
      </c>
      <c r="Q44" s="18" t="s">
        <v>349</v>
      </c>
      <c r="R44" s="20" t="s">
        <v>349</v>
      </c>
      <c r="S44" s="18" t="n">
        <v>7.77909668</v>
      </c>
      <c r="T44" s="20" t="n">
        <v>1.22965077</v>
      </c>
      <c r="U44" s="18" t="n">
        <v>0</v>
      </c>
      <c r="V44" s="20" t="n">
        <v>0</v>
      </c>
      <c r="W44" s="18" t="n">
        <v>0</v>
      </c>
      <c r="X44" s="20" t="n">
        <v>0</v>
      </c>
      <c r="Y44" s="18" t="n">
        <v>40.46545873</v>
      </c>
      <c r="Z44" s="20" t="n">
        <v>2.41717862</v>
      </c>
    </row>
    <row r="45" spans="1:26">
      <c r="A45" s="15" t="s">
        <v>387</v>
      </c>
      <c r="B45" s="17" t="n">
        <v>5519</v>
      </c>
      <c r="C45" s="18">
        <f>(4611.0/B45*100)</f>
        <v/>
      </c>
      <c r="D45" s="19" t="n">
        <v>908</v>
      </c>
      <c r="E45" s="18" t="n">
        <v>42.58991427</v>
      </c>
      <c r="F45" s="20" t="n">
        <v>2.127028</v>
      </c>
      <c r="G45" s="18" t="n">
        <v>0</v>
      </c>
      <c r="H45" s="20" t="n">
        <v>0</v>
      </c>
      <c r="I45" s="18" t="n">
        <v>1.21056911</v>
      </c>
      <c r="J45" s="20" t="n">
        <v>0.6978832</v>
      </c>
      <c r="K45" s="18" t="n">
        <v>0.94521498</v>
      </c>
      <c r="L45" s="20" t="n">
        <v>0.27100287</v>
      </c>
      <c r="M45" s="18" t="n">
        <v>0.84914974</v>
      </c>
      <c r="N45" s="20" t="n">
        <v>0.31430258</v>
      </c>
      <c r="O45" s="18" t="n">
        <v>5.16732444</v>
      </c>
      <c r="P45" s="20" t="n">
        <v>0.8160061</v>
      </c>
      <c r="Q45" s="18" t="s">
        <v>349</v>
      </c>
      <c r="R45" s="20" t="s">
        <v>349</v>
      </c>
      <c r="S45" s="18" t="n">
        <v>6.54269002</v>
      </c>
      <c r="T45" s="20" t="n">
        <v>0.78988565</v>
      </c>
      <c r="U45" s="18" t="n">
        <v>0</v>
      </c>
      <c r="V45" s="20" t="n">
        <v>0</v>
      </c>
      <c r="W45" s="18" t="n">
        <v>0</v>
      </c>
      <c r="X45" s="20" t="n">
        <v>0</v>
      </c>
      <c r="Y45" s="18" t="n">
        <v>42.69513745</v>
      </c>
      <c r="Z45" s="20" t="n">
        <v>1.90962268</v>
      </c>
    </row>
    <row r="46" spans="1:26">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6349</v>
      </c>
      <c r="C49" s="18">
        <f>(5298.0/B49*100)</f>
        <v/>
      </c>
      <c r="D49" s="19" t="n">
        <v>1051</v>
      </c>
      <c r="E49" s="18" t="n">
        <v>25.88010548</v>
      </c>
      <c r="F49" s="20" t="n">
        <v>1.56574008</v>
      </c>
      <c r="G49" s="18" t="n">
        <v>0</v>
      </c>
      <c r="H49" s="20" t="n">
        <v>0</v>
      </c>
      <c r="I49" s="18" t="n">
        <v>3.65010065</v>
      </c>
      <c r="J49" s="20" t="n">
        <v>0.5620485200000001</v>
      </c>
      <c r="K49" s="18" t="n">
        <v>3.994449</v>
      </c>
      <c r="L49" s="20" t="n">
        <v>0.72487459</v>
      </c>
      <c r="M49" s="18" t="n">
        <v>0.7658885600000001</v>
      </c>
      <c r="N49" s="20" t="n">
        <v>0.26732245</v>
      </c>
      <c r="O49" s="18" t="n">
        <v>22.18320666</v>
      </c>
      <c r="P49" s="20" t="n">
        <v>2.1897721</v>
      </c>
      <c r="Q49" s="18" t="s">
        <v>349</v>
      </c>
      <c r="R49" s="20" t="s">
        <v>349</v>
      </c>
      <c r="S49" s="18" t="n">
        <v>3.59298455</v>
      </c>
      <c r="T49" s="20" t="n">
        <v>0.66522474</v>
      </c>
      <c r="U49" s="18" t="n">
        <v>0</v>
      </c>
      <c r="V49" s="20" t="n">
        <v>0</v>
      </c>
      <c r="W49" s="18" t="n">
        <v>0</v>
      </c>
      <c r="X49" s="20" t="n">
        <v>0</v>
      </c>
      <c r="Y49" s="18" t="n">
        <v>39.9332651</v>
      </c>
      <c r="Z49" s="20" t="n">
        <v>2.19592063</v>
      </c>
    </row>
    <row r="50" spans="1:26">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5316</v>
      </c>
      <c r="C55" s="18">
        <f>(4435.0/B55*100)</f>
        <v/>
      </c>
      <c r="D55" s="19" t="n">
        <v>881</v>
      </c>
      <c r="E55" s="18" t="n">
        <v>13.74236596</v>
      </c>
      <c r="F55" s="20" t="n">
        <v>1.21229915</v>
      </c>
      <c r="G55" s="18" t="n">
        <v>0</v>
      </c>
      <c r="H55" s="20" t="n">
        <v>0</v>
      </c>
      <c r="I55" s="18" t="n">
        <v>2.14769976</v>
      </c>
      <c r="J55" s="20" t="n">
        <v>0.50543148</v>
      </c>
      <c r="K55" s="18" t="n">
        <v>4.76548903</v>
      </c>
      <c r="L55" s="20" t="n">
        <v>0.78264842</v>
      </c>
      <c r="M55" s="18" t="n">
        <v>4.01162035</v>
      </c>
      <c r="N55" s="20" t="n">
        <v>0.63844922</v>
      </c>
      <c r="O55" s="18" t="n">
        <v>21.69641951</v>
      </c>
      <c r="P55" s="20" t="n">
        <v>1.54272861</v>
      </c>
      <c r="Q55" s="18" t="s">
        <v>349</v>
      </c>
      <c r="R55" s="20" t="s">
        <v>349</v>
      </c>
      <c r="S55" s="18" t="n">
        <v>2.60598362</v>
      </c>
      <c r="T55" s="20" t="n">
        <v>0.56789501</v>
      </c>
      <c r="U55" s="18" t="n">
        <v>0</v>
      </c>
      <c r="V55" s="20" t="n">
        <v>0</v>
      </c>
      <c r="W55" s="18" t="n">
        <v>0</v>
      </c>
      <c r="X55" s="20" t="n">
        <v>0</v>
      </c>
      <c r="Y55" s="18" t="n">
        <v>51.03042177</v>
      </c>
      <c r="Z55" s="20" t="n">
        <v>1.9671126</v>
      </c>
    </row>
    <row r="56" spans="1:26">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6513</v>
      </c>
      <c r="C57" s="18">
        <f>(5416.0/B57*100)</f>
        <v/>
      </c>
      <c r="D57" s="19" t="n">
        <v>1097</v>
      </c>
      <c r="E57" s="18" t="n">
        <v>55.88193163</v>
      </c>
      <c r="F57" s="20" t="n">
        <v>2.04907299</v>
      </c>
      <c r="G57" s="18" t="n">
        <v>0</v>
      </c>
      <c r="H57" s="20" t="n">
        <v>0</v>
      </c>
      <c r="I57" s="18" t="n">
        <v>5.23301552</v>
      </c>
      <c r="J57" s="20" t="n">
        <v>0.70103037</v>
      </c>
      <c r="K57" s="18" t="n">
        <v>5.71686301</v>
      </c>
      <c r="L57" s="20" t="n">
        <v>0.7189968</v>
      </c>
      <c r="M57" s="18" t="n">
        <v>1.71491905</v>
      </c>
      <c r="N57" s="20" t="n">
        <v>0.41436369</v>
      </c>
      <c r="O57" s="18" t="n">
        <v>15.31853601</v>
      </c>
      <c r="P57" s="20" t="n">
        <v>1.4678694</v>
      </c>
      <c r="Q57" s="18" t="s">
        <v>349</v>
      </c>
      <c r="R57" s="20" t="s">
        <v>349</v>
      </c>
      <c r="S57" s="18" t="n">
        <v>1.10586489</v>
      </c>
      <c r="T57" s="20" t="n">
        <v>0.35533644</v>
      </c>
      <c r="U57" s="18" t="n">
        <v>0</v>
      </c>
      <c r="V57" s="20" t="n">
        <v>0</v>
      </c>
      <c r="W57" s="18" t="n">
        <v>0</v>
      </c>
      <c r="X57" s="20" t="n">
        <v>0</v>
      </c>
      <c r="Y57" s="18" t="n">
        <v>15.02886989</v>
      </c>
      <c r="Z57" s="20" t="n">
        <v>1.71872312</v>
      </c>
    </row>
    <row r="58" spans="1:26">
      <c r="A58" s="15" t="s">
        <v>400</v>
      </c>
      <c r="B58" s="17" t="n">
        <v>7267</v>
      </c>
      <c r="C58" s="18">
        <f>(6036.0/B58*100)</f>
        <v/>
      </c>
      <c r="D58" s="19" t="n">
        <v>1231</v>
      </c>
      <c r="E58" s="18" t="n">
        <v>44.91832985</v>
      </c>
      <c r="F58" s="20" t="n">
        <v>1.93874794</v>
      </c>
      <c r="G58" s="18" t="n">
        <v>0</v>
      </c>
      <c r="H58" s="20" t="n">
        <v>0</v>
      </c>
      <c r="I58" s="18" t="n">
        <v>6.62109664</v>
      </c>
      <c r="J58" s="20" t="n">
        <v>0.92348994</v>
      </c>
      <c r="K58" s="18" t="n">
        <v>5.02264038</v>
      </c>
      <c r="L58" s="20" t="n">
        <v>0.73531709</v>
      </c>
      <c r="M58" s="18" t="n">
        <v>1.0923412</v>
      </c>
      <c r="N58" s="20" t="n">
        <v>0.32381407</v>
      </c>
      <c r="O58" s="18" t="n">
        <v>15.97051192</v>
      </c>
      <c r="P58" s="20" t="n">
        <v>1.35393772</v>
      </c>
      <c r="Q58" s="18" t="s">
        <v>349</v>
      </c>
      <c r="R58" s="20" t="s">
        <v>349</v>
      </c>
      <c r="S58" s="18" t="n">
        <v>2.06962646</v>
      </c>
      <c r="T58" s="20" t="n">
        <v>0.36850549</v>
      </c>
      <c r="U58" s="18" t="n">
        <v>0</v>
      </c>
      <c r="V58" s="20" t="n">
        <v>0</v>
      </c>
      <c r="W58" s="18" t="n">
        <v>0</v>
      </c>
      <c r="X58" s="20" t="n">
        <v>0</v>
      </c>
      <c r="Y58" s="18" t="n">
        <v>24.30545354</v>
      </c>
      <c r="Z58" s="20" t="n">
        <v>1.76379212</v>
      </c>
    </row>
    <row r="59" spans="1:26">
      <c r="A59" s="15" t="s">
        <v>401</v>
      </c>
      <c r="B59" s="17" t="n">
        <v>4826</v>
      </c>
      <c r="C59" s="18">
        <f>(4028.0/B59*100)</f>
        <v/>
      </c>
      <c r="D59" s="19" t="n">
        <v>798</v>
      </c>
      <c r="E59" s="18" t="n">
        <v>41.9039058</v>
      </c>
      <c r="F59" s="20" t="n">
        <v>2.08760214</v>
      </c>
      <c r="G59" s="18" t="n">
        <v>0</v>
      </c>
      <c r="H59" s="20" t="n">
        <v>0</v>
      </c>
      <c r="I59" s="18" t="n">
        <v>2.09821468</v>
      </c>
      <c r="J59" s="20" t="n">
        <v>0.71318263</v>
      </c>
      <c r="K59" s="18" t="n">
        <v>4.130783</v>
      </c>
      <c r="L59" s="20" t="n">
        <v>0.87906651</v>
      </c>
      <c r="M59" s="18" t="n">
        <v>0.62481717</v>
      </c>
      <c r="N59" s="20" t="n">
        <v>0.26118705</v>
      </c>
      <c r="O59" s="18" t="n">
        <v>11.2043719</v>
      </c>
      <c r="P59" s="20" t="n">
        <v>1.59716701</v>
      </c>
      <c r="Q59" s="18" t="s">
        <v>349</v>
      </c>
      <c r="R59" s="20" t="s">
        <v>349</v>
      </c>
      <c r="S59" s="18" t="n">
        <v>1.38202053</v>
      </c>
      <c r="T59" s="20" t="n">
        <v>0.462169</v>
      </c>
      <c r="U59" s="18" t="n">
        <v>0</v>
      </c>
      <c r="V59" s="20" t="n">
        <v>0</v>
      </c>
      <c r="W59" s="18" t="n">
        <v>0</v>
      </c>
      <c r="X59" s="20" t="n">
        <v>0</v>
      </c>
      <c r="Y59" s="18" t="n">
        <v>38.65588692</v>
      </c>
      <c r="Z59" s="20" t="n">
        <v>2.00205045</v>
      </c>
    </row>
    <row r="60" spans="1:26">
      <c r="A60" s="15" t="s">
        <v>402</v>
      </c>
      <c r="B60" s="17" t="n">
        <v>4546</v>
      </c>
      <c r="C60" s="18">
        <f>(3801.0/B60*100)</f>
        <v/>
      </c>
      <c r="D60" s="19" t="n">
        <v>745</v>
      </c>
      <c r="E60" s="18" t="n">
        <v>21.93800463</v>
      </c>
      <c r="F60" s="20" t="n">
        <v>1.62372688</v>
      </c>
      <c r="G60" s="18" t="n">
        <v>0</v>
      </c>
      <c r="H60" s="20" t="n">
        <v>0</v>
      </c>
      <c r="I60" s="18" t="n">
        <v>2.41078883</v>
      </c>
      <c r="J60" s="20" t="n">
        <v>0.8174755</v>
      </c>
      <c r="K60" s="18" t="n">
        <v>8.666907610000001</v>
      </c>
      <c r="L60" s="20" t="n">
        <v>1.3106255</v>
      </c>
      <c r="M60" s="18" t="n">
        <v>2.74538491</v>
      </c>
      <c r="N60" s="20" t="n">
        <v>0.6936380599999999</v>
      </c>
      <c r="O60" s="18" t="n">
        <v>29.01318387</v>
      </c>
      <c r="P60" s="20" t="n">
        <v>2.08935106</v>
      </c>
      <c r="Q60" s="18" t="s">
        <v>349</v>
      </c>
      <c r="R60" s="20" t="s">
        <v>349</v>
      </c>
      <c r="S60" s="18" t="n">
        <v>4.52740232</v>
      </c>
      <c r="T60" s="20" t="n">
        <v>0.91473406</v>
      </c>
      <c r="U60" s="18" t="n">
        <v>0</v>
      </c>
      <c r="V60" s="20" t="n">
        <v>0</v>
      </c>
      <c r="W60" s="18" t="n">
        <v>0.38861342</v>
      </c>
      <c r="X60" s="20" t="n">
        <v>0.24081616</v>
      </c>
      <c r="Y60" s="18" t="n">
        <v>30.3097144</v>
      </c>
      <c r="Z60" s="20" t="n">
        <v>2.14282844</v>
      </c>
    </row>
    <row r="61" spans="1:26">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5324</v>
      </c>
      <c r="C63" s="18">
        <f>(4433.0/B63*100)</f>
        <v/>
      </c>
      <c r="D63" s="19" t="n">
        <v>891</v>
      </c>
      <c r="E63" s="18" t="n">
        <v>14.6055476</v>
      </c>
      <c r="F63" s="20" t="n">
        <v>1.43517114</v>
      </c>
      <c r="G63" s="18" t="n">
        <v>0</v>
      </c>
      <c r="H63" s="20" t="n">
        <v>0</v>
      </c>
      <c r="I63" s="18" t="n">
        <v>2.43627769</v>
      </c>
      <c r="J63" s="20" t="n">
        <v>0.5217902800000001</v>
      </c>
      <c r="K63" s="18" t="n">
        <v>3.11117477</v>
      </c>
      <c r="L63" s="20" t="n">
        <v>0.5315447800000001</v>
      </c>
      <c r="M63" s="18" t="n">
        <v>0.40802506</v>
      </c>
      <c r="N63" s="20" t="n">
        <v>0.25044109</v>
      </c>
      <c r="O63" s="18" t="n">
        <v>12.76727452</v>
      </c>
      <c r="P63" s="20" t="n">
        <v>1.28895905</v>
      </c>
      <c r="Q63" s="18" t="s">
        <v>349</v>
      </c>
      <c r="R63" s="20" t="s">
        <v>349</v>
      </c>
      <c r="S63" s="18" t="n">
        <v>3.09849387</v>
      </c>
      <c r="T63" s="20" t="n">
        <v>0.63094716</v>
      </c>
      <c r="U63" s="18" t="n">
        <v>0</v>
      </c>
      <c r="V63" s="20" t="n">
        <v>0</v>
      </c>
      <c r="W63" s="18" t="n">
        <v>0</v>
      </c>
      <c r="X63" s="20" t="n">
        <v>0</v>
      </c>
      <c r="Y63" s="18" t="n">
        <v>63.57320648</v>
      </c>
      <c r="Z63" s="20" t="n">
        <v>1.80956493</v>
      </c>
    </row>
    <row r="64" spans="1:26">
      <c r="A64" s="15" t="s">
        <v>406</v>
      </c>
      <c r="B64" s="17" t="n">
        <v>3634</v>
      </c>
      <c r="C64" s="18">
        <f>(3027.0/B64*100)</f>
        <v/>
      </c>
      <c r="D64" s="19" t="n">
        <v>607</v>
      </c>
      <c r="E64" s="18" t="n">
        <v>20.85338813</v>
      </c>
      <c r="F64" s="20" t="n">
        <v>1.7352683</v>
      </c>
      <c r="G64" s="18" t="n">
        <v>0</v>
      </c>
      <c r="H64" s="20" t="n">
        <v>0</v>
      </c>
      <c r="I64" s="18" t="n">
        <v>2.81831544</v>
      </c>
      <c r="J64" s="20" t="n">
        <v>0.71569577</v>
      </c>
      <c r="K64" s="18" t="n">
        <v>16.4275146</v>
      </c>
      <c r="L64" s="20" t="n">
        <v>1.33859694</v>
      </c>
      <c r="M64" s="18" t="n">
        <v>1.77676269</v>
      </c>
      <c r="N64" s="20" t="n">
        <v>0.54732592</v>
      </c>
      <c r="O64" s="18" t="n">
        <v>40.82175025</v>
      </c>
      <c r="P64" s="20" t="n">
        <v>1.87545649</v>
      </c>
      <c r="Q64" s="18" t="s">
        <v>349</v>
      </c>
      <c r="R64" s="20" t="s">
        <v>349</v>
      </c>
      <c r="S64" s="18" t="n">
        <v>1.08749936</v>
      </c>
      <c r="T64" s="20" t="n">
        <v>0.44441691</v>
      </c>
      <c r="U64" s="18" t="n">
        <v>0</v>
      </c>
      <c r="V64" s="20" t="n">
        <v>0</v>
      </c>
      <c r="W64" s="18" t="n">
        <v>0</v>
      </c>
      <c r="X64" s="20" t="n">
        <v>0</v>
      </c>
      <c r="Y64" s="18" t="n">
        <v>16.21476952</v>
      </c>
      <c r="Z64" s="20" t="n">
        <v>1.41380576</v>
      </c>
    </row>
    <row r="65" spans="1:26">
      <c r="A65" s="15" t="s">
        <v>407</v>
      </c>
      <c r="B65" s="17" t="n">
        <v>5325</v>
      </c>
      <c r="C65" s="18">
        <f>(4419.0/B65*100)</f>
        <v/>
      </c>
      <c r="D65" s="19" t="n">
        <v>906</v>
      </c>
      <c r="E65" s="18" t="n">
        <v>16.46032523</v>
      </c>
      <c r="F65" s="20" t="n">
        <v>1.39724729</v>
      </c>
      <c r="G65" s="18" t="n">
        <v>0</v>
      </c>
      <c r="H65" s="20" t="n">
        <v>0</v>
      </c>
      <c r="I65" s="18" t="n">
        <v>1.11600372</v>
      </c>
      <c r="J65" s="20" t="n">
        <v>0.34767636</v>
      </c>
      <c r="K65" s="18" t="n">
        <v>3.30711829</v>
      </c>
      <c r="L65" s="20" t="n">
        <v>0.65739905</v>
      </c>
      <c r="M65" s="18" t="n">
        <v>1.26325722</v>
      </c>
      <c r="N65" s="20" t="n">
        <v>0.46637376</v>
      </c>
      <c r="O65" s="18" t="n">
        <v>28.17554281</v>
      </c>
      <c r="P65" s="20" t="n">
        <v>1.57399108</v>
      </c>
      <c r="Q65" s="18" t="s">
        <v>349</v>
      </c>
      <c r="R65" s="20" t="s">
        <v>349</v>
      </c>
      <c r="S65" s="18" t="n">
        <v>6.12467973</v>
      </c>
      <c r="T65" s="20" t="n">
        <v>0.92648278</v>
      </c>
      <c r="U65" s="18" t="n">
        <v>0</v>
      </c>
      <c r="V65" s="20" t="n">
        <v>0</v>
      </c>
      <c r="W65" s="18" t="n">
        <v>0</v>
      </c>
      <c r="X65" s="20" t="n">
        <v>0</v>
      </c>
      <c r="Y65" s="18" t="n">
        <v>43.55307301</v>
      </c>
      <c r="Z65" s="20" t="n">
        <v>1.87797857</v>
      </c>
    </row>
    <row r="66" spans="1:26">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4876</v>
      </c>
      <c r="C69" s="18">
        <f>(4075.0/B69*100)</f>
        <v/>
      </c>
      <c r="D69" s="19" t="n">
        <v>801</v>
      </c>
      <c r="E69" s="18" t="n">
        <v>67.92491937</v>
      </c>
      <c r="F69" s="20" t="n">
        <v>1.91987157</v>
      </c>
      <c r="G69" s="18" t="n">
        <v>0</v>
      </c>
      <c r="H69" s="20" t="n">
        <v>0</v>
      </c>
      <c r="I69" s="18" t="n">
        <v>4.75638069</v>
      </c>
      <c r="J69" s="20" t="n">
        <v>0.7101174</v>
      </c>
      <c r="K69" s="18" t="n">
        <v>3.39741683</v>
      </c>
      <c r="L69" s="20" t="n">
        <v>0.61859251</v>
      </c>
      <c r="M69" s="18" t="n">
        <v>0.53231253</v>
      </c>
      <c r="N69" s="20" t="n">
        <v>0.29446372</v>
      </c>
      <c r="O69" s="18" t="n">
        <v>23.1605166</v>
      </c>
      <c r="P69" s="20" t="n">
        <v>1.85992987</v>
      </c>
      <c r="Q69" s="18" t="s">
        <v>349</v>
      </c>
      <c r="R69" s="20" t="s">
        <v>349</v>
      </c>
      <c r="S69" s="18" t="n">
        <v>0</v>
      </c>
      <c r="T69" s="20" t="n">
        <v>0</v>
      </c>
      <c r="U69" s="18" t="n">
        <v>0</v>
      </c>
      <c r="V69" s="20" t="n">
        <v>0</v>
      </c>
      <c r="W69" s="18" t="n">
        <v>0</v>
      </c>
      <c r="X69" s="20" t="n">
        <v>0</v>
      </c>
      <c r="Y69" s="18" t="n">
        <v>0.22845399</v>
      </c>
      <c r="Z69" s="20" t="n">
        <v>0.16096108</v>
      </c>
    </row>
    <row r="70" spans="1:26">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4692</v>
      </c>
      <c r="C74" s="18">
        <f>(3895.0/B74*100)</f>
        <v/>
      </c>
      <c r="D74" s="19" t="n">
        <v>797</v>
      </c>
      <c r="E74" s="18" t="n">
        <v>23.09053275</v>
      </c>
      <c r="F74" s="20" t="n">
        <v>1.64794718</v>
      </c>
      <c r="G74" s="18" t="n">
        <v>0</v>
      </c>
      <c r="H74" s="20" t="n">
        <v>0</v>
      </c>
      <c r="I74" s="18" t="n">
        <v>1.36834501</v>
      </c>
      <c r="J74" s="20" t="n">
        <v>0.39886299</v>
      </c>
      <c r="K74" s="18" t="n">
        <v>6.26326697</v>
      </c>
      <c r="L74" s="20" t="n">
        <v>0.97848905</v>
      </c>
      <c r="M74" s="18" t="n">
        <v>0.64241229</v>
      </c>
      <c r="N74" s="20" t="n">
        <v>0.28345661</v>
      </c>
      <c r="O74" s="18" t="n">
        <v>36.69992446</v>
      </c>
      <c r="P74" s="20" t="n">
        <v>1.92923214</v>
      </c>
      <c r="Q74" s="18" t="s">
        <v>349</v>
      </c>
      <c r="R74" s="20" t="s">
        <v>349</v>
      </c>
      <c r="S74" s="18" t="n">
        <v>8.672230259999999</v>
      </c>
      <c r="T74" s="20" t="n">
        <v>1.13006931</v>
      </c>
      <c r="U74" s="18" t="n">
        <v>0</v>
      </c>
      <c r="V74" s="20" t="n">
        <v>0</v>
      </c>
      <c r="W74" s="18" t="n">
        <v>0</v>
      </c>
      <c r="X74" s="20" t="n">
        <v>0</v>
      </c>
      <c r="Y74" s="18" t="n">
        <v>23.26328826</v>
      </c>
      <c r="Z74" s="20" t="n">
        <v>1.61145987</v>
      </c>
    </row>
    <row r="75" spans="1:26">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5826</v>
      </c>
      <c r="C78" s="18">
        <f>(4868.0/B78*100)</f>
        <v/>
      </c>
      <c r="D78" s="19" t="n">
        <v>958</v>
      </c>
      <c r="E78" s="18" t="n">
        <v>39.31322238</v>
      </c>
      <c r="F78" s="20" t="n">
        <v>2.01415768</v>
      </c>
      <c r="G78" s="18" t="n">
        <v>0</v>
      </c>
      <c r="H78" s="20" t="n">
        <v>0</v>
      </c>
      <c r="I78" s="18" t="n">
        <v>4.61353342</v>
      </c>
      <c r="J78" s="20" t="n">
        <v>0.67088542</v>
      </c>
      <c r="K78" s="18" t="n">
        <v>5.88501569</v>
      </c>
      <c r="L78" s="20" t="n">
        <v>1.10577678</v>
      </c>
      <c r="M78" s="18" t="n">
        <v>2.36487004</v>
      </c>
      <c r="N78" s="20" t="n">
        <v>0.46292496</v>
      </c>
      <c r="O78" s="18" t="n">
        <v>44.51007514</v>
      </c>
      <c r="P78" s="20" t="n">
        <v>2.01663048</v>
      </c>
      <c r="Q78" s="18" t="s">
        <v>349</v>
      </c>
      <c r="R78" s="20" t="s">
        <v>349</v>
      </c>
      <c r="S78" s="18" t="n">
        <v>0</v>
      </c>
      <c r="T78" s="20" t="n">
        <v>0</v>
      </c>
      <c r="U78" s="18" t="n">
        <v>0</v>
      </c>
      <c r="V78" s="20" t="n">
        <v>0</v>
      </c>
      <c r="W78" s="18" t="n">
        <v>0</v>
      </c>
      <c r="X78" s="20" t="n">
        <v>0</v>
      </c>
      <c r="Y78" s="18" t="n">
        <v>3.31328333</v>
      </c>
      <c r="Z78" s="20" t="n">
        <v>0.60364586</v>
      </c>
    </row>
    <row customHeight="1" ht="25" r="79" spans="1:26">
      <c r="A79" s="15" t="s">
        <v>421</v>
      </c>
      <c r="B79" s="17" t="n">
        <v>1657</v>
      </c>
      <c r="C79" s="18">
        <f>(1377.0/B79*100)</f>
        <v/>
      </c>
      <c r="D79" s="19" t="n">
        <v>280</v>
      </c>
      <c r="E79" s="18" t="n">
        <v>16.90922928</v>
      </c>
      <c r="F79" s="20" t="n">
        <v>2.54709811</v>
      </c>
      <c r="G79" s="18" t="n">
        <v>0</v>
      </c>
      <c r="H79" s="20" t="n">
        <v>0</v>
      </c>
      <c r="I79" s="18" t="n">
        <v>4.05664094</v>
      </c>
      <c r="J79" s="20" t="n">
        <v>1.19221582</v>
      </c>
      <c r="K79" s="18" t="n">
        <v>3.16060972</v>
      </c>
      <c r="L79" s="20" t="n">
        <v>0.79638522</v>
      </c>
      <c r="M79" s="18" t="n">
        <v>2.29894299</v>
      </c>
      <c r="N79" s="20" t="n">
        <v>0.92731684</v>
      </c>
      <c r="O79" s="18" t="n">
        <v>35.52146611</v>
      </c>
      <c r="P79" s="20" t="n">
        <v>3.16539108</v>
      </c>
      <c r="Q79" s="18" t="s">
        <v>349</v>
      </c>
      <c r="R79" s="20" t="s">
        <v>349</v>
      </c>
      <c r="S79" s="18" t="n">
        <v>4.1541943</v>
      </c>
      <c r="T79" s="20" t="n">
        <v>1.24812184</v>
      </c>
      <c r="U79" s="18" t="n">
        <v>0</v>
      </c>
      <c r="V79" s="20" t="n">
        <v>0</v>
      </c>
      <c r="W79" s="18" t="n">
        <v>0</v>
      </c>
      <c r="X79" s="20" t="n">
        <v>0</v>
      </c>
      <c r="Y79" s="18" t="n">
        <v>33.89891666</v>
      </c>
      <c r="Z79" s="20" t="n">
        <v>3.35315605</v>
      </c>
    </row>
    <row r="80" spans="1:26">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19.45338173</v>
      </c>
      <c r="F44" s="20" t="n">
        <v>1.27277865</v>
      </c>
      <c r="G44" s="18" t="n">
        <v>29.37333439</v>
      </c>
      <c r="H44" s="20" t="n">
        <v>2.07943439</v>
      </c>
      <c r="I44" s="18" t="s">
        <v>349</v>
      </c>
      <c r="J44" s="20" t="s">
        <v>349</v>
      </c>
      <c r="K44" s="18" t="n">
        <v>7.77909668</v>
      </c>
      <c r="L44" s="20" t="n">
        <v>1.22965077</v>
      </c>
      <c r="M44" s="18" t="n">
        <v>0</v>
      </c>
      <c r="N44" s="20" t="n">
        <v>0</v>
      </c>
      <c r="O44" s="18" t="n">
        <v>0</v>
      </c>
      <c r="P44" s="20" t="n">
        <v>0</v>
      </c>
      <c r="Q44" s="18" t="n">
        <v>43.3941872</v>
      </c>
      <c r="R44" s="20" t="n">
        <v>2.002334</v>
      </c>
    </row>
    <row r="45" spans="1:18">
      <c r="A45" s="15" t="s">
        <v>387</v>
      </c>
      <c r="B45" s="17" t="n">
        <v>5519</v>
      </c>
      <c r="C45" s="18">
        <f>(4611.0/B45*100)</f>
        <v/>
      </c>
      <c r="D45" s="19" t="n">
        <v>908</v>
      </c>
      <c r="E45" s="18" t="n">
        <v>21.06023522</v>
      </c>
      <c r="F45" s="20" t="n">
        <v>1.47740822</v>
      </c>
      <c r="G45" s="18" t="n">
        <v>12.11792553</v>
      </c>
      <c r="H45" s="20" t="n">
        <v>1.23314496</v>
      </c>
      <c r="I45" s="18" t="s">
        <v>349</v>
      </c>
      <c r="J45" s="20" t="s">
        <v>349</v>
      </c>
      <c r="K45" s="18" t="n">
        <v>6.72039871</v>
      </c>
      <c r="L45" s="20" t="n">
        <v>0.80563496</v>
      </c>
      <c r="M45" s="18" t="n">
        <v>0.11968283</v>
      </c>
      <c r="N45" s="20" t="n">
        <v>0.11904652</v>
      </c>
      <c r="O45" s="18" t="n">
        <v>0</v>
      </c>
      <c r="P45" s="20" t="n">
        <v>0</v>
      </c>
      <c r="Q45" s="18" t="n">
        <v>59.9817577</v>
      </c>
      <c r="R45" s="20" t="n">
        <v>1.70867991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22.75432907</v>
      </c>
      <c r="F49" s="20" t="n">
        <v>1.57204146</v>
      </c>
      <c r="G49" s="18" t="n">
        <v>38.08808727</v>
      </c>
      <c r="H49" s="20" t="n">
        <v>2.19418648</v>
      </c>
      <c r="I49" s="18" t="s">
        <v>349</v>
      </c>
      <c r="J49" s="20" t="s">
        <v>349</v>
      </c>
      <c r="K49" s="18" t="n">
        <v>3.9173293</v>
      </c>
      <c r="L49" s="20" t="n">
        <v>0.72577854</v>
      </c>
      <c r="M49" s="18" t="n">
        <v>0</v>
      </c>
      <c r="N49" s="20" t="n">
        <v>0</v>
      </c>
      <c r="O49" s="18" t="n">
        <v>0</v>
      </c>
      <c r="P49" s="20" t="n">
        <v>0</v>
      </c>
      <c r="Q49" s="18" t="n">
        <v>35.24025436</v>
      </c>
      <c r="R49" s="20" t="n">
        <v>1.89901708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20.94308749</v>
      </c>
      <c r="F55" s="20" t="n">
        <v>1.46484379</v>
      </c>
      <c r="G55" s="18" t="n">
        <v>25.99191441</v>
      </c>
      <c r="H55" s="20" t="n">
        <v>1.29578004</v>
      </c>
      <c r="I55" s="18" t="s">
        <v>349</v>
      </c>
      <c r="J55" s="20" t="s">
        <v>349</v>
      </c>
      <c r="K55" s="18" t="n">
        <v>2.69812488</v>
      </c>
      <c r="L55" s="20" t="n">
        <v>0.57414446</v>
      </c>
      <c r="M55" s="18" t="n">
        <v>0</v>
      </c>
      <c r="N55" s="20" t="n">
        <v>0</v>
      </c>
      <c r="O55" s="18" t="n">
        <v>0.10714567</v>
      </c>
      <c r="P55" s="20" t="n">
        <v>0.09364281000000001</v>
      </c>
      <c r="Q55" s="18" t="n">
        <v>50.25972754</v>
      </c>
      <c r="R55" s="20" t="n">
        <v>1.71460099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39.19470091</v>
      </c>
      <c r="F57" s="20" t="n">
        <v>1.6495808</v>
      </c>
      <c r="G57" s="18" t="n">
        <v>28.17418351</v>
      </c>
      <c r="H57" s="20" t="n">
        <v>1.61648129</v>
      </c>
      <c r="I57" s="18" t="s">
        <v>349</v>
      </c>
      <c r="J57" s="20" t="s">
        <v>349</v>
      </c>
      <c r="K57" s="18" t="n">
        <v>1.20487966</v>
      </c>
      <c r="L57" s="20" t="n">
        <v>0.36468405</v>
      </c>
      <c r="M57" s="18" t="n">
        <v>0</v>
      </c>
      <c r="N57" s="20" t="n">
        <v>0</v>
      </c>
      <c r="O57" s="18" t="n">
        <v>0</v>
      </c>
      <c r="P57" s="20" t="n">
        <v>0</v>
      </c>
      <c r="Q57" s="18" t="n">
        <v>31.42623592</v>
      </c>
      <c r="R57" s="20" t="n">
        <v>1.52243269</v>
      </c>
    </row>
    <row r="58" spans="1:18">
      <c r="A58" s="15" t="s">
        <v>400</v>
      </c>
      <c r="B58" s="17" t="n">
        <v>7267</v>
      </c>
      <c r="C58" s="18">
        <f>(6036.0/B58*100)</f>
        <v/>
      </c>
      <c r="D58" s="19" t="n">
        <v>1231</v>
      </c>
      <c r="E58" s="18" t="n">
        <v>39.15834384</v>
      </c>
      <c r="F58" s="20" t="n">
        <v>1.82808146</v>
      </c>
      <c r="G58" s="18" t="n">
        <v>30.05003182</v>
      </c>
      <c r="H58" s="20" t="n">
        <v>1.78237914</v>
      </c>
      <c r="I58" s="18" t="s">
        <v>349</v>
      </c>
      <c r="J58" s="20" t="s">
        <v>349</v>
      </c>
      <c r="K58" s="18" t="n">
        <v>2.06962646</v>
      </c>
      <c r="L58" s="20" t="n">
        <v>0.36850549</v>
      </c>
      <c r="M58" s="18" t="n">
        <v>0</v>
      </c>
      <c r="N58" s="20" t="n">
        <v>0</v>
      </c>
      <c r="O58" s="18" t="n">
        <v>0</v>
      </c>
      <c r="P58" s="20" t="n">
        <v>0</v>
      </c>
      <c r="Q58" s="18" t="n">
        <v>28.72199787</v>
      </c>
      <c r="R58" s="20" t="n">
        <v>1.70641912</v>
      </c>
    </row>
    <row r="59" spans="1:18">
      <c r="A59" s="15" t="s">
        <v>401</v>
      </c>
      <c r="B59" s="17" t="n">
        <v>4826</v>
      </c>
      <c r="C59" s="18">
        <f>(4028.0/B59*100)</f>
        <v/>
      </c>
      <c r="D59" s="19" t="n">
        <v>798</v>
      </c>
      <c r="E59" s="18" t="n">
        <v>28.7726978</v>
      </c>
      <c r="F59" s="20" t="n">
        <v>1.89395652</v>
      </c>
      <c r="G59" s="18" t="n">
        <v>24.555062</v>
      </c>
      <c r="H59" s="20" t="n">
        <v>1.86834303</v>
      </c>
      <c r="I59" s="18" t="s">
        <v>349</v>
      </c>
      <c r="J59" s="20" t="s">
        <v>349</v>
      </c>
      <c r="K59" s="18" t="n">
        <v>1.38202053</v>
      </c>
      <c r="L59" s="20" t="n">
        <v>0.462169</v>
      </c>
      <c r="M59" s="18" t="n">
        <v>0</v>
      </c>
      <c r="N59" s="20" t="n">
        <v>0</v>
      </c>
      <c r="O59" s="18" t="n">
        <v>0</v>
      </c>
      <c r="P59" s="20" t="n">
        <v>0</v>
      </c>
      <c r="Q59" s="18" t="n">
        <v>45.29021966</v>
      </c>
      <c r="R59" s="20" t="n">
        <v>1.96189594</v>
      </c>
    </row>
    <row r="60" spans="1:18">
      <c r="A60" s="15" t="s">
        <v>402</v>
      </c>
      <c r="B60" s="17" t="n">
        <v>4546</v>
      </c>
      <c r="C60" s="18">
        <f>(3801.0/B60*100)</f>
        <v/>
      </c>
      <c r="D60" s="19" t="n">
        <v>745</v>
      </c>
      <c r="E60" s="18" t="n">
        <v>25.88307854</v>
      </c>
      <c r="F60" s="20" t="n">
        <v>1.79798665</v>
      </c>
      <c r="G60" s="18" t="n">
        <v>31.90768732</v>
      </c>
      <c r="H60" s="20" t="n">
        <v>2.1809609</v>
      </c>
      <c r="I60" s="18" t="s">
        <v>349</v>
      </c>
      <c r="J60" s="20" t="s">
        <v>349</v>
      </c>
      <c r="K60" s="18" t="n">
        <v>4.78411585</v>
      </c>
      <c r="L60" s="20" t="n">
        <v>0.96451984</v>
      </c>
      <c r="M60" s="18" t="n">
        <v>0</v>
      </c>
      <c r="N60" s="20" t="n">
        <v>0</v>
      </c>
      <c r="O60" s="18" t="n">
        <v>0.40766287</v>
      </c>
      <c r="P60" s="20" t="n">
        <v>0.20817541</v>
      </c>
      <c r="Q60" s="18" t="n">
        <v>37.01745542</v>
      </c>
      <c r="R60" s="20" t="n">
        <v>2.16237821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16.72002789</v>
      </c>
      <c r="F63" s="20" t="n">
        <v>1.42152179</v>
      </c>
      <c r="G63" s="18" t="n">
        <v>24.3715302</v>
      </c>
      <c r="H63" s="20" t="n">
        <v>1.43573682</v>
      </c>
      <c r="I63" s="18" t="s">
        <v>349</v>
      </c>
      <c r="J63" s="20" t="s">
        <v>349</v>
      </c>
      <c r="K63" s="18" t="n">
        <v>3.09849387</v>
      </c>
      <c r="L63" s="20" t="n">
        <v>0.63094716</v>
      </c>
      <c r="M63" s="18" t="n">
        <v>0</v>
      </c>
      <c r="N63" s="20" t="n">
        <v>0</v>
      </c>
      <c r="O63" s="18" t="n">
        <v>0</v>
      </c>
      <c r="P63" s="20" t="n">
        <v>0</v>
      </c>
      <c r="Q63" s="18" t="n">
        <v>55.80994803</v>
      </c>
      <c r="R63" s="20" t="n">
        <v>1.88059681</v>
      </c>
    </row>
    <row r="64" spans="1:18">
      <c r="A64" s="15" t="s">
        <v>406</v>
      </c>
      <c r="B64" s="17" t="n">
        <v>3634</v>
      </c>
      <c r="C64" s="18">
        <f>(3027.0/B64*100)</f>
        <v/>
      </c>
      <c r="D64" s="19" t="n">
        <v>607</v>
      </c>
      <c r="E64" s="18" t="n">
        <v>22.0228577</v>
      </c>
      <c r="F64" s="20" t="n">
        <v>1.68504497</v>
      </c>
      <c r="G64" s="18" t="n">
        <v>63.92795482</v>
      </c>
      <c r="H64" s="20" t="n">
        <v>1.90030297</v>
      </c>
      <c r="I64" s="18" t="s">
        <v>349</v>
      </c>
      <c r="J64" s="20" t="s">
        <v>349</v>
      </c>
      <c r="K64" s="18" t="n">
        <v>1.08749936</v>
      </c>
      <c r="L64" s="20" t="n">
        <v>0.44441691</v>
      </c>
      <c r="M64" s="18" t="n">
        <v>0</v>
      </c>
      <c r="N64" s="20" t="n">
        <v>0</v>
      </c>
      <c r="O64" s="18" t="n">
        <v>0</v>
      </c>
      <c r="P64" s="20" t="n">
        <v>0</v>
      </c>
      <c r="Q64" s="18" t="n">
        <v>12.96168811</v>
      </c>
      <c r="R64" s="20" t="n">
        <v>1.45750167</v>
      </c>
    </row>
    <row r="65" spans="1:18">
      <c r="A65" s="15" t="s">
        <v>407</v>
      </c>
      <c r="B65" s="17" t="n">
        <v>5325</v>
      </c>
      <c r="C65" s="18">
        <f>(4419.0/B65*100)</f>
        <v/>
      </c>
      <c r="D65" s="19" t="n">
        <v>906</v>
      </c>
      <c r="E65" s="18" t="n">
        <v>21.76392147</v>
      </c>
      <c r="F65" s="20" t="n">
        <v>1.46513047</v>
      </c>
      <c r="G65" s="18" t="n">
        <v>39.25892527</v>
      </c>
      <c r="H65" s="20" t="n">
        <v>2.02373884</v>
      </c>
      <c r="I65" s="18" t="s">
        <v>349</v>
      </c>
      <c r="J65" s="20" t="s">
        <v>349</v>
      </c>
      <c r="K65" s="18" t="n">
        <v>6.23175919</v>
      </c>
      <c r="L65" s="20" t="n">
        <v>0.93310274</v>
      </c>
      <c r="M65" s="18" t="n">
        <v>0</v>
      </c>
      <c r="N65" s="20" t="n">
        <v>0</v>
      </c>
      <c r="O65" s="18" t="n">
        <v>0</v>
      </c>
      <c r="P65" s="20" t="n">
        <v>0</v>
      </c>
      <c r="Q65" s="18" t="n">
        <v>32.74539407</v>
      </c>
      <c r="R65" s="20" t="n">
        <v>1.99244501</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29.86931345</v>
      </c>
      <c r="F69" s="20" t="n">
        <v>2.11214994</v>
      </c>
      <c r="G69" s="18" t="n">
        <v>69.79684062</v>
      </c>
      <c r="H69" s="20" t="n">
        <v>2.1506387</v>
      </c>
      <c r="I69" s="18" t="s">
        <v>349</v>
      </c>
      <c r="J69" s="20" t="s">
        <v>349</v>
      </c>
      <c r="K69" s="18" t="n">
        <v>0</v>
      </c>
      <c r="L69" s="20" t="n">
        <v>0</v>
      </c>
      <c r="M69" s="18" t="n">
        <v>0</v>
      </c>
      <c r="N69" s="20" t="n">
        <v>0</v>
      </c>
      <c r="O69" s="18" t="n">
        <v>0</v>
      </c>
      <c r="P69" s="20" t="n">
        <v>0</v>
      </c>
      <c r="Q69" s="18" t="n">
        <v>0.33384593</v>
      </c>
      <c r="R69" s="20" t="n">
        <v>0.19156008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22.83555637</v>
      </c>
      <c r="F74" s="20" t="n">
        <v>1.61389271</v>
      </c>
      <c r="G74" s="18" t="n">
        <v>45.70899846</v>
      </c>
      <c r="H74" s="20" t="n">
        <v>1.95289592</v>
      </c>
      <c r="I74" s="18" t="s">
        <v>349</v>
      </c>
      <c r="J74" s="20" t="s">
        <v>349</v>
      </c>
      <c r="K74" s="18" t="n">
        <v>8.672230259999999</v>
      </c>
      <c r="L74" s="20" t="n">
        <v>1.13006931</v>
      </c>
      <c r="M74" s="18" t="n">
        <v>0</v>
      </c>
      <c r="N74" s="20" t="n">
        <v>0</v>
      </c>
      <c r="O74" s="18" t="n">
        <v>0</v>
      </c>
      <c r="P74" s="20" t="n">
        <v>0</v>
      </c>
      <c r="Q74" s="18" t="n">
        <v>22.78321491</v>
      </c>
      <c r="R74" s="20" t="n">
        <v>1.6791801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37.36353687</v>
      </c>
      <c r="F78" s="20" t="n">
        <v>2.09158837</v>
      </c>
      <c r="G78" s="18" t="n">
        <v>46.65800297</v>
      </c>
      <c r="H78" s="20" t="n">
        <v>2.31925726</v>
      </c>
      <c r="I78" s="18" t="s">
        <v>349</v>
      </c>
      <c r="J78" s="20" t="s">
        <v>349</v>
      </c>
      <c r="K78" s="18" t="n">
        <v>0</v>
      </c>
      <c r="L78" s="20" t="n">
        <v>0</v>
      </c>
      <c r="M78" s="18" t="n">
        <v>0</v>
      </c>
      <c r="N78" s="20" t="n">
        <v>0</v>
      </c>
      <c r="O78" s="18" t="n">
        <v>0</v>
      </c>
      <c r="P78" s="20" t="n">
        <v>0</v>
      </c>
      <c r="Q78" s="18" t="n">
        <v>15.97846017</v>
      </c>
      <c r="R78" s="20" t="n">
        <v>1.15308098</v>
      </c>
    </row>
    <row customHeight="1" ht="25" r="79" spans="1:18">
      <c r="A79" s="15" t="s">
        <v>421</v>
      </c>
      <c r="B79" s="17" t="n">
        <v>1657</v>
      </c>
      <c r="C79" s="18">
        <f>(1377.0/B79*100)</f>
        <v/>
      </c>
      <c r="D79" s="19" t="n">
        <v>280</v>
      </c>
      <c r="E79" s="18" t="n">
        <v>24.33099649</v>
      </c>
      <c r="F79" s="20" t="n">
        <v>2.84395271</v>
      </c>
      <c r="G79" s="18" t="n">
        <v>49.80297091</v>
      </c>
      <c r="H79" s="20" t="n">
        <v>3.91147665</v>
      </c>
      <c r="I79" s="18" t="s">
        <v>349</v>
      </c>
      <c r="J79" s="20" t="s">
        <v>349</v>
      </c>
      <c r="K79" s="18" t="n">
        <v>4.60493495</v>
      </c>
      <c r="L79" s="20" t="n">
        <v>1.33940822</v>
      </c>
      <c r="M79" s="18" t="n">
        <v>0</v>
      </c>
      <c r="N79" s="20" t="n">
        <v>0</v>
      </c>
      <c r="O79" s="18" t="n">
        <v>0</v>
      </c>
      <c r="P79" s="20" t="n">
        <v>0</v>
      </c>
      <c r="Q79" s="18" t="n">
        <v>21.26109765</v>
      </c>
      <c r="R79" s="20" t="n">
        <v>3.24439563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AD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30">
      <c r="A1" s="4" t="s">
        <v>331</v>
      </c>
    </row>
    <row r="2" spans="1:30">
      <c r="A2" s="5" t="s">
        <v>538</v>
      </c>
    </row>
    <row customHeight="1" ht="30" r="4" spans="1:30">
      <c r="A4" s="6" t="n"/>
      <c r="B4" s="7" t="s">
        <v>333</v>
      </c>
      <c r="C4" s="7" t="s">
        <v>334</v>
      </c>
      <c r="D4" s="8" t="s">
        <v>333</v>
      </c>
      <c r="E4" s="9" t="s">
        <v>440</v>
      </c>
      <c r="F4" s="10" t="n"/>
      <c r="G4" s="9" t="s">
        <v>536</v>
      </c>
      <c r="H4" s="10" t="n"/>
      <c r="I4" s="9" t="s">
        <v>441</v>
      </c>
      <c r="J4" s="10" t="n"/>
      <c r="K4" s="9" t="s">
        <v>442</v>
      </c>
      <c r="L4" s="10" t="n"/>
      <c r="M4" s="9" t="s">
        <v>443</v>
      </c>
      <c r="N4" s="10" t="n"/>
      <c r="O4" s="9" t="s">
        <v>444</v>
      </c>
      <c r="P4" s="10" t="n"/>
      <c r="Q4" s="9" t="s">
        <v>447</v>
      </c>
      <c r="R4" s="10" t="n"/>
      <c r="S4" s="9" t="s">
        <v>448</v>
      </c>
      <c r="T4" s="10" t="n"/>
      <c r="U4" s="9" t="s">
        <v>337</v>
      </c>
      <c r="V4" s="10" t="n"/>
      <c r="W4" s="9" t="s">
        <v>338</v>
      </c>
      <c r="X4" s="10" t="n"/>
      <c r="Y4" s="9" t="s">
        <v>339</v>
      </c>
      <c r="Z4" s="10" t="n"/>
      <c r="AA4" s="9" t="s">
        <v>340</v>
      </c>
      <c r="AB4" s="10" t="n"/>
      <c r="AC4" s="9" t="s">
        <v>341</v>
      </c>
      <c r="AD4" s="10" t="n"/>
    </row>
    <row r="5" spans="1:3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c r="AA5" s="12" t="s">
        <v>345</v>
      </c>
      <c r="AB5" s="11" t="s">
        <v>346</v>
      </c>
      <c r="AC5" s="12" t="s">
        <v>345</v>
      </c>
      <c r="AD5" s="11" t="s">
        <v>346</v>
      </c>
    </row>
    <row r="6" spans="1:30">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5" t="n"/>
      <c r="AC6" s="14" t="n"/>
      <c r="AD6" s="16" t="n"/>
    </row>
    <row r="7" spans="1:3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c r="AA7" s="18" t="s">
        <v>349</v>
      </c>
      <c r="AB7" s="20" t="s">
        <v>349</v>
      </c>
      <c r="AC7" s="18" t="s">
        <v>349</v>
      </c>
      <c r="AD7" s="20" t="s">
        <v>349</v>
      </c>
    </row>
    <row r="8" spans="1:3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c r="AA8" s="18" t="s">
        <v>349</v>
      </c>
      <c r="AB8" s="20" t="s">
        <v>349</v>
      </c>
      <c r="AC8" s="18" t="s">
        <v>349</v>
      </c>
      <c r="AD8" s="20" t="s">
        <v>349</v>
      </c>
    </row>
    <row r="9" spans="1:3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c r="AA9" s="18" t="s">
        <v>349</v>
      </c>
      <c r="AB9" s="20" t="s">
        <v>349</v>
      </c>
      <c r="AC9" s="18" t="s">
        <v>349</v>
      </c>
      <c r="AD9" s="20" t="s">
        <v>349</v>
      </c>
    </row>
    <row r="10" spans="1:3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c r="AA10" s="18" t="s">
        <v>349</v>
      </c>
      <c r="AB10" s="20" t="s">
        <v>349</v>
      </c>
      <c r="AC10" s="18" t="s">
        <v>349</v>
      </c>
      <c r="AD10" s="20" t="s">
        <v>349</v>
      </c>
    </row>
    <row r="11" spans="1:30">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c r="AA11" s="18" t="s">
        <v>349</v>
      </c>
      <c r="AB11" s="20" t="s">
        <v>349</v>
      </c>
      <c r="AC11" s="18" t="s">
        <v>349</v>
      </c>
      <c r="AD11" s="20" t="s">
        <v>349</v>
      </c>
    </row>
    <row r="12" spans="1:3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c r="AA12" s="18" t="s">
        <v>349</v>
      </c>
      <c r="AB12" s="20" t="s">
        <v>349</v>
      </c>
      <c r="AC12" s="18" t="s">
        <v>349</v>
      </c>
      <c r="AD12" s="20" t="s">
        <v>349</v>
      </c>
    </row>
    <row r="13" spans="1:3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c r="AA13" s="18" t="s">
        <v>349</v>
      </c>
      <c r="AB13" s="20" t="s">
        <v>349</v>
      </c>
      <c r="AC13" s="18" t="s">
        <v>349</v>
      </c>
      <c r="AD13" s="20" t="s">
        <v>349</v>
      </c>
    </row>
    <row r="14" spans="1:3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c r="AA14" s="18" t="s">
        <v>349</v>
      </c>
      <c r="AB14" s="20" t="s">
        <v>349</v>
      </c>
      <c r="AC14" s="18" t="s">
        <v>349</v>
      </c>
      <c r="AD14" s="20" t="s">
        <v>349</v>
      </c>
    </row>
    <row r="15" spans="1:3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c r="AA15" s="18" t="s">
        <v>349</v>
      </c>
      <c r="AB15" s="20" t="s">
        <v>349</v>
      </c>
      <c r="AC15" s="18" t="s">
        <v>349</v>
      </c>
      <c r="AD15" s="20" t="s">
        <v>349</v>
      </c>
    </row>
    <row r="16" spans="1:3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c r="AA16" s="18" t="s">
        <v>349</v>
      </c>
      <c r="AB16" s="20" t="s">
        <v>349</v>
      </c>
      <c r="AC16" s="18" t="s">
        <v>349</v>
      </c>
      <c r="AD16" s="20" t="s">
        <v>349</v>
      </c>
    </row>
    <row r="17" spans="1:3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c r="AA17" s="18" t="s">
        <v>349</v>
      </c>
      <c r="AB17" s="20" t="s">
        <v>349</v>
      </c>
      <c r="AC17" s="18" t="s">
        <v>349</v>
      </c>
      <c r="AD17" s="20" t="s">
        <v>349</v>
      </c>
    </row>
    <row r="18" spans="1:3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c r="AA18" s="18" t="s">
        <v>349</v>
      </c>
      <c r="AB18" s="20" t="s">
        <v>349</v>
      </c>
      <c r="AC18" s="18" t="s">
        <v>349</v>
      </c>
      <c r="AD18" s="20" t="s">
        <v>349</v>
      </c>
    </row>
    <row r="19" spans="1:3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c r="AA19" s="18" t="s">
        <v>349</v>
      </c>
      <c r="AB19" s="20" t="s">
        <v>349</v>
      </c>
      <c r="AC19" s="18" t="s">
        <v>349</v>
      </c>
      <c r="AD19" s="20" t="s">
        <v>349</v>
      </c>
    </row>
    <row r="20" spans="1:3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c r="AA20" s="18" t="s">
        <v>349</v>
      </c>
      <c r="AB20" s="20" t="s">
        <v>349</v>
      </c>
      <c r="AC20" s="18" t="s">
        <v>349</v>
      </c>
      <c r="AD20" s="20" t="s">
        <v>349</v>
      </c>
    </row>
    <row r="21" spans="1:3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c r="AA21" s="18" t="s">
        <v>349</v>
      </c>
      <c r="AB21" s="20" t="s">
        <v>349</v>
      </c>
      <c r="AC21" s="18" t="s">
        <v>349</v>
      </c>
      <c r="AD21" s="20" t="s">
        <v>349</v>
      </c>
    </row>
    <row r="22" spans="1:3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c r="AA22" s="18" t="s">
        <v>349</v>
      </c>
      <c r="AB22" s="20" t="s">
        <v>349</v>
      </c>
      <c r="AC22" s="18" t="s">
        <v>349</v>
      </c>
      <c r="AD22" s="20" t="s">
        <v>349</v>
      </c>
    </row>
    <row r="23" spans="1:3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c r="AA23" s="18" t="s">
        <v>349</v>
      </c>
      <c r="AB23" s="20" t="s">
        <v>349</v>
      </c>
      <c r="AC23" s="18" t="s">
        <v>349</v>
      </c>
      <c r="AD23" s="20" t="s">
        <v>349</v>
      </c>
    </row>
    <row r="24" spans="1:3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c r="AA24" s="18" t="s">
        <v>349</v>
      </c>
      <c r="AB24" s="20" t="s">
        <v>349</v>
      </c>
      <c r="AC24" s="18" t="s">
        <v>349</v>
      </c>
      <c r="AD24" s="20" t="s">
        <v>349</v>
      </c>
    </row>
    <row r="25" spans="1:3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c r="AA25" s="18" t="s">
        <v>349</v>
      </c>
      <c r="AB25" s="20" t="s">
        <v>349</v>
      </c>
      <c r="AC25" s="18" t="s">
        <v>349</v>
      </c>
      <c r="AD25" s="20" t="s">
        <v>349</v>
      </c>
    </row>
    <row r="26" spans="1:3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c r="AA26" s="18" t="s">
        <v>349</v>
      </c>
      <c r="AB26" s="20" t="s">
        <v>349</v>
      </c>
      <c r="AC26" s="18" t="s">
        <v>349</v>
      </c>
      <c r="AD26" s="20" t="s">
        <v>349</v>
      </c>
    </row>
    <row r="27" spans="1:3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c r="AA27" s="18" t="s">
        <v>349</v>
      </c>
      <c r="AB27" s="20" t="s">
        <v>349</v>
      </c>
      <c r="AC27" s="18" t="s">
        <v>349</v>
      </c>
      <c r="AD27" s="20" t="s">
        <v>349</v>
      </c>
    </row>
    <row r="28" spans="1:30">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c r="AA28" s="18" t="s">
        <v>349</v>
      </c>
      <c r="AB28" s="20" t="s">
        <v>349</v>
      </c>
      <c r="AC28" s="18" t="s">
        <v>349</v>
      </c>
      <c r="AD28" s="20" t="s">
        <v>349</v>
      </c>
    </row>
    <row r="29" spans="1:3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c r="AA29" s="18" t="s">
        <v>349</v>
      </c>
      <c r="AB29" s="20" t="s">
        <v>349</v>
      </c>
      <c r="AC29" s="18" t="s">
        <v>349</v>
      </c>
      <c r="AD29" s="20" t="s">
        <v>349</v>
      </c>
    </row>
    <row r="30" spans="1:3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c r="AA30" s="18" t="s">
        <v>349</v>
      </c>
      <c r="AB30" s="20" t="s">
        <v>349</v>
      </c>
      <c r="AC30" s="18" t="s">
        <v>349</v>
      </c>
      <c r="AD30" s="20" t="s">
        <v>349</v>
      </c>
    </row>
    <row r="31" spans="1:3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c r="AA31" s="18" t="s">
        <v>349</v>
      </c>
      <c r="AB31" s="20" t="s">
        <v>349</v>
      </c>
      <c r="AC31" s="18" t="s">
        <v>349</v>
      </c>
      <c r="AD31" s="20" t="s">
        <v>349</v>
      </c>
    </row>
    <row r="32" spans="1:3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c r="AA32" s="18" t="s">
        <v>349</v>
      </c>
      <c r="AB32" s="20" t="s">
        <v>349</v>
      </c>
      <c r="AC32" s="18" t="s">
        <v>349</v>
      </c>
      <c r="AD32" s="20" t="s">
        <v>349</v>
      </c>
    </row>
    <row r="33" spans="1:3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c r="AA33" s="18" t="s">
        <v>349</v>
      </c>
      <c r="AB33" s="20" t="s">
        <v>349</v>
      </c>
      <c r="AC33" s="18" t="s">
        <v>349</v>
      </c>
      <c r="AD33" s="20" t="s">
        <v>349</v>
      </c>
    </row>
    <row r="34" spans="1:3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c r="AA34" s="18" t="s">
        <v>349</v>
      </c>
      <c r="AB34" s="20" t="s">
        <v>349</v>
      </c>
      <c r="AC34" s="18" t="s">
        <v>349</v>
      </c>
      <c r="AD34" s="20" t="s">
        <v>349</v>
      </c>
    </row>
    <row r="35" spans="1:3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c r="AA35" s="18" t="s">
        <v>349</v>
      </c>
      <c r="AB35" s="20" t="s">
        <v>349</v>
      </c>
      <c r="AC35" s="18" t="s">
        <v>349</v>
      </c>
      <c r="AD35" s="20" t="s">
        <v>349</v>
      </c>
    </row>
    <row r="36" spans="1:3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c r="AA36" s="18" t="s">
        <v>349</v>
      </c>
      <c r="AB36" s="20" t="s">
        <v>349</v>
      </c>
      <c r="AC36" s="18" t="s">
        <v>349</v>
      </c>
      <c r="AD36" s="20" t="s">
        <v>349</v>
      </c>
    </row>
    <row r="37" spans="1:3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c r="AA37" s="18" t="s">
        <v>349</v>
      </c>
      <c r="AB37" s="20" t="s">
        <v>349</v>
      </c>
      <c r="AC37" s="18" t="s">
        <v>349</v>
      </c>
      <c r="AD37" s="20" t="s">
        <v>349</v>
      </c>
    </row>
    <row r="38" spans="1:3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c r="AA38" s="18" t="s">
        <v>349</v>
      </c>
      <c r="AB38" s="20" t="s">
        <v>349</v>
      </c>
      <c r="AC38" s="18" t="s">
        <v>349</v>
      </c>
      <c r="AD38" s="20" t="s">
        <v>349</v>
      </c>
    </row>
    <row r="39" spans="1:3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c r="AA39" s="18" t="s">
        <v>349</v>
      </c>
      <c r="AB39" s="20" t="s">
        <v>349</v>
      </c>
      <c r="AC39" s="18" t="s">
        <v>349</v>
      </c>
      <c r="AD39" s="20" t="s">
        <v>349</v>
      </c>
    </row>
    <row r="40" spans="1:3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c r="AA40" s="18" t="s">
        <v>349</v>
      </c>
      <c r="AB40" s="20" t="s">
        <v>349</v>
      </c>
      <c r="AC40" s="18" t="s">
        <v>349</v>
      </c>
      <c r="AD40" s="20" t="s">
        <v>349</v>
      </c>
    </row>
    <row r="41" spans="1:3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c r="AA41" s="18" t="s">
        <v>349</v>
      </c>
      <c r="AB41" s="20" t="s">
        <v>349</v>
      </c>
      <c r="AC41" s="18" t="s">
        <v>349</v>
      </c>
      <c r="AD41" s="20" t="s">
        <v>349</v>
      </c>
    </row>
    <row r="42" spans="1:3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c r="AC42" s="18">
        <f>IF(COUNT(AC7:AC41) &gt; 0, AVERAGE(AC7:AC41), "—")</f>
        <v/>
      </c>
      <c r="AD42" s="20">
        <f>IF(COUNT(AD7:AD41) &gt; 0, SQRT(SUMSQ(AD7:AD41)/(COUNT(AD7:AD41)*COUNT(AD7:AD41)) ), "—")</f>
        <v/>
      </c>
    </row>
    <row r="43" spans="1:3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5" t="n"/>
      <c r="AC43" s="14" t="n"/>
      <c r="AD43" s="16" t="n"/>
    </row>
    <row r="44" spans="1:30">
      <c r="A44" s="15" t="s">
        <v>386</v>
      </c>
      <c r="B44" s="17" t="n">
        <v>5215</v>
      </c>
      <c r="C44" s="18">
        <f>(4332.0/B44*100)</f>
        <v/>
      </c>
      <c r="D44" s="19" t="n">
        <v>883</v>
      </c>
      <c r="E44" s="18" t="n">
        <v>25.32169787</v>
      </c>
      <c r="F44" s="20" t="n">
        <v>2.1685741</v>
      </c>
      <c r="G44" s="18" t="n">
        <v>0</v>
      </c>
      <c r="H44" s="20" t="n">
        <v>0</v>
      </c>
      <c r="I44" s="18" t="n">
        <v>2.50854915</v>
      </c>
      <c r="J44" s="20" t="n">
        <v>0.54545257</v>
      </c>
      <c r="K44" s="18" t="n">
        <v>0.49773258</v>
      </c>
      <c r="L44" s="20" t="n">
        <v>0.23413652</v>
      </c>
      <c r="M44" s="18" t="n">
        <v>1.03811466</v>
      </c>
      <c r="N44" s="20" t="n">
        <v>0.38151119</v>
      </c>
      <c r="O44" s="18" t="n">
        <v>0.7778932</v>
      </c>
      <c r="P44" s="20" t="n">
        <v>0.37025559</v>
      </c>
      <c r="Q44" s="18" t="n">
        <v>1.19087871</v>
      </c>
      <c r="R44" s="20" t="n">
        <v>0.37246141</v>
      </c>
      <c r="S44" s="18" t="n">
        <v>0.42995462</v>
      </c>
      <c r="T44" s="20" t="n">
        <v>0.38581998</v>
      </c>
      <c r="U44" s="18" t="s">
        <v>349</v>
      </c>
      <c r="V44" s="20" t="s">
        <v>349</v>
      </c>
      <c r="W44" s="18" t="n">
        <v>7.77909668</v>
      </c>
      <c r="X44" s="20" t="n">
        <v>1.22965077</v>
      </c>
      <c r="Y44" s="18" t="n">
        <v>0</v>
      </c>
      <c r="Z44" s="20" t="n">
        <v>0</v>
      </c>
      <c r="AA44" s="18" t="n">
        <v>0</v>
      </c>
      <c r="AB44" s="20" t="n">
        <v>0</v>
      </c>
      <c r="AC44" s="18" t="n">
        <v>60.45608253</v>
      </c>
      <c r="AD44" s="20" t="n">
        <v>2.29719169</v>
      </c>
    </row>
    <row r="45" spans="1:30">
      <c r="A45" s="15" t="s">
        <v>387</v>
      </c>
      <c r="B45" s="17" t="n">
        <v>5519</v>
      </c>
      <c r="C45" s="18">
        <f>(4611.0/B45*100)</f>
        <v/>
      </c>
      <c r="D45" s="19" t="n">
        <v>908</v>
      </c>
      <c r="E45" s="18" t="n">
        <v>32.77256854</v>
      </c>
      <c r="F45" s="20" t="n">
        <v>1.77603823</v>
      </c>
      <c r="G45" s="18" t="n">
        <v>0</v>
      </c>
      <c r="H45" s="20" t="n">
        <v>0</v>
      </c>
      <c r="I45" s="18" t="n">
        <v>1.03404093</v>
      </c>
      <c r="J45" s="20" t="n">
        <v>0.3273017</v>
      </c>
      <c r="K45" s="18" t="n">
        <v>0.58824354</v>
      </c>
      <c r="L45" s="20" t="n">
        <v>0.23914962</v>
      </c>
      <c r="M45" s="18" t="n">
        <v>0</v>
      </c>
      <c r="N45" s="20" t="n">
        <v>0</v>
      </c>
      <c r="O45" s="18" t="n">
        <v>0.83128576</v>
      </c>
      <c r="P45" s="20" t="n">
        <v>0.33322578</v>
      </c>
      <c r="Q45" s="18" t="n">
        <v>0.56259911</v>
      </c>
      <c r="R45" s="20" t="n">
        <v>0.19705521</v>
      </c>
      <c r="S45" s="18" t="n">
        <v>0.10897456</v>
      </c>
      <c r="T45" s="20" t="n">
        <v>0.11395366</v>
      </c>
      <c r="U45" s="18" t="s">
        <v>349</v>
      </c>
      <c r="V45" s="20" t="s">
        <v>349</v>
      </c>
      <c r="W45" s="18" t="n">
        <v>6.8385314</v>
      </c>
      <c r="X45" s="20" t="n">
        <v>0.84925482</v>
      </c>
      <c r="Y45" s="18" t="n">
        <v>0.25371248</v>
      </c>
      <c r="Z45" s="20" t="n">
        <v>0.20112535</v>
      </c>
      <c r="AA45" s="18" t="n">
        <v>0.19802216</v>
      </c>
      <c r="AB45" s="20" t="n">
        <v>0.15930311</v>
      </c>
      <c r="AC45" s="18" t="n">
        <v>56.81202151</v>
      </c>
      <c r="AD45" s="20" t="n">
        <v>1.81860366</v>
      </c>
    </row>
    <row r="46" spans="1:30">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c r="AA46" s="18" t="s">
        <v>349</v>
      </c>
      <c r="AB46" s="20" t="s">
        <v>349</v>
      </c>
      <c r="AC46" s="18" t="s">
        <v>349</v>
      </c>
      <c r="AD46" s="20" t="s">
        <v>349</v>
      </c>
    </row>
    <row r="47" spans="1:30">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c r="AA47" s="18" t="s">
        <v>349</v>
      </c>
      <c r="AB47" s="20" t="s">
        <v>349</v>
      </c>
      <c r="AC47" s="18" t="s">
        <v>349</v>
      </c>
      <c r="AD47" s="20" t="s">
        <v>349</v>
      </c>
    </row>
    <row r="48" spans="1:3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c r="AA48" s="18" t="s">
        <v>349</v>
      </c>
      <c r="AB48" s="20" t="s">
        <v>349</v>
      </c>
      <c r="AC48" s="18" t="s">
        <v>349</v>
      </c>
      <c r="AD48" s="20" t="s">
        <v>349</v>
      </c>
    </row>
    <row r="49" spans="1:30">
      <c r="A49" s="15" t="s">
        <v>391</v>
      </c>
      <c r="B49" s="17" t="n">
        <v>6349</v>
      </c>
      <c r="C49" s="18">
        <f>(5298.0/B49*100)</f>
        <v/>
      </c>
      <c r="D49" s="19" t="n">
        <v>1051</v>
      </c>
      <c r="E49" s="18" t="n">
        <v>33.12225121</v>
      </c>
      <c r="F49" s="20" t="n">
        <v>1.95960499</v>
      </c>
      <c r="G49" s="18" t="n">
        <v>0</v>
      </c>
      <c r="H49" s="20" t="n">
        <v>0</v>
      </c>
      <c r="I49" s="18" t="n">
        <v>1.13168338</v>
      </c>
      <c r="J49" s="20" t="n">
        <v>0.41761091</v>
      </c>
      <c r="K49" s="18" t="n">
        <v>2.58818132</v>
      </c>
      <c r="L49" s="20" t="n">
        <v>0.57303485</v>
      </c>
      <c r="M49" s="18" t="n">
        <v>0.44716261</v>
      </c>
      <c r="N49" s="20" t="n">
        <v>0.30223442</v>
      </c>
      <c r="O49" s="18" t="n">
        <v>0.49510536</v>
      </c>
      <c r="P49" s="20" t="n">
        <v>0.22314152</v>
      </c>
      <c r="Q49" s="18" t="n">
        <v>1.10041163</v>
      </c>
      <c r="R49" s="20" t="n">
        <v>0.42918086</v>
      </c>
      <c r="S49" s="18" t="n">
        <v>0.5783420500000001</v>
      </c>
      <c r="T49" s="20" t="n">
        <v>0.23542354</v>
      </c>
      <c r="U49" s="18" t="s">
        <v>349</v>
      </c>
      <c r="V49" s="20" t="s">
        <v>349</v>
      </c>
      <c r="W49" s="18" t="n">
        <v>4.10945343</v>
      </c>
      <c r="X49" s="20" t="n">
        <v>0.71654428</v>
      </c>
      <c r="Y49" s="18" t="n">
        <v>0</v>
      </c>
      <c r="Z49" s="20" t="n">
        <v>0</v>
      </c>
      <c r="AA49" s="18" t="n">
        <v>0</v>
      </c>
      <c r="AB49" s="20" t="n">
        <v>0</v>
      </c>
      <c r="AC49" s="18" t="n">
        <v>56.42740901</v>
      </c>
      <c r="AD49" s="20" t="n">
        <v>2.19070952</v>
      </c>
    </row>
    <row r="50" spans="1:30">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c r="AA50" s="18" t="s">
        <v>349</v>
      </c>
      <c r="AB50" s="20" t="s">
        <v>349</v>
      </c>
      <c r="AC50" s="18" t="s">
        <v>349</v>
      </c>
      <c r="AD50" s="20" t="s">
        <v>349</v>
      </c>
    </row>
    <row r="51" spans="1:30">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c r="AA51" s="18" t="s">
        <v>349</v>
      </c>
      <c r="AB51" s="20" t="s">
        <v>349</v>
      </c>
      <c r="AC51" s="18" t="s">
        <v>349</v>
      </c>
      <c r="AD51" s="20" t="s">
        <v>349</v>
      </c>
    </row>
    <row r="52" spans="1:3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c r="AA52" s="18" t="s">
        <v>349</v>
      </c>
      <c r="AB52" s="20" t="s">
        <v>349</v>
      </c>
      <c r="AC52" s="18" t="s">
        <v>349</v>
      </c>
      <c r="AD52" s="20" t="s">
        <v>349</v>
      </c>
    </row>
    <row r="53" spans="1:30">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c r="AA53" s="18" t="s">
        <v>349</v>
      </c>
      <c r="AB53" s="20" t="s">
        <v>349</v>
      </c>
      <c r="AC53" s="18" t="s">
        <v>349</v>
      </c>
      <c r="AD53" s="20" t="s">
        <v>349</v>
      </c>
    </row>
    <row r="54" spans="1:30">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c r="AA54" s="18" t="s">
        <v>349</v>
      </c>
      <c r="AB54" s="20" t="s">
        <v>349</v>
      </c>
      <c r="AC54" s="18" t="s">
        <v>349</v>
      </c>
      <c r="AD54" s="20" t="s">
        <v>349</v>
      </c>
    </row>
    <row r="55" spans="1:30">
      <c r="A55" s="15" t="s">
        <v>397</v>
      </c>
      <c r="B55" s="17" t="n">
        <v>5316</v>
      </c>
      <c r="C55" s="18">
        <f>(4435.0/B55*100)</f>
        <v/>
      </c>
      <c r="D55" s="19" t="n">
        <v>881</v>
      </c>
      <c r="E55" s="18" t="n">
        <v>17.63058535</v>
      </c>
      <c r="F55" s="20" t="n">
        <v>1.39144724</v>
      </c>
      <c r="G55" s="18" t="n">
        <v>0</v>
      </c>
      <c r="H55" s="20" t="n">
        <v>0</v>
      </c>
      <c r="I55" s="18" t="n">
        <v>0.98981723</v>
      </c>
      <c r="J55" s="20" t="n">
        <v>0.30676843</v>
      </c>
      <c r="K55" s="18" t="n">
        <v>2.74777694</v>
      </c>
      <c r="L55" s="20" t="n">
        <v>0.53542919</v>
      </c>
      <c r="M55" s="18" t="n">
        <v>3.45631914</v>
      </c>
      <c r="N55" s="20" t="n">
        <v>0.59040379</v>
      </c>
      <c r="O55" s="18" t="n">
        <v>0.92464146</v>
      </c>
      <c r="P55" s="20" t="n">
        <v>0.3415216</v>
      </c>
      <c r="Q55" s="18" t="n">
        <v>2.04792476</v>
      </c>
      <c r="R55" s="20" t="n">
        <v>0.494345</v>
      </c>
      <c r="S55" s="18" t="n">
        <v>1.10825292</v>
      </c>
      <c r="T55" s="20" t="n">
        <v>0.40009928</v>
      </c>
      <c r="U55" s="18" t="s">
        <v>349</v>
      </c>
      <c r="V55" s="20" t="s">
        <v>349</v>
      </c>
      <c r="W55" s="18" t="n">
        <v>2.69812488</v>
      </c>
      <c r="X55" s="20" t="n">
        <v>0.57414446</v>
      </c>
      <c r="Y55" s="18" t="n">
        <v>0</v>
      </c>
      <c r="Z55" s="20" t="n">
        <v>0</v>
      </c>
      <c r="AA55" s="18" t="n">
        <v>0</v>
      </c>
      <c r="AB55" s="20" t="n">
        <v>0</v>
      </c>
      <c r="AC55" s="18" t="n">
        <v>68.39655731000001</v>
      </c>
      <c r="AD55" s="20" t="n">
        <v>1.77029756</v>
      </c>
    </row>
    <row r="56" spans="1:3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c r="AA56" s="18" t="s">
        <v>349</v>
      </c>
      <c r="AB56" s="20" t="s">
        <v>349</v>
      </c>
      <c r="AC56" s="18" t="s">
        <v>349</v>
      </c>
      <c r="AD56" s="20" t="s">
        <v>349</v>
      </c>
    </row>
    <row r="57" spans="1:30">
      <c r="A57" s="15" t="s">
        <v>399</v>
      </c>
      <c r="B57" s="17" t="n">
        <v>6513</v>
      </c>
      <c r="C57" s="18">
        <f>(5416.0/B57*100)</f>
        <v/>
      </c>
      <c r="D57" s="19" t="n">
        <v>1097</v>
      </c>
      <c r="E57" s="18" t="n">
        <v>69.48067055</v>
      </c>
      <c r="F57" s="20" t="n">
        <v>2.35932252</v>
      </c>
      <c r="G57" s="18" t="n">
        <v>0</v>
      </c>
      <c r="H57" s="20" t="n">
        <v>0</v>
      </c>
      <c r="I57" s="18" t="n">
        <v>0.28906218</v>
      </c>
      <c r="J57" s="20" t="n">
        <v>0.16052963</v>
      </c>
      <c r="K57" s="18" t="n">
        <v>0.19845575</v>
      </c>
      <c r="L57" s="20" t="n">
        <v>0.14017094</v>
      </c>
      <c r="M57" s="18" t="n">
        <v>0.09869813</v>
      </c>
      <c r="N57" s="20" t="n">
        <v>0.09882341</v>
      </c>
      <c r="O57" s="18" t="n">
        <v>0.81718965</v>
      </c>
      <c r="P57" s="20" t="n">
        <v>0.29487716</v>
      </c>
      <c r="Q57" s="18" t="n">
        <v>0.30322602</v>
      </c>
      <c r="R57" s="20" t="n">
        <v>0.08249209</v>
      </c>
      <c r="S57" s="18" t="n">
        <v>0.09681358</v>
      </c>
      <c r="T57" s="20" t="n">
        <v>0.09651722</v>
      </c>
      <c r="U57" s="18" t="s">
        <v>349</v>
      </c>
      <c r="V57" s="20" t="s">
        <v>349</v>
      </c>
      <c r="W57" s="18" t="n">
        <v>1.20487966</v>
      </c>
      <c r="X57" s="20" t="n">
        <v>0.36468405</v>
      </c>
      <c r="Y57" s="18" t="n">
        <v>0</v>
      </c>
      <c r="Z57" s="20" t="n">
        <v>0</v>
      </c>
      <c r="AA57" s="18" t="n">
        <v>0</v>
      </c>
      <c r="AB57" s="20" t="n">
        <v>0</v>
      </c>
      <c r="AC57" s="18" t="n">
        <v>27.51100448</v>
      </c>
      <c r="AD57" s="20" t="n">
        <v>2.27389268</v>
      </c>
    </row>
    <row r="58" spans="1:30">
      <c r="A58" s="15" t="s">
        <v>400</v>
      </c>
      <c r="B58" s="17" t="n">
        <v>7267</v>
      </c>
      <c r="C58" s="18">
        <f>(6036.0/B58*100)</f>
        <v/>
      </c>
      <c r="D58" s="19" t="n">
        <v>1231</v>
      </c>
      <c r="E58" s="18" t="n">
        <v>52.65050687</v>
      </c>
      <c r="F58" s="20" t="n">
        <v>1.97749365</v>
      </c>
      <c r="G58" s="18" t="n">
        <v>0</v>
      </c>
      <c r="H58" s="20" t="n">
        <v>0</v>
      </c>
      <c r="I58" s="18" t="n">
        <v>0.25272131</v>
      </c>
      <c r="J58" s="20" t="n">
        <v>0.16091825</v>
      </c>
      <c r="K58" s="18" t="n">
        <v>0</v>
      </c>
      <c r="L58" s="20" t="n">
        <v>0</v>
      </c>
      <c r="M58" s="18" t="n">
        <v>0.07688876</v>
      </c>
      <c r="N58" s="20" t="n">
        <v>0.07688886</v>
      </c>
      <c r="O58" s="18" t="n">
        <v>0.7106936</v>
      </c>
      <c r="P58" s="20" t="n">
        <v>0.26360553</v>
      </c>
      <c r="Q58" s="18" t="n">
        <v>0.48409212</v>
      </c>
      <c r="R58" s="20" t="n">
        <v>0.28121655</v>
      </c>
      <c r="S58" s="18" t="n">
        <v>0.06008477</v>
      </c>
      <c r="T58" s="20" t="n">
        <v>0.05996836</v>
      </c>
      <c r="U58" s="18" t="s">
        <v>349</v>
      </c>
      <c r="V58" s="20" t="s">
        <v>349</v>
      </c>
      <c r="W58" s="18" t="n">
        <v>2.19296531</v>
      </c>
      <c r="X58" s="20" t="n">
        <v>0.36896759</v>
      </c>
      <c r="Y58" s="18" t="n">
        <v>0</v>
      </c>
      <c r="Z58" s="20" t="n">
        <v>0</v>
      </c>
      <c r="AA58" s="18" t="n">
        <v>0</v>
      </c>
      <c r="AB58" s="20" t="n">
        <v>0</v>
      </c>
      <c r="AC58" s="18" t="n">
        <v>43.57204725</v>
      </c>
      <c r="AD58" s="20" t="n">
        <v>2.00956081</v>
      </c>
    </row>
    <row r="59" spans="1:30">
      <c r="A59" s="15" t="s">
        <v>401</v>
      </c>
      <c r="B59" s="17" t="n">
        <v>4826</v>
      </c>
      <c r="C59" s="18">
        <f>(4028.0/B59*100)</f>
        <v/>
      </c>
      <c r="D59" s="19" t="n">
        <v>798</v>
      </c>
      <c r="E59" s="18" t="n">
        <v>50.77613739</v>
      </c>
      <c r="F59" s="20" t="n">
        <v>2.13603794</v>
      </c>
      <c r="G59" s="18" t="n">
        <v>0</v>
      </c>
      <c r="H59" s="20" t="n">
        <v>0</v>
      </c>
      <c r="I59" s="18" t="n">
        <v>0.69394789</v>
      </c>
      <c r="J59" s="20" t="n">
        <v>0.53658512</v>
      </c>
      <c r="K59" s="18" t="n">
        <v>0.44696415</v>
      </c>
      <c r="L59" s="20" t="n">
        <v>0.26648318</v>
      </c>
      <c r="M59" s="18" t="n">
        <v>0.45387384</v>
      </c>
      <c r="N59" s="20" t="n">
        <v>0.45057862</v>
      </c>
      <c r="O59" s="18" t="n">
        <v>0.13296231</v>
      </c>
      <c r="P59" s="20" t="n">
        <v>0.09405542</v>
      </c>
      <c r="Q59" s="18" t="n">
        <v>0.09382260000000001</v>
      </c>
      <c r="R59" s="20" t="n">
        <v>0.06667003000000001</v>
      </c>
      <c r="S59" s="18" t="n">
        <v>0.79001352</v>
      </c>
      <c r="T59" s="20" t="n">
        <v>0.30291335</v>
      </c>
      <c r="U59" s="18" t="s">
        <v>349</v>
      </c>
      <c r="V59" s="20" t="s">
        <v>349</v>
      </c>
      <c r="W59" s="18" t="n">
        <v>1.38202053</v>
      </c>
      <c r="X59" s="20" t="n">
        <v>0.462169</v>
      </c>
      <c r="Y59" s="18" t="n">
        <v>0</v>
      </c>
      <c r="Z59" s="20" t="n">
        <v>0</v>
      </c>
      <c r="AA59" s="18" t="n">
        <v>0</v>
      </c>
      <c r="AB59" s="20" t="n">
        <v>0</v>
      </c>
      <c r="AC59" s="18" t="n">
        <v>45.23025777</v>
      </c>
      <c r="AD59" s="20" t="n">
        <v>1.90000843</v>
      </c>
    </row>
    <row r="60" spans="1:30">
      <c r="A60" s="15" t="s">
        <v>402</v>
      </c>
      <c r="B60" s="17" t="n">
        <v>4546</v>
      </c>
      <c r="C60" s="18">
        <f>(3801.0/B60*100)</f>
        <v/>
      </c>
      <c r="D60" s="19" t="n">
        <v>745</v>
      </c>
      <c r="E60" s="18" t="n">
        <v>28.89195932</v>
      </c>
      <c r="F60" s="20" t="n">
        <v>2.21577405</v>
      </c>
      <c r="G60" s="18" t="n">
        <v>0</v>
      </c>
      <c r="H60" s="20" t="n">
        <v>0</v>
      </c>
      <c r="I60" s="18" t="n">
        <v>0.43821319</v>
      </c>
      <c r="J60" s="20" t="n">
        <v>0.25758831</v>
      </c>
      <c r="K60" s="18" t="n">
        <v>1.54773487</v>
      </c>
      <c r="L60" s="20" t="n">
        <v>0.5903536700000001</v>
      </c>
      <c r="M60" s="18" t="n">
        <v>1.16480746</v>
      </c>
      <c r="N60" s="20" t="n">
        <v>0.4022153</v>
      </c>
      <c r="O60" s="18" t="n">
        <v>0.76686275</v>
      </c>
      <c r="P60" s="20" t="n">
        <v>0.34779217</v>
      </c>
      <c r="Q60" s="18" t="n">
        <v>4.20403998</v>
      </c>
      <c r="R60" s="20" t="n">
        <v>0.81363031</v>
      </c>
      <c r="S60" s="18" t="n">
        <v>0.82082478</v>
      </c>
      <c r="T60" s="20" t="n">
        <v>0.34668323</v>
      </c>
      <c r="U60" s="18" t="s">
        <v>349</v>
      </c>
      <c r="V60" s="20" t="s">
        <v>349</v>
      </c>
      <c r="W60" s="18" t="n">
        <v>5.54672212</v>
      </c>
      <c r="X60" s="20" t="n">
        <v>1.02127723</v>
      </c>
      <c r="Y60" s="18" t="n">
        <v>0</v>
      </c>
      <c r="Z60" s="20" t="n">
        <v>0</v>
      </c>
      <c r="AA60" s="18" t="n">
        <v>1.04665127</v>
      </c>
      <c r="AB60" s="20" t="n">
        <v>0.47969106</v>
      </c>
      <c r="AC60" s="18" t="n">
        <v>55.57218425</v>
      </c>
      <c r="AD60" s="20" t="n">
        <v>2.32461211</v>
      </c>
    </row>
    <row r="61" spans="1:3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c r="AA61" s="18" t="s">
        <v>349</v>
      </c>
      <c r="AB61" s="20" t="s">
        <v>349</v>
      </c>
      <c r="AC61" s="18" t="s">
        <v>349</v>
      </c>
      <c r="AD61" s="20" t="s">
        <v>349</v>
      </c>
    </row>
    <row r="62" spans="1:3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c r="AA62" s="18" t="s">
        <v>349</v>
      </c>
      <c r="AB62" s="20" t="s">
        <v>349</v>
      </c>
      <c r="AC62" s="18" t="s">
        <v>349</v>
      </c>
      <c r="AD62" s="20" t="s">
        <v>349</v>
      </c>
    </row>
    <row r="63" spans="1:30">
      <c r="A63" s="15" t="s">
        <v>405</v>
      </c>
      <c r="B63" s="17" t="n">
        <v>5324</v>
      </c>
      <c r="C63" s="18">
        <f>(4433.0/B63*100)</f>
        <v/>
      </c>
      <c r="D63" s="19" t="n">
        <v>891</v>
      </c>
      <c r="E63" s="18" t="n">
        <v>13.07371252</v>
      </c>
      <c r="F63" s="20" t="n">
        <v>1.18899678</v>
      </c>
      <c r="G63" s="18" t="n">
        <v>0</v>
      </c>
      <c r="H63" s="20" t="n">
        <v>0</v>
      </c>
      <c r="I63" s="18" t="n">
        <v>0.67158608</v>
      </c>
      <c r="J63" s="20" t="n">
        <v>0.34716722</v>
      </c>
      <c r="K63" s="18" t="n">
        <v>2.06911036</v>
      </c>
      <c r="L63" s="20" t="n">
        <v>0.57053859</v>
      </c>
      <c r="M63" s="18" t="n">
        <v>0</v>
      </c>
      <c r="N63" s="20" t="n">
        <v>0</v>
      </c>
      <c r="O63" s="18" t="n">
        <v>0.49660839</v>
      </c>
      <c r="P63" s="20" t="n">
        <v>0.30124441</v>
      </c>
      <c r="Q63" s="18" t="n">
        <v>0.27570938</v>
      </c>
      <c r="R63" s="20" t="n">
        <v>0.217229</v>
      </c>
      <c r="S63" s="18" t="n">
        <v>0.5806218</v>
      </c>
      <c r="T63" s="20" t="n">
        <v>0.2902931</v>
      </c>
      <c r="U63" s="18" t="s">
        <v>349</v>
      </c>
      <c r="V63" s="20" t="s">
        <v>349</v>
      </c>
      <c r="W63" s="18" t="n">
        <v>3.09849387</v>
      </c>
      <c r="X63" s="20" t="n">
        <v>0.63094716</v>
      </c>
      <c r="Y63" s="18" t="n">
        <v>0</v>
      </c>
      <c r="Z63" s="20" t="n">
        <v>0</v>
      </c>
      <c r="AA63" s="18" t="n">
        <v>0</v>
      </c>
      <c r="AB63" s="20" t="n">
        <v>0</v>
      </c>
      <c r="AC63" s="18" t="n">
        <v>79.73415761</v>
      </c>
      <c r="AD63" s="20" t="n">
        <v>1.48367766</v>
      </c>
    </row>
    <row r="64" spans="1:30">
      <c r="A64" s="15" t="s">
        <v>406</v>
      </c>
      <c r="B64" s="17" t="n">
        <v>3634</v>
      </c>
      <c r="C64" s="18">
        <f>(3027.0/B64*100)</f>
        <v/>
      </c>
      <c r="D64" s="19" t="n">
        <v>607</v>
      </c>
      <c r="E64" s="18" t="n">
        <v>36.77195684</v>
      </c>
      <c r="F64" s="20" t="n">
        <v>1.90322322</v>
      </c>
      <c r="G64" s="18" t="n">
        <v>0</v>
      </c>
      <c r="H64" s="20" t="n">
        <v>0</v>
      </c>
      <c r="I64" s="18" t="n">
        <v>0.99541923</v>
      </c>
      <c r="J64" s="20" t="n">
        <v>0.40837133</v>
      </c>
      <c r="K64" s="18" t="n">
        <v>12.09769795</v>
      </c>
      <c r="L64" s="20" t="n">
        <v>1.22973869</v>
      </c>
      <c r="M64" s="18" t="n">
        <v>1.58103068</v>
      </c>
      <c r="N64" s="20" t="n">
        <v>0.48553927</v>
      </c>
      <c r="O64" s="18" t="n">
        <v>1.35386556</v>
      </c>
      <c r="P64" s="20" t="n">
        <v>0.44500954</v>
      </c>
      <c r="Q64" s="18" t="n">
        <v>9.010912859999999</v>
      </c>
      <c r="R64" s="20" t="n">
        <v>1.16908232</v>
      </c>
      <c r="S64" s="18" t="n">
        <v>0.95747213</v>
      </c>
      <c r="T64" s="20" t="n">
        <v>0.32451929</v>
      </c>
      <c r="U64" s="18" t="s">
        <v>349</v>
      </c>
      <c r="V64" s="20" t="s">
        <v>349</v>
      </c>
      <c r="W64" s="18" t="n">
        <v>1.08749936</v>
      </c>
      <c r="X64" s="20" t="n">
        <v>0.44441691</v>
      </c>
      <c r="Y64" s="18" t="n">
        <v>0</v>
      </c>
      <c r="Z64" s="20" t="n">
        <v>0</v>
      </c>
      <c r="AA64" s="18" t="n">
        <v>0</v>
      </c>
      <c r="AB64" s="20" t="n">
        <v>0</v>
      </c>
      <c r="AC64" s="18" t="n">
        <v>36.14414537</v>
      </c>
      <c r="AD64" s="20" t="n">
        <v>1.80050197</v>
      </c>
    </row>
    <row r="65" spans="1:30">
      <c r="A65" s="15" t="s">
        <v>407</v>
      </c>
      <c r="B65" s="17" t="n">
        <v>5325</v>
      </c>
      <c r="C65" s="18">
        <f>(4419.0/B65*100)</f>
        <v/>
      </c>
      <c r="D65" s="19" t="n">
        <v>906</v>
      </c>
      <c r="E65" s="18" t="n">
        <v>21.34286186</v>
      </c>
      <c r="F65" s="20" t="n">
        <v>1.55991907</v>
      </c>
      <c r="G65" s="18" t="n">
        <v>0</v>
      </c>
      <c r="H65" s="20" t="n">
        <v>0</v>
      </c>
      <c r="I65" s="18" t="n">
        <v>0.73351519</v>
      </c>
      <c r="J65" s="20" t="n">
        <v>0.29545665</v>
      </c>
      <c r="K65" s="18" t="n">
        <v>1.88540471</v>
      </c>
      <c r="L65" s="20" t="n">
        <v>0.48116209</v>
      </c>
      <c r="M65" s="18" t="n">
        <v>1.10860763</v>
      </c>
      <c r="N65" s="20" t="n">
        <v>0.40336345</v>
      </c>
      <c r="O65" s="18" t="n">
        <v>2.0899502</v>
      </c>
      <c r="P65" s="20" t="n">
        <v>0.59959255</v>
      </c>
      <c r="Q65" s="18" t="n">
        <v>0.42478103</v>
      </c>
      <c r="R65" s="20" t="n">
        <v>0.2564642</v>
      </c>
      <c r="S65" s="18" t="n">
        <v>1.60246087</v>
      </c>
      <c r="T65" s="20" t="n">
        <v>0.37656367</v>
      </c>
      <c r="U65" s="18" t="s">
        <v>349</v>
      </c>
      <c r="V65" s="20" t="s">
        <v>349</v>
      </c>
      <c r="W65" s="18" t="n">
        <v>6.63920721</v>
      </c>
      <c r="X65" s="20" t="n">
        <v>0.90096526</v>
      </c>
      <c r="Y65" s="18" t="n">
        <v>0</v>
      </c>
      <c r="Z65" s="20" t="n">
        <v>0</v>
      </c>
      <c r="AA65" s="18" t="n">
        <v>0</v>
      </c>
      <c r="AB65" s="20" t="n">
        <v>0</v>
      </c>
      <c r="AC65" s="18" t="n">
        <v>64.17321131</v>
      </c>
      <c r="AD65" s="20" t="n">
        <v>1.937893</v>
      </c>
    </row>
    <row r="66" spans="1:3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c r="AA66" s="18" t="s">
        <v>349</v>
      </c>
      <c r="AB66" s="20" t="s">
        <v>349</v>
      </c>
      <c r="AC66" s="18" t="s">
        <v>349</v>
      </c>
      <c r="AD66" s="20" t="s">
        <v>349</v>
      </c>
    </row>
    <row r="67" spans="1:30">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c r="AA67" s="18" t="s">
        <v>349</v>
      </c>
      <c r="AB67" s="20" t="s">
        <v>349</v>
      </c>
      <c r="AC67" s="18" t="s">
        <v>349</v>
      </c>
      <c r="AD67" s="20" t="s">
        <v>349</v>
      </c>
    </row>
    <row r="68" spans="1:3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c r="AA68" s="18" t="s">
        <v>349</v>
      </c>
      <c r="AB68" s="20" t="s">
        <v>349</v>
      </c>
      <c r="AC68" s="18" t="s">
        <v>349</v>
      </c>
      <c r="AD68" s="20" t="s">
        <v>349</v>
      </c>
    </row>
    <row r="69" spans="1:30">
      <c r="A69" s="15" t="s">
        <v>411</v>
      </c>
      <c r="B69" s="17" t="n">
        <v>4876</v>
      </c>
      <c r="C69" s="18">
        <f>(4075.0/B69*100)</f>
        <v/>
      </c>
      <c r="D69" s="19" t="n">
        <v>801</v>
      </c>
      <c r="E69" s="18" t="n">
        <v>86.65021632</v>
      </c>
      <c r="F69" s="20" t="n">
        <v>1.37517535</v>
      </c>
      <c r="G69" s="18" t="n">
        <v>0</v>
      </c>
      <c r="H69" s="20" t="n">
        <v>0</v>
      </c>
      <c r="I69" s="18" t="n">
        <v>3.7737323</v>
      </c>
      <c r="J69" s="20" t="n">
        <v>0.78445251</v>
      </c>
      <c r="K69" s="18" t="n">
        <v>2.08877923</v>
      </c>
      <c r="L69" s="20" t="n">
        <v>0.53606064</v>
      </c>
      <c r="M69" s="18" t="n">
        <v>1.7905882</v>
      </c>
      <c r="N69" s="20" t="n">
        <v>0.4741474</v>
      </c>
      <c r="O69" s="18" t="n">
        <v>2.9907705</v>
      </c>
      <c r="P69" s="20" t="n">
        <v>0.62433185</v>
      </c>
      <c r="Q69" s="18" t="n">
        <v>0.81827035</v>
      </c>
      <c r="R69" s="20" t="n">
        <v>0.26766665</v>
      </c>
      <c r="S69" s="18" t="n">
        <v>1.27599742</v>
      </c>
      <c r="T69" s="20" t="n">
        <v>0.34803034</v>
      </c>
      <c r="U69" s="18" t="s">
        <v>349</v>
      </c>
      <c r="V69" s="20" t="s">
        <v>349</v>
      </c>
      <c r="W69" s="18" t="n">
        <v>0</v>
      </c>
      <c r="X69" s="20" t="n">
        <v>0</v>
      </c>
      <c r="Y69" s="18" t="n">
        <v>0</v>
      </c>
      <c r="Z69" s="20" t="n">
        <v>0</v>
      </c>
      <c r="AA69" s="18" t="n">
        <v>0</v>
      </c>
      <c r="AB69" s="20" t="n">
        <v>0</v>
      </c>
      <c r="AC69" s="18" t="n">
        <v>0.61164569</v>
      </c>
      <c r="AD69" s="20" t="n">
        <v>0.32690095</v>
      </c>
    </row>
    <row r="70" spans="1:3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c r="AA70" s="18" t="s">
        <v>349</v>
      </c>
      <c r="AB70" s="20" t="s">
        <v>349</v>
      </c>
      <c r="AC70" s="18" t="s">
        <v>349</v>
      </c>
      <c r="AD70" s="20" t="s">
        <v>349</v>
      </c>
    </row>
    <row r="71" spans="1:3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c r="AA71" s="18" t="s">
        <v>349</v>
      </c>
      <c r="AB71" s="20" t="s">
        <v>349</v>
      </c>
      <c r="AC71" s="18" t="s">
        <v>349</v>
      </c>
      <c r="AD71" s="20" t="s">
        <v>349</v>
      </c>
    </row>
    <row r="72" spans="1:3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c r="AA72" s="18" t="s">
        <v>349</v>
      </c>
      <c r="AB72" s="20" t="s">
        <v>349</v>
      </c>
      <c r="AC72" s="18" t="s">
        <v>349</v>
      </c>
      <c r="AD72" s="20" t="s">
        <v>349</v>
      </c>
    </row>
    <row r="73" spans="1:3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c r="AA73" s="18" t="s">
        <v>349</v>
      </c>
      <c r="AB73" s="20" t="s">
        <v>349</v>
      </c>
      <c r="AC73" s="18" t="s">
        <v>349</v>
      </c>
      <c r="AD73" s="20" t="s">
        <v>349</v>
      </c>
    </row>
    <row r="74" spans="1:30">
      <c r="A74" s="15" t="s">
        <v>416</v>
      </c>
      <c r="B74" s="17" t="n">
        <v>4692</v>
      </c>
      <c r="C74" s="18">
        <f>(3895.0/B74*100)</f>
        <v/>
      </c>
      <c r="D74" s="19" t="n">
        <v>797</v>
      </c>
      <c r="E74" s="18" t="n">
        <v>32.18586591</v>
      </c>
      <c r="F74" s="20" t="n">
        <v>1.6835613</v>
      </c>
      <c r="G74" s="18" t="n">
        <v>0</v>
      </c>
      <c r="H74" s="20" t="n">
        <v>0</v>
      </c>
      <c r="I74" s="18" t="n">
        <v>0.58689041</v>
      </c>
      <c r="J74" s="20" t="n">
        <v>0.28525683</v>
      </c>
      <c r="K74" s="18" t="n">
        <v>3.89860706</v>
      </c>
      <c r="L74" s="20" t="n">
        <v>0.71007306</v>
      </c>
      <c r="M74" s="18" t="n">
        <v>0.17254115</v>
      </c>
      <c r="N74" s="20" t="n">
        <v>0.12300644</v>
      </c>
      <c r="O74" s="18" t="n">
        <v>2.0930189</v>
      </c>
      <c r="P74" s="20" t="n">
        <v>0.48387094</v>
      </c>
      <c r="Q74" s="18" t="n">
        <v>2.79197248</v>
      </c>
      <c r="R74" s="20" t="n">
        <v>0.62777418</v>
      </c>
      <c r="S74" s="18" t="n">
        <v>0</v>
      </c>
      <c r="T74" s="20" t="n">
        <v>0</v>
      </c>
      <c r="U74" s="18" t="s">
        <v>349</v>
      </c>
      <c r="V74" s="20" t="s">
        <v>349</v>
      </c>
      <c r="W74" s="18" t="n">
        <v>8.82412669</v>
      </c>
      <c r="X74" s="20" t="n">
        <v>1.13882866</v>
      </c>
      <c r="Y74" s="18" t="n">
        <v>0</v>
      </c>
      <c r="Z74" s="20" t="n">
        <v>0</v>
      </c>
      <c r="AA74" s="18" t="n">
        <v>0</v>
      </c>
      <c r="AB74" s="20" t="n">
        <v>0</v>
      </c>
      <c r="AC74" s="18" t="n">
        <v>49.44697739</v>
      </c>
      <c r="AD74" s="20" t="n">
        <v>1.88945396</v>
      </c>
    </row>
    <row r="75" spans="1:30">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c r="AA75" s="18" t="s">
        <v>349</v>
      </c>
      <c r="AB75" s="20" t="s">
        <v>349</v>
      </c>
      <c r="AC75" s="18" t="s">
        <v>349</v>
      </c>
      <c r="AD75" s="20" t="s">
        <v>349</v>
      </c>
    </row>
    <row r="76" spans="1:30">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c r="AA76" s="18" t="s">
        <v>349</v>
      </c>
      <c r="AB76" s="20" t="s">
        <v>349</v>
      </c>
      <c r="AC76" s="18" t="s">
        <v>349</v>
      </c>
      <c r="AD76" s="20" t="s">
        <v>349</v>
      </c>
    </row>
    <row r="77" spans="1:30">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c r="AA77" s="18" t="s">
        <v>349</v>
      </c>
      <c r="AB77" s="20" t="s">
        <v>349</v>
      </c>
      <c r="AC77" s="18" t="s">
        <v>349</v>
      </c>
      <c r="AD77" s="20" t="s">
        <v>349</v>
      </c>
    </row>
    <row r="78" spans="1:30">
      <c r="A78" s="15" t="s">
        <v>420</v>
      </c>
      <c r="B78" s="17" t="n">
        <v>5826</v>
      </c>
      <c r="C78" s="18">
        <f>(4868.0/B78*100)</f>
        <v/>
      </c>
      <c r="D78" s="19" t="n">
        <v>958</v>
      </c>
      <c r="E78" s="18" t="n">
        <v>79.21429899</v>
      </c>
      <c r="F78" s="20" t="n">
        <v>1.64851707</v>
      </c>
      <c r="G78" s="18" t="n">
        <v>0</v>
      </c>
      <c r="H78" s="20" t="n">
        <v>0</v>
      </c>
      <c r="I78" s="18" t="n">
        <v>1.99460403</v>
      </c>
      <c r="J78" s="20" t="n">
        <v>0.40005894</v>
      </c>
      <c r="K78" s="18" t="n">
        <v>1.41204873</v>
      </c>
      <c r="L78" s="20" t="n">
        <v>0.42782637</v>
      </c>
      <c r="M78" s="18" t="n">
        <v>2.31170487</v>
      </c>
      <c r="N78" s="20" t="n">
        <v>0.51905495</v>
      </c>
      <c r="O78" s="18" t="n">
        <v>6.91440517</v>
      </c>
      <c r="P78" s="20" t="n">
        <v>1.06879195</v>
      </c>
      <c r="Q78" s="18" t="n">
        <v>1.40984588</v>
      </c>
      <c r="R78" s="20" t="n">
        <v>0.38376566</v>
      </c>
      <c r="S78" s="18" t="n">
        <v>0.91451912</v>
      </c>
      <c r="T78" s="20" t="n">
        <v>0.33428833</v>
      </c>
      <c r="U78" s="18" t="s">
        <v>349</v>
      </c>
      <c r="V78" s="20" t="s">
        <v>349</v>
      </c>
      <c r="W78" s="18" t="n">
        <v>0</v>
      </c>
      <c r="X78" s="20" t="n">
        <v>0</v>
      </c>
      <c r="Y78" s="18" t="n">
        <v>0</v>
      </c>
      <c r="Z78" s="20" t="n">
        <v>0</v>
      </c>
      <c r="AA78" s="18" t="n">
        <v>0</v>
      </c>
      <c r="AB78" s="20" t="n">
        <v>0</v>
      </c>
      <c r="AC78" s="18" t="n">
        <v>5.82857322</v>
      </c>
      <c r="AD78" s="20" t="n">
        <v>0.8682214</v>
      </c>
    </row>
    <row customHeight="1" ht="25" r="79" spans="1:30">
      <c r="A79" s="15" t="s">
        <v>421</v>
      </c>
      <c r="B79" s="17" t="n">
        <v>1657</v>
      </c>
      <c r="C79" s="18">
        <f>(1377.0/B79*100)</f>
        <v/>
      </c>
      <c r="D79" s="19" t="n">
        <v>280</v>
      </c>
      <c r="E79" s="18" t="n">
        <v>28.05249096</v>
      </c>
      <c r="F79" s="20" t="n">
        <v>3.4814223</v>
      </c>
      <c r="G79" s="18" t="n">
        <v>0</v>
      </c>
      <c r="H79" s="20" t="n">
        <v>0</v>
      </c>
      <c r="I79" s="18" t="n">
        <v>1.11327493</v>
      </c>
      <c r="J79" s="20" t="n">
        <v>0.64080652</v>
      </c>
      <c r="K79" s="18" t="n">
        <v>6.99014309</v>
      </c>
      <c r="L79" s="20" t="n">
        <v>1.54757882</v>
      </c>
      <c r="M79" s="18" t="n">
        <v>1.07126955</v>
      </c>
      <c r="N79" s="20" t="n">
        <v>0.6321804600000001</v>
      </c>
      <c r="O79" s="18" t="n">
        <v>0.8055937399999999</v>
      </c>
      <c r="P79" s="20" t="n">
        <v>0.49494832</v>
      </c>
      <c r="Q79" s="18" t="n">
        <v>3.78833159</v>
      </c>
      <c r="R79" s="20" t="n">
        <v>1.19520288</v>
      </c>
      <c r="S79" s="18" t="n">
        <v>1.42689314</v>
      </c>
      <c r="T79" s="20" t="n">
        <v>0.8045863599999999</v>
      </c>
      <c r="U79" s="18" t="s">
        <v>349</v>
      </c>
      <c r="V79" s="20" t="s">
        <v>349</v>
      </c>
      <c r="W79" s="18" t="n">
        <v>5.10942858</v>
      </c>
      <c r="X79" s="20" t="n">
        <v>1.39600924</v>
      </c>
      <c r="Y79" s="18" t="n">
        <v>0</v>
      </c>
      <c r="Z79" s="20" t="n">
        <v>0</v>
      </c>
      <c r="AA79" s="18" t="n">
        <v>0</v>
      </c>
      <c r="AB79" s="20" t="n">
        <v>0</v>
      </c>
      <c r="AC79" s="18" t="n">
        <v>51.64257441</v>
      </c>
      <c r="AD79" s="20" t="n">
        <v>2.96599912</v>
      </c>
    </row>
    <row r="80" spans="1:3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c r="AA80" s="18" t="s">
        <v>349</v>
      </c>
      <c r="AB80" s="20" t="s">
        <v>349</v>
      </c>
      <c r="AC80" s="18" t="s">
        <v>349</v>
      </c>
      <c r="AD80" s="20" t="s">
        <v>349</v>
      </c>
    </row>
    <row r="81" spans="1:3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c r="AA81" s="18" t="s">
        <v>349</v>
      </c>
      <c r="AB81" s="20" t="s">
        <v>349</v>
      </c>
      <c r="AC81" s="18" t="s">
        <v>349</v>
      </c>
      <c r="AD81" s="20" t="s">
        <v>349</v>
      </c>
    </row>
    <row r="82" spans="1:3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c r="AA82" s="22" t="s">
        <v>424</v>
      </c>
      <c r="AB82" s="22" t="s">
        <v>424</v>
      </c>
      <c r="AC82" s="22" t="s">
        <v>424</v>
      </c>
      <c r="AD82" s="22" t="s">
        <v>424</v>
      </c>
    </row>
    <row r="83" spans="1:30">
      <c r="A83" s="3" t="s">
        <v>425</v>
      </c>
    </row>
    <row r="84" spans="1:30">
      <c r="A84" s="23" t="s">
        <v>426</v>
      </c>
    </row>
    <row r="85" spans="1:30">
      <c r="A85" s="23" t="s">
        <v>427</v>
      </c>
    </row>
    <row customHeight="1" ht="30" r="86" spans="1:30">
      <c r="A86" s="23" t="s">
        <v>428</v>
      </c>
    </row>
    <row customHeight="1" ht="30" r="87" spans="1:30">
      <c r="A87" s="23" t="s">
        <v>424</v>
      </c>
    </row>
    <row customHeight="1" ht="30" r="88" spans="1:30">
      <c r="A88" s="23" t="s">
        <v>429</v>
      </c>
    </row>
    <row customHeight="1" ht="30" r="89" spans="1:30">
      <c r="A89" s="23" t="s">
        <v>430</v>
      </c>
    </row>
    <row customHeight="1" ht="30" r="90" spans="1:30">
      <c r="A90" s="23" t="s">
        <v>431</v>
      </c>
    </row>
    <row customHeight="1" ht="30" r="91" spans="1:30">
      <c r="A91" s="23" t="s">
        <v>432</v>
      </c>
    </row>
    <row customHeight="1" ht="30" r="92" spans="1:30">
      <c r="A92" s="23" t="s">
        <v>433</v>
      </c>
    </row>
    <row customHeight="1" ht="30" r="93" spans="1:30">
      <c r="A93" s="23" t="s">
        <v>434</v>
      </c>
    </row>
    <row customHeight="1" ht="30" r="94" spans="1:30">
      <c r="A94" s="23" t="s">
        <v>435</v>
      </c>
    </row>
    <row customHeight="1" ht="30" r="95" spans="1:30">
      <c r="A95" s="23" t="s">
        <v>436</v>
      </c>
    </row>
    <row customHeight="1" ht="30" r="96" spans="1:30">
      <c r="A96" s="23" t="s">
        <v>437</v>
      </c>
    </row>
  </sheetData>
  <mergeCells count="28">
    <mergeCell ref="E4:F4"/>
    <mergeCell ref="G4:H4"/>
    <mergeCell ref="I4:J4"/>
    <mergeCell ref="K4:L4"/>
    <mergeCell ref="M4:N4"/>
    <mergeCell ref="O4:P4"/>
    <mergeCell ref="Q4:R4"/>
    <mergeCell ref="S4:T4"/>
    <mergeCell ref="U4:V4"/>
    <mergeCell ref="W4:X4"/>
    <mergeCell ref="Y4:Z4"/>
    <mergeCell ref="AA4:AB4"/>
    <mergeCell ref="AC4:AD4"/>
    <mergeCell ref="A1:AD1"/>
    <mergeCell ref="A2:AD2"/>
    <mergeCell ref="A84:AD84"/>
    <mergeCell ref="A85:AD85"/>
    <mergeCell ref="A86:AD86"/>
    <mergeCell ref="A87:AD87"/>
    <mergeCell ref="A88:AD88"/>
    <mergeCell ref="A89:AD89"/>
    <mergeCell ref="A90:AD90"/>
    <mergeCell ref="A91:AD91"/>
    <mergeCell ref="A92:AD92"/>
    <mergeCell ref="A93:AD93"/>
    <mergeCell ref="A94:AD94"/>
    <mergeCell ref="A95:AD95"/>
    <mergeCell ref="A96:AD96"/>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539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49.78202019</v>
      </c>
      <c r="F44" s="20" t="n">
        <v>1.77910921</v>
      </c>
      <c r="G44" s="18" t="n">
        <v>30.66878567</v>
      </c>
      <c r="H44" s="20" t="n">
        <v>1.66597769</v>
      </c>
      <c r="I44" s="18" t="s">
        <v>349</v>
      </c>
      <c r="J44" s="20" t="s">
        <v>349</v>
      </c>
      <c r="K44" s="18" t="n">
        <v>7.77909668</v>
      </c>
      <c r="L44" s="20" t="n">
        <v>1.22965077</v>
      </c>
      <c r="M44" s="18" t="n">
        <v>0</v>
      </c>
      <c r="N44" s="20" t="n">
        <v>0</v>
      </c>
      <c r="O44" s="18" t="n">
        <v>0</v>
      </c>
      <c r="P44" s="20" t="n">
        <v>0</v>
      </c>
      <c r="Q44" s="18" t="n">
        <v>11.77009745</v>
      </c>
      <c r="R44" s="20" t="n">
        <v>1.21767022</v>
      </c>
    </row>
    <row r="45" spans="1:18">
      <c r="A45" s="15" t="s">
        <v>387</v>
      </c>
      <c r="B45" s="17" t="n">
        <v>5519</v>
      </c>
      <c r="C45" s="18">
        <f>(4611.0/B45*100)</f>
        <v/>
      </c>
      <c r="D45" s="19" t="n">
        <v>908</v>
      </c>
      <c r="E45" s="18" t="n">
        <v>67.87046585</v>
      </c>
      <c r="F45" s="20" t="n">
        <v>1.69874263</v>
      </c>
      <c r="G45" s="18" t="n">
        <v>15.18951562</v>
      </c>
      <c r="H45" s="20" t="n">
        <v>1.22877549</v>
      </c>
      <c r="I45" s="18" t="s">
        <v>349</v>
      </c>
      <c r="J45" s="20" t="s">
        <v>349</v>
      </c>
      <c r="K45" s="18" t="n">
        <v>6.8385314</v>
      </c>
      <c r="L45" s="20" t="n">
        <v>0.84925482</v>
      </c>
      <c r="M45" s="18" t="n">
        <v>0.25846758</v>
      </c>
      <c r="N45" s="20" t="n">
        <v>0.17932599</v>
      </c>
      <c r="O45" s="18" t="n">
        <v>0</v>
      </c>
      <c r="P45" s="20" t="n">
        <v>0</v>
      </c>
      <c r="Q45" s="18" t="n">
        <v>9.84301956</v>
      </c>
      <c r="R45" s="20" t="n">
        <v>1.09086061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53.67405045</v>
      </c>
      <c r="F49" s="20" t="n">
        <v>1.93635208</v>
      </c>
      <c r="G49" s="18" t="n">
        <v>31.73337576</v>
      </c>
      <c r="H49" s="20" t="n">
        <v>2.00362198</v>
      </c>
      <c r="I49" s="18" t="s">
        <v>349</v>
      </c>
      <c r="J49" s="20" t="s">
        <v>349</v>
      </c>
      <c r="K49" s="18" t="n">
        <v>4.10945343</v>
      </c>
      <c r="L49" s="20" t="n">
        <v>0.71654428</v>
      </c>
      <c r="M49" s="18" t="n">
        <v>0</v>
      </c>
      <c r="N49" s="20" t="n">
        <v>0</v>
      </c>
      <c r="O49" s="18" t="n">
        <v>0.01358527</v>
      </c>
      <c r="P49" s="20" t="n">
        <v>0.01291658</v>
      </c>
      <c r="Q49" s="18" t="n">
        <v>10.4695351</v>
      </c>
      <c r="R49" s="20" t="n">
        <v>1.24601561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57.84991713</v>
      </c>
      <c r="F55" s="20" t="n">
        <v>1.73122663</v>
      </c>
      <c r="G55" s="18" t="n">
        <v>29.75919</v>
      </c>
      <c r="H55" s="20" t="n">
        <v>1.73181974</v>
      </c>
      <c r="I55" s="18" t="s">
        <v>349</v>
      </c>
      <c r="J55" s="20" t="s">
        <v>349</v>
      </c>
      <c r="K55" s="18" t="n">
        <v>2.69812488</v>
      </c>
      <c r="L55" s="20" t="n">
        <v>0.57414446</v>
      </c>
      <c r="M55" s="18" t="n">
        <v>0</v>
      </c>
      <c r="N55" s="20" t="n">
        <v>0</v>
      </c>
      <c r="O55" s="18" t="n">
        <v>0</v>
      </c>
      <c r="P55" s="20" t="n">
        <v>0</v>
      </c>
      <c r="Q55" s="18" t="n">
        <v>9.692767979999999</v>
      </c>
      <c r="R55" s="20" t="n">
        <v>1.01101375</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64.19047872</v>
      </c>
      <c r="F57" s="20" t="n">
        <v>1.54035348</v>
      </c>
      <c r="G57" s="18" t="n">
        <v>29.73516237</v>
      </c>
      <c r="H57" s="20" t="n">
        <v>1.38344236</v>
      </c>
      <c r="I57" s="18" t="s">
        <v>349</v>
      </c>
      <c r="J57" s="20" t="s">
        <v>349</v>
      </c>
      <c r="K57" s="18" t="n">
        <v>1.20487966</v>
      </c>
      <c r="L57" s="20" t="n">
        <v>0.36468405</v>
      </c>
      <c r="M57" s="18" t="n">
        <v>0</v>
      </c>
      <c r="N57" s="20" t="n">
        <v>0</v>
      </c>
      <c r="O57" s="18" t="n">
        <v>0</v>
      </c>
      <c r="P57" s="20" t="n">
        <v>0</v>
      </c>
      <c r="Q57" s="18" t="n">
        <v>4.86947925</v>
      </c>
      <c r="R57" s="20" t="n">
        <v>0.7451732</v>
      </c>
    </row>
    <row r="58" spans="1:18">
      <c r="A58" s="15" t="s">
        <v>400</v>
      </c>
      <c r="B58" s="17" t="n">
        <v>7267</v>
      </c>
      <c r="C58" s="18">
        <f>(6036.0/B58*100)</f>
        <v/>
      </c>
      <c r="D58" s="19" t="n">
        <v>1231</v>
      </c>
      <c r="E58" s="18" t="n">
        <v>68.82112708</v>
      </c>
      <c r="F58" s="20" t="n">
        <v>1.49305602</v>
      </c>
      <c r="G58" s="18" t="n">
        <v>22.59536557</v>
      </c>
      <c r="H58" s="20" t="n">
        <v>1.24308904</v>
      </c>
      <c r="I58" s="18" t="s">
        <v>349</v>
      </c>
      <c r="J58" s="20" t="s">
        <v>349</v>
      </c>
      <c r="K58" s="18" t="n">
        <v>2.19296531</v>
      </c>
      <c r="L58" s="20" t="n">
        <v>0.36896759</v>
      </c>
      <c r="M58" s="18" t="n">
        <v>0</v>
      </c>
      <c r="N58" s="20" t="n">
        <v>0</v>
      </c>
      <c r="O58" s="18" t="n">
        <v>0</v>
      </c>
      <c r="P58" s="20" t="n">
        <v>0</v>
      </c>
      <c r="Q58" s="18" t="n">
        <v>6.39054204</v>
      </c>
      <c r="R58" s="20" t="n">
        <v>0.80195162</v>
      </c>
    </row>
    <row r="59" spans="1:18">
      <c r="A59" s="15" t="s">
        <v>401</v>
      </c>
      <c r="B59" s="17" t="n">
        <v>4826</v>
      </c>
      <c r="C59" s="18">
        <f>(4028.0/B59*100)</f>
        <v/>
      </c>
      <c r="D59" s="19" t="n">
        <v>798</v>
      </c>
      <c r="E59" s="18" t="n">
        <v>68.00806385</v>
      </c>
      <c r="F59" s="20" t="n">
        <v>1.97230017</v>
      </c>
      <c r="G59" s="18" t="n">
        <v>25.01029309</v>
      </c>
      <c r="H59" s="20" t="n">
        <v>1.84235434</v>
      </c>
      <c r="I59" s="18" t="s">
        <v>349</v>
      </c>
      <c r="J59" s="20" t="s">
        <v>349</v>
      </c>
      <c r="K59" s="18" t="n">
        <v>1.38202053</v>
      </c>
      <c r="L59" s="20" t="n">
        <v>0.462169</v>
      </c>
      <c r="M59" s="18" t="n">
        <v>0</v>
      </c>
      <c r="N59" s="20" t="n">
        <v>0</v>
      </c>
      <c r="O59" s="18" t="n">
        <v>0</v>
      </c>
      <c r="P59" s="20" t="n">
        <v>0</v>
      </c>
      <c r="Q59" s="18" t="n">
        <v>5.59962252</v>
      </c>
      <c r="R59" s="20" t="n">
        <v>0.85332411</v>
      </c>
    </row>
    <row r="60" spans="1:18">
      <c r="A60" s="15" t="s">
        <v>402</v>
      </c>
      <c r="B60" s="17" t="n">
        <v>4546</v>
      </c>
      <c r="C60" s="18">
        <f>(3801.0/B60*100)</f>
        <v/>
      </c>
      <c r="D60" s="19" t="n">
        <v>745</v>
      </c>
      <c r="E60" s="18" t="n">
        <v>60.37402139</v>
      </c>
      <c r="F60" s="20" t="n">
        <v>1.84966064</v>
      </c>
      <c r="G60" s="18" t="n">
        <v>25.87103899</v>
      </c>
      <c r="H60" s="20" t="n">
        <v>1.68917991</v>
      </c>
      <c r="I60" s="18" t="s">
        <v>349</v>
      </c>
      <c r="J60" s="20" t="s">
        <v>349</v>
      </c>
      <c r="K60" s="18" t="n">
        <v>5.6727002</v>
      </c>
      <c r="L60" s="20" t="n">
        <v>1.04691486</v>
      </c>
      <c r="M60" s="18" t="n">
        <v>0</v>
      </c>
      <c r="N60" s="20" t="n">
        <v>0</v>
      </c>
      <c r="O60" s="18" t="n">
        <v>0</v>
      </c>
      <c r="P60" s="20" t="n">
        <v>0</v>
      </c>
      <c r="Q60" s="18" t="n">
        <v>8.082239420000001</v>
      </c>
      <c r="R60" s="20" t="n">
        <v>1.12612458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61.82345186</v>
      </c>
      <c r="F63" s="20" t="n">
        <v>1.50866535</v>
      </c>
      <c r="G63" s="18" t="n">
        <v>20.74911403</v>
      </c>
      <c r="H63" s="20" t="n">
        <v>1.4326359</v>
      </c>
      <c r="I63" s="18" t="s">
        <v>349</v>
      </c>
      <c r="J63" s="20" t="s">
        <v>349</v>
      </c>
      <c r="K63" s="18" t="n">
        <v>3.09849387</v>
      </c>
      <c r="L63" s="20" t="n">
        <v>0.63094716</v>
      </c>
      <c r="M63" s="18" t="n">
        <v>0</v>
      </c>
      <c r="N63" s="20" t="n">
        <v>0</v>
      </c>
      <c r="O63" s="18" t="n">
        <v>0</v>
      </c>
      <c r="P63" s="20" t="n">
        <v>0</v>
      </c>
      <c r="Q63" s="18" t="n">
        <v>14.32894023</v>
      </c>
      <c r="R63" s="20" t="n">
        <v>1.21080128</v>
      </c>
    </row>
    <row r="64" spans="1:18">
      <c r="A64" s="15" t="s">
        <v>406</v>
      </c>
      <c r="B64" s="17" t="n">
        <v>3634</v>
      </c>
      <c r="C64" s="18">
        <f>(3027.0/B64*100)</f>
        <v/>
      </c>
      <c r="D64" s="19" t="n">
        <v>607</v>
      </c>
      <c r="E64" s="18" t="n">
        <v>45.13244201</v>
      </c>
      <c r="F64" s="20" t="n">
        <v>1.9401734</v>
      </c>
      <c r="G64" s="18" t="n">
        <v>51.32185219</v>
      </c>
      <c r="H64" s="20" t="n">
        <v>1.9525284</v>
      </c>
      <c r="I64" s="18" t="s">
        <v>349</v>
      </c>
      <c r="J64" s="20" t="s">
        <v>349</v>
      </c>
      <c r="K64" s="18" t="n">
        <v>1.08749936</v>
      </c>
      <c r="L64" s="20" t="n">
        <v>0.44441691</v>
      </c>
      <c r="M64" s="18" t="n">
        <v>0</v>
      </c>
      <c r="N64" s="20" t="n">
        <v>0</v>
      </c>
      <c r="O64" s="18" t="n">
        <v>0</v>
      </c>
      <c r="P64" s="20" t="n">
        <v>0</v>
      </c>
      <c r="Q64" s="18" t="n">
        <v>2.45820644</v>
      </c>
      <c r="R64" s="20" t="n">
        <v>0.62530245</v>
      </c>
    </row>
    <row r="65" spans="1:18">
      <c r="A65" s="15" t="s">
        <v>407</v>
      </c>
      <c r="B65" s="17" t="n">
        <v>5325</v>
      </c>
      <c r="C65" s="18">
        <f>(4419.0/B65*100)</f>
        <v/>
      </c>
      <c r="D65" s="19" t="n">
        <v>906</v>
      </c>
      <c r="E65" s="18" t="n">
        <v>50.73320004</v>
      </c>
      <c r="F65" s="20" t="n">
        <v>1.83979607</v>
      </c>
      <c r="G65" s="18" t="n">
        <v>35.2807868</v>
      </c>
      <c r="H65" s="20" t="n">
        <v>1.93750786</v>
      </c>
      <c r="I65" s="18" t="s">
        <v>349</v>
      </c>
      <c r="J65" s="20" t="s">
        <v>349</v>
      </c>
      <c r="K65" s="18" t="n">
        <v>6.7720356</v>
      </c>
      <c r="L65" s="20" t="n">
        <v>0.92000547</v>
      </c>
      <c r="M65" s="18" t="n">
        <v>0</v>
      </c>
      <c r="N65" s="20" t="n">
        <v>0</v>
      </c>
      <c r="O65" s="18" t="n">
        <v>0</v>
      </c>
      <c r="P65" s="20" t="n">
        <v>0</v>
      </c>
      <c r="Q65" s="18" t="n">
        <v>7.21397755</v>
      </c>
      <c r="R65" s="20" t="n">
        <v>1.07345624</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66.92506548</v>
      </c>
      <c r="F69" s="20" t="n">
        <v>1.80690843</v>
      </c>
      <c r="G69" s="18" t="n">
        <v>31.58498255</v>
      </c>
      <c r="H69" s="20" t="n">
        <v>1.85358377</v>
      </c>
      <c r="I69" s="18" t="s">
        <v>349</v>
      </c>
      <c r="J69" s="20" t="s">
        <v>349</v>
      </c>
      <c r="K69" s="18" t="n">
        <v>0</v>
      </c>
      <c r="L69" s="20" t="n">
        <v>0</v>
      </c>
      <c r="M69" s="18" t="n">
        <v>0</v>
      </c>
      <c r="N69" s="20" t="n">
        <v>0</v>
      </c>
      <c r="O69" s="18" t="n">
        <v>0.21904152</v>
      </c>
      <c r="P69" s="20" t="n">
        <v>0.15653457</v>
      </c>
      <c r="Q69" s="18" t="n">
        <v>1.27091045</v>
      </c>
      <c r="R69" s="20" t="n">
        <v>0.38210385</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45.92951656</v>
      </c>
      <c r="F74" s="20" t="n">
        <v>1.84440686</v>
      </c>
      <c r="G74" s="18" t="n">
        <v>35.86366355</v>
      </c>
      <c r="H74" s="20" t="n">
        <v>1.90191367</v>
      </c>
      <c r="I74" s="18" t="s">
        <v>349</v>
      </c>
      <c r="J74" s="20" t="s">
        <v>349</v>
      </c>
      <c r="K74" s="18" t="n">
        <v>8.945989750000001</v>
      </c>
      <c r="L74" s="20" t="n">
        <v>1.13379753</v>
      </c>
      <c r="M74" s="18" t="n">
        <v>0</v>
      </c>
      <c r="N74" s="20" t="n">
        <v>0</v>
      </c>
      <c r="O74" s="18" t="n">
        <v>0</v>
      </c>
      <c r="P74" s="20" t="n">
        <v>0</v>
      </c>
      <c r="Q74" s="18" t="n">
        <v>9.260830139999999</v>
      </c>
      <c r="R74" s="20" t="n">
        <v>1.0068238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16.24775245</v>
      </c>
      <c r="F78" s="20" t="n">
        <v>1.34196788</v>
      </c>
      <c r="G78" s="18" t="n">
        <v>83.75224755000001</v>
      </c>
      <c r="H78" s="20" t="n">
        <v>1.34196788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(1377.0/B79*100)</f>
        <v/>
      </c>
      <c r="D79" s="19" t="n">
        <v>280</v>
      </c>
      <c r="E79" s="18" t="n">
        <v>45.45891646</v>
      </c>
      <c r="F79" s="20" t="n">
        <v>3.33757147</v>
      </c>
      <c r="G79" s="18" t="n">
        <v>42.56980532</v>
      </c>
      <c r="H79" s="20" t="n">
        <v>2.87519181</v>
      </c>
      <c r="I79" s="18" t="s">
        <v>349</v>
      </c>
      <c r="J79" s="20" t="s">
        <v>349</v>
      </c>
      <c r="K79" s="18" t="n">
        <v>5.10942858</v>
      </c>
      <c r="L79" s="20" t="n">
        <v>1.39600924</v>
      </c>
      <c r="M79" s="18" t="n">
        <v>0</v>
      </c>
      <c r="N79" s="20" t="n">
        <v>0</v>
      </c>
      <c r="O79" s="18" t="n">
        <v>0.16399246</v>
      </c>
      <c r="P79" s="20" t="n">
        <v>0.15887682</v>
      </c>
      <c r="Q79" s="18" t="n">
        <v>6.69785718</v>
      </c>
      <c r="R79" s="20" t="n">
        <v>2.14597363</v>
      </c>
    </row>
    <row r="80" spans="1:18">
      <c r="A80" s="15" t="s">
        <v>422</v>
      </c>
      <c r="B80" s="17" t="n">
        <v>7841</v>
      </c>
      <c r="C80" s="18">
        <f>(6548.0/B80*100)</f>
        <v/>
      </c>
      <c r="D80" s="19" t="n">
        <v>1293</v>
      </c>
      <c r="E80" s="18" t="n">
        <v>46.83942162</v>
      </c>
      <c r="F80" s="20" t="n">
        <v>2.10498308</v>
      </c>
      <c r="G80" s="18" t="n">
        <v>53.03710467</v>
      </c>
      <c r="H80" s="20" t="n">
        <v>2.12358811</v>
      </c>
      <c r="I80" s="18" t="s">
        <v>349</v>
      </c>
      <c r="J80" s="20" t="s">
        <v>349</v>
      </c>
      <c r="K80" s="18" t="n">
        <v>0</v>
      </c>
      <c r="L80" s="20" t="n">
        <v>0</v>
      </c>
      <c r="M80" s="18" t="n">
        <v>0</v>
      </c>
      <c r="N80" s="20" t="n">
        <v>0</v>
      </c>
      <c r="O80" s="18" t="n">
        <v>0</v>
      </c>
      <c r="P80" s="20" t="n">
        <v>0</v>
      </c>
      <c r="Q80" s="18" t="n">
        <v>0.1234737</v>
      </c>
      <c r="R80" s="20" t="n">
        <v>0.08392835</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39.84562608</v>
      </c>
      <c r="F44" s="20" t="n">
        <v>1.77010149</v>
      </c>
      <c r="G44" s="18" t="n">
        <v>24.3738372</v>
      </c>
      <c r="H44" s="20" t="n">
        <v>2.09635797</v>
      </c>
      <c r="I44" s="18" t="s">
        <v>349</v>
      </c>
      <c r="J44" s="20" t="s">
        <v>349</v>
      </c>
      <c r="K44" s="18" t="n">
        <v>10.6730392</v>
      </c>
      <c r="L44" s="20" t="n">
        <v>1.31211006</v>
      </c>
      <c r="M44" s="18" t="n">
        <v>0</v>
      </c>
      <c r="N44" s="20" t="n">
        <v>0</v>
      </c>
      <c r="O44" s="18" t="n">
        <v>0</v>
      </c>
      <c r="P44" s="20" t="n">
        <v>0</v>
      </c>
      <c r="Q44" s="18" t="n">
        <v>25.10749752</v>
      </c>
      <c r="R44" s="20" t="n">
        <v>1.69239595</v>
      </c>
    </row>
    <row r="45" spans="1:18">
      <c r="A45" s="15" t="s">
        <v>387</v>
      </c>
      <c r="B45" s="17" t="n">
        <v>5519</v>
      </c>
      <c r="C45" s="18">
        <f>(4611.0/B45*100)</f>
        <v/>
      </c>
      <c r="D45" s="19" t="n">
        <v>908</v>
      </c>
      <c r="E45" s="18" t="n">
        <v>64.43959291</v>
      </c>
      <c r="F45" s="20" t="n">
        <v>1.66140258</v>
      </c>
      <c r="G45" s="18" t="n">
        <v>5.6685647</v>
      </c>
      <c r="H45" s="20" t="n">
        <v>0.85904486</v>
      </c>
      <c r="I45" s="18" t="s">
        <v>349</v>
      </c>
      <c r="J45" s="20" t="s">
        <v>349</v>
      </c>
      <c r="K45" s="18" t="n">
        <v>8.65957803</v>
      </c>
      <c r="L45" s="20" t="n">
        <v>0.9517438499999999</v>
      </c>
      <c r="M45" s="18" t="n">
        <v>0</v>
      </c>
      <c r="N45" s="20" t="n">
        <v>0</v>
      </c>
      <c r="O45" s="18" t="n">
        <v>0.5172124</v>
      </c>
      <c r="P45" s="20" t="n">
        <v>0.21911573</v>
      </c>
      <c r="Q45" s="18" t="n">
        <v>20.71505196</v>
      </c>
      <c r="R45" s="20" t="n">
        <v>1.58300812</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63.21629509</v>
      </c>
      <c r="F49" s="20" t="n">
        <v>1.9990065</v>
      </c>
      <c r="G49" s="18" t="n">
        <v>13.05894832</v>
      </c>
      <c r="H49" s="20" t="n">
        <v>1.54739684</v>
      </c>
      <c r="I49" s="18" t="s">
        <v>349</v>
      </c>
      <c r="J49" s="20" t="s">
        <v>349</v>
      </c>
      <c r="K49" s="18" t="n">
        <v>4.89383392</v>
      </c>
      <c r="L49" s="20" t="n">
        <v>0.77273802</v>
      </c>
      <c r="M49" s="18" t="n">
        <v>0</v>
      </c>
      <c r="N49" s="20" t="n">
        <v>0</v>
      </c>
      <c r="O49" s="18" t="n">
        <v>0.15421012</v>
      </c>
      <c r="P49" s="20" t="n">
        <v>0.18733723</v>
      </c>
      <c r="Q49" s="18" t="n">
        <v>18.67671256</v>
      </c>
      <c r="R49" s="20" t="n">
        <v>2.01899827</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50.40302541</v>
      </c>
      <c r="F55" s="20" t="n">
        <v>1.72280318</v>
      </c>
      <c r="G55" s="18" t="n">
        <v>22.29205342</v>
      </c>
      <c r="H55" s="20" t="n">
        <v>1.40545646</v>
      </c>
      <c r="I55" s="18" t="s">
        <v>349</v>
      </c>
      <c r="J55" s="20" t="s">
        <v>349</v>
      </c>
      <c r="K55" s="18" t="n">
        <v>4.31000725</v>
      </c>
      <c r="L55" s="20" t="n">
        <v>0.77899578</v>
      </c>
      <c r="M55" s="18" t="n">
        <v>0</v>
      </c>
      <c r="N55" s="20" t="n">
        <v>0</v>
      </c>
      <c r="O55" s="18" t="n">
        <v>0</v>
      </c>
      <c r="P55" s="20" t="n">
        <v>0</v>
      </c>
      <c r="Q55" s="18" t="n">
        <v>22.99491391</v>
      </c>
      <c r="R55" s="20" t="n">
        <v>1.61532977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73.78143882000001</v>
      </c>
      <c r="F57" s="20" t="n">
        <v>1.54170228</v>
      </c>
      <c r="G57" s="18" t="n">
        <v>15.69039587</v>
      </c>
      <c r="H57" s="20" t="n">
        <v>1.2369428</v>
      </c>
      <c r="I57" s="18" t="s">
        <v>349</v>
      </c>
      <c r="J57" s="20" t="s">
        <v>349</v>
      </c>
      <c r="K57" s="18" t="n">
        <v>1.46447181</v>
      </c>
      <c r="L57" s="20" t="n">
        <v>0.36000789</v>
      </c>
      <c r="M57" s="18" t="n">
        <v>0</v>
      </c>
      <c r="N57" s="20" t="n">
        <v>0</v>
      </c>
      <c r="O57" s="18" t="n">
        <v>0.01205376</v>
      </c>
      <c r="P57" s="20" t="n">
        <v>0.01227579</v>
      </c>
      <c r="Q57" s="18" t="n">
        <v>9.05163973</v>
      </c>
      <c r="R57" s="20" t="n">
        <v>1.18823981</v>
      </c>
    </row>
    <row r="58" spans="1:18">
      <c r="A58" s="15" t="s">
        <v>400</v>
      </c>
      <c r="B58" s="17" t="n">
        <v>7267</v>
      </c>
      <c r="C58" s="18">
        <f>(6036.0/B58*100)</f>
        <v/>
      </c>
      <c r="D58" s="19" t="n">
        <v>1231</v>
      </c>
      <c r="E58" s="18" t="n">
        <v>76.03931211</v>
      </c>
      <c r="F58" s="20" t="n">
        <v>1.34851179</v>
      </c>
      <c r="G58" s="18" t="n">
        <v>11.71491609</v>
      </c>
      <c r="H58" s="20" t="n">
        <v>1.18434816</v>
      </c>
      <c r="I58" s="18" t="s">
        <v>349</v>
      </c>
      <c r="J58" s="20" t="s">
        <v>349</v>
      </c>
      <c r="K58" s="18" t="n">
        <v>3.84563587</v>
      </c>
      <c r="L58" s="20" t="n">
        <v>0.57012049</v>
      </c>
      <c r="M58" s="18" t="n">
        <v>0</v>
      </c>
      <c r="N58" s="20" t="n">
        <v>0</v>
      </c>
      <c r="O58" s="18" t="n">
        <v>0.01207666</v>
      </c>
      <c r="P58" s="20" t="n">
        <v>0.01208796</v>
      </c>
      <c r="Q58" s="18" t="n">
        <v>8.388059269999999</v>
      </c>
      <c r="R58" s="20" t="n">
        <v>0.89009472</v>
      </c>
    </row>
    <row r="59" spans="1:18">
      <c r="A59" s="15" t="s">
        <v>401</v>
      </c>
      <c r="B59" s="17" t="n">
        <v>4826</v>
      </c>
      <c r="C59" s="18">
        <f>(4028.0/B59*100)</f>
        <v/>
      </c>
      <c r="D59" s="19" t="n">
        <v>798</v>
      </c>
      <c r="E59" s="18" t="n">
        <v>72.22441001999999</v>
      </c>
      <c r="F59" s="20" t="n">
        <v>2.01156375</v>
      </c>
      <c r="G59" s="18" t="n">
        <v>8.0030161</v>
      </c>
      <c r="H59" s="20" t="n">
        <v>1.18617238</v>
      </c>
      <c r="I59" s="18" t="s">
        <v>349</v>
      </c>
      <c r="J59" s="20" t="s">
        <v>349</v>
      </c>
      <c r="K59" s="18" t="n">
        <v>1.69898455</v>
      </c>
      <c r="L59" s="20" t="n">
        <v>0.49123956</v>
      </c>
      <c r="M59" s="18" t="n">
        <v>0</v>
      </c>
      <c r="N59" s="20" t="n">
        <v>0</v>
      </c>
      <c r="O59" s="18" t="n">
        <v>0</v>
      </c>
      <c r="P59" s="20" t="n">
        <v>0</v>
      </c>
      <c r="Q59" s="18" t="n">
        <v>18.07358932</v>
      </c>
      <c r="R59" s="20" t="n">
        <v>1.47579485</v>
      </c>
    </row>
    <row r="60" spans="1:18">
      <c r="A60" s="15" t="s">
        <v>402</v>
      </c>
      <c r="B60" s="17" t="n">
        <v>4546</v>
      </c>
      <c r="C60" s="18">
        <f>(3801.0/B60*100)</f>
        <v/>
      </c>
      <c r="D60" s="19" t="n">
        <v>745</v>
      </c>
      <c r="E60" s="18" t="n">
        <v>51.1395876</v>
      </c>
      <c r="F60" s="20" t="n">
        <v>2.05513541</v>
      </c>
      <c r="G60" s="18" t="n">
        <v>24.00360442</v>
      </c>
      <c r="H60" s="20" t="n">
        <v>1.93349716</v>
      </c>
      <c r="I60" s="18" t="s">
        <v>349</v>
      </c>
      <c r="J60" s="20" t="s">
        <v>349</v>
      </c>
      <c r="K60" s="18" t="n">
        <v>7.58090457</v>
      </c>
      <c r="L60" s="20" t="n">
        <v>1.02625016</v>
      </c>
      <c r="M60" s="18" t="n">
        <v>0</v>
      </c>
      <c r="N60" s="20" t="n">
        <v>0</v>
      </c>
      <c r="O60" s="18" t="n">
        <v>0.46560748</v>
      </c>
      <c r="P60" s="20" t="n">
        <v>0.30162216</v>
      </c>
      <c r="Q60" s="18" t="n">
        <v>16.81029592</v>
      </c>
      <c r="R60" s="20" t="n">
        <v>1.81463759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42.15669386</v>
      </c>
      <c r="F63" s="20" t="n">
        <v>1.85250628</v>
      </c>
      <c r="G63" s="18" t="n">
        <v>14.68028767</v>
      </c>
      <c r="H63" s="20" t="n">
        <v>1.24509085</v>
      </c>
      <c r="I63" s="18" t="s">
        <v>349</v>
      </c>
      <c r="J63" s="20" t="s">
        <v>349</v>
      </c>
      <c r="K63" s="18" t="n">
        <v>5.18979155</v>
      </c>
      <c r="L63" s="20" t="n">
        <v>0.80877462</v>
      </c>
      <c r="M63" s="18" t="n">
        <v>0</v>
      </c>
      <c r="N63" s="20" t="n">
        <v>0</v>
      </c>
      <c r="O63" s="18" t="n">
        <v>0</v>
      </c>
      <c r="P63" s="20" t="n">
        <v>0</v>
      </c>
      <c r="Q63" s="18" t="n">
        <v>37.97322692</v>
      </c>
      <c r="R63" s="20" t="n">
        <v>1.77371789</v>
      </c>
    </row>
    <row r="64" spans="1:18">
      <c r="A64" s="15" t="s">
        <v>406</v>
      </c>
      <c r="B64" s="17" t="n">
        <v>3634</v>
      </c>
      <c r="C64" s="18">
        <f>(3027.0/B64*100)</f>
        <v/>
      </c>
      <c r="D64" s="19" t="n">
        <v>607</v>
      </c>
      <c r="E64" s="18" t="n">
        <v>40.90598291</v>
      </c>
      <c r="F64" s="20" t="n">
        <v>2.13010416</v>
      </c>
      <c r="G64" s="18" t="n">
        <v>50.01096637</v>
      </c>
      <c r="H64" s="20" t="n">
        <v>2.10365833</v>
      </c>
      <c r="I64" s="18" t="s">
        <v>349</v>
      </c>
      <c r="J64" s="20" t="s">
        <v>349</v>
      </c>
      <c r="K64" s="18" t="n">
        <v>2.1242552</v>
      </c>
      <c r="L64" s="20" t="n">
        <v>0.60686978</v>
      </c>
      <c r="M64" s="18" t="n">
        <v>0</v>
      </c>
      <c r="N64" s="20" t="n">
        <v>0</v>
      </c>
      <c r="O64" s="18" t="n">
        <v>0</v>
      </c>
      <c r="P64" s="20" t="n">
        <v>0</v>
      </c>
      <c r="Q64" s="18" t="n">
        <v>6.95879551</v>
      </c>
      <c r="R64" s="20" t="n">
        <v>1.08268868</v>
      </c>
    </row>
    <row r="65" spans="1:18">
      <c r="A65" s="15" t="s">
        <v>407</v>
      </c>
      <c r="B65" s="17" t="n">
        <v>5325</v>
      </c>
      <c r="C65" s="18">
        <f>(4419.0/B65*100)</f>
        <v/>
      </c>
      <c r="D65" s="19" t="n">
        <v>906</v>
      </c>
      <c r="E65" s="18" t="n">
        <v>53.20894896</v>
      </c>
      <c r="F65" s="20" t="n">
        <v>2.28618374</v>
      </c>
      <c r="G65" s="18" t="n">
        <v>19.27035111</v>
      </c>
      <c r="H65" s="20" t="n">
        <v>1.63897195</v>
      </c>
      <c r="I65" s="18" t="s">
        <v>349</v>
      </c>
      <c r="J65" s="20" t="s">
        <v>349</v>
      </c>
      <c r="K65" s="18" t="n">
        <v>10.11378709</v>
      </c>
      <c r="L65" s="20" t="n">
        <v>1.16654628</v>
      </c>
      <c r="M65" s="18" t="n">
        <v>0</v>
      </c>
      <c r="N65" s="20" t="n">
        <v>0</v>
      </c>
      <c r="O65" s="18" t="n">
        <v>0</v>
      </c>
      <c r="P65" s="20" t="n">
        <v>0</v>
      </c>
      <c r="Q65" s="18" t="n">
        <v>17.40691284</v>
      </c>
      <c r="R65" s="20" t="n">
        <v>1.5099333</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72.32798879000001</v>
      </c>
      <c r="F69" s="20" t="n">
        <v>1.84525652</v>
      </c>
      <c r="G69" s="18" t="n">
        <v>27.67201121</v>
      </c>
      <c r="H69" s="20" t="n">
        <v>1.84525652</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47.41488666</v>
      </c>
      <c r="F74" s="20" t="n">
        <v>1.83781139</v>
      </c>
      <c r="G74" s="18" t="n">
        <v>29.7050182</v>
      </c>
      <c r="H74" s="20" t="n">
        <v>1.85361246</v>
      </c>
      <c r="I74" s="18" t="s">
        <v>349</v>
      </c>
      <c r="J74" s="20" t="s">
        <v>349</v>
      </c>
      <c r="K74" s="18" t="n">
        <v>11.1065138</v>
      </c>
      <c r="L74" s="20" t="n">
        <v>1.13626566</v>
      </c>
      <c r="M74" s="18" t="n">
        <v>0</v>
      </c>
      <c r="N74" s="20" t="n">
        <v>0</v>
      </c>
      <c r="O74" s="18" t="n">
        <v>0</v>
      </c>
      <c r="P74" s="20" t="n">
        <v>0</v>
      </c>
      <c r="Q74" s="18" t="n">
        <v>11.77358134</v>
      </c>
      <c r="R74" s="20" t="n">
        <v>1.29070179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58.3281781</v>
      </c>
      <c r="F78" s="20" t="n">
        <v>2.25677131</v>
      </c>
      <c r="G78" s="18" t="n">
        <v>40.03971294</v>
      </c>
      <c r="H78" s="20" t="n">
        <v>2.26544576</v>
      </c>
      <c r="I78" s="18" t="s">
        <v>349</v>
      </c>
      <c r="J78" s="20" t="s">
        <v>349</v>
      </c>
      <c r="K78" s="18" t="n">
        <v>0</v>
      </c>
      <c r="L78" s="20" t="n">
        <v>0</v>
      </c>
      <c r="M78" s="18" t="n">
        <v>0</v>
      </c>
      <c r="N78" s="20" t="n">
        <v>0</v>
      </c>
      <c r="O78" s="18" t="n">
        <v>0</v>
      </c>
      <c r="P78" s="20" t="n">
        <v>0</v>
      </c>
      <c r="Q78" s="18" t="n">
        <v>1.63210896</v>
      </c>
      <c r="R78" s="20" t="n">
        <v>0.46494568</v>
      </c>
    </row>
    <row customHeight="1" ht="25" r="79" spans="1:18">
      <c r="A79" s="15" t="s">
        <v>421</v>
      </c>
      <c r="B79" s="17" t="n">
        <v>1657</v>
      </c>
      <c r="C79" s="18">
        <f>(1377.0/B79*100)</f>
        <v/>
      </c>
      <c r="D79" s="19" t="n">
        <v>280</v>
      </c>
      <c r="E79" s="18" t="n">
        <v>47.71412543</v>
      </c>
      <c r="F79" s="20" t="n">
        <v>3.1048088</v>
      </c>
      <c r="G79" s="18" t="n">
        <v>27.76726196</v>
      </c>
      <c r="H79" s="20" t="n">
        <v>2.84880227</v>
      </c>
      <c r="I79" s="18" t="s">
        <v>349</v>
      </c>
      <c r="J79" s="20" t="s">
        <v>349</v>
      </c>
      <c r="K79" s="18" t="n">
        <v>7.63659348</v>
      </c>
      <c r="L79" s="20" t="n">
        <v>1.74977641</v>
      </c>
      <c r="M79" s="18" t="n">
        <v>0</v>
      </c>
      <c r="N79" s="20" t="n">
        <v>0</v>
      </c>
      <c r="O79" s="18" t="n">
        <v>0</v>
      </c>
      <c r="P79" s="20" t="n">
        <v>0</v>
      </c>
      <c r="Q79" s="18" t="n">
        <v>16.88201912</v>
      </c>
      <c r="R79" s="20" t="n">
        <v>2.53618438</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52.0905246</v>
      </c>
      <c r="F44" s="20" t="n">
        <v>1.95439873</v>
      </c>
      <c r="G44" s="18" t="n">
        <v>19.68602578</v>
      </c>
      <c r="H44" s="20" t="n">
        <v>1.60710507</v>
      </c>
      <c r="I44" s="18" t="s">
        <v>349</v>
      </c>
      <c r="J44" s="20" t="s">
        <v>349</v>
      </c>
      <c r="K44" s="18" t="n">
        <v>11.27965418</v>
      </c>
      <c r="L44" s="20" t="n">
        <v>1.3120331</v>
      </c>
      <c r="M44" s="18" t="n">
        <v>0</v>
      </c>
      <c r="N44" s="20" t="n">
        <v>0</v>
      </c>
      <c r="O44" s="18" t="n">
        <v>0.46592954</v>
      </c>
      <c r="P44" s="20" t="n">
        <v>0.19737752</v>
      </c>
      <c r="Q44" s="18" t="n">
        <v>16.4778659</v>
      </c>
      <c r="R44" s="20" t="n">
        <v>1.57898187</v>
      </c>
    </row>
    <row r="45" spans="1:18">
      <c r="A45" s="15" t="s">
        <v>387</v>
      </c>
      <c r="B45" s="17" t="n">
        <v>5519</v>
      </c>
      <c r="C45" s="18">
        <f>(4611.0/B45*100)</f>
        <v/>
      </c>
      <c r="D45" s="19" t="n">
        <v>908</v>
      </c>
      <c r="E45" s="18" t="n">
        <v>54.36835964</v>
      </c>
      <c r="F45" s="20" t="n">
        <v>1.83559685</v>
      </c>
      <c r="G45" s="18" t="n">
        <v>18.26385365</v>
      </c>
      <c r="H45" s="20" t="n">
        <v>1.26022343</v>
      </c>
      <c r="I45" s="18" t="s">
        <v>349</v>
      </c>
      <c r="J45" s="20" t="s">
        <v>349</v>
      </c>
      <c r="K45" s="18" t="n">
        <v>8.788170729999999</v>
      </c>
      <c r="L45" s="20" t="n">
        <v>0.94995604</v>
      </c>
      <c r="M45" s="18" t="n">
        <v>0.11300177</v>
      </c>
      <c r="N45" s="20" t="n">
        <v>0.11165666</v>
      </c>
      <c r="O45" s="18" t="n">
        <v>2.09908924</v>
      </c>
      <c r="P45" s="20" t="n">
        <v>0.6718499999999999</v>
      </c>
      <c r="Q45" s="18" t="n">
        <v>16.36752497</v>
      </c>
      <c r="R45" s="20" t="n">
        <v>1.52661807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52.50059285</v>
      </c>
      <c r="F49" s="20" t="n">
        <v>1.76344622</v>
      </c>
      <c r="G49" s="18" t="n">
        <v>30.73413479</v>
      </c>
      <c r="H49" s="20" t="n">
        <v>1.3913457</v>
      </c>
      <c r="I49" s="18" t="s">
        <v>349</v>
      </c>
      <c r="J49" s="20" t="s">
        <v>349</v>
      </c>
      <c r="K49" s="18" t="n">
        <v>5.59403191</v>
      </c>
      <c r="L49" s="20" t="n">
        <v>0.86785569</v>
      </c>
      <c r="M49" s="18" t="n">
        <v>0</v>
      </c>
      <c r="N49" s="20" t="n">
        <v>0</v>
      </c>
      <c r="O49" s="18" t="n">
        <v>0.7525298499999999</v>
      </c>
      <c r="P49" s="20" t="n">
        <v>0.30180136</v>
      </c>
      <c r="Q49" s="18" t="n">
        <v>10.41871061</v>
      </c>
      <c r="R49" s="20" t="n">
        <v>1.19733733</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54.88154846</v>
      </c>
      <c r="F55" s="20" t="n">
        <v>1.82586047</v>
      </c>
      <c r="G55" s="18" t="n">
        <v>31.32276721</v>
      </c>
      <c r="H55" s="20" t="n">
        <v>1.77155195</v>
      </c>
      <c r="I55" s="18" t="s">
        <v>349</v>
      </c>
      <c r="J55" s="20" t="s">
        <v>349</v>
      </c>
      <c r="K55" s="18" t="n">
        <v>4.86776132</v>
      </c>
      <c r="L55" s="20" t="n">
        <v>0.83381894</v>
      </c>
      <c r="M55" s="18" t="n">
        <v>0</v>
      </c>
      <c r="N55" s="20" t="n">
        <v>0</v>
      </c>
      <c r="O55" s="18" t="n">
        <v>0.51225258</v>
      </c>
      <c r="P55" s="20" t="n">
        <v>0.22390247</v>
      </c>
      <c r="Q55" s="18" t="n">
        <v>8.41567042</v>
      </c>
      <c r="R55" s="20" t="n">
        <v>1.05220025</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49.90075389</v>
      </c>
      <c r="F57" s="20" t="n">
        <v>2.03655307</v>
      </c>
      <c r="G57" s="18" t="n">
        <v>40.61229681</v>
      </c>
      <c r="H57" s="20" t="n">
        <v>1.97376712</v>
      </c>
      <c r="I57" s="18" t="s">
        <v>349</v>
      </c>
      <c r="J57" s="20" t="s">
        <v>349</v>
      </c>
      <c r="K57" s="18" t="n">
        <v>1.51927617</v>
      </c>
      <c r="L57" s="20" t="n">
        <v>0.36007028</v>
      </c>
      <c r="M57" s="18" t="n">
        <v>0</v>
      </c>
      <c r="N57" s="20" t="n">
        <v>0</v>
      </c>
      <c r="O57" s="18" t="n">
        <v>0.11010763</v>
      </c>
      <c r="P57" s="20" t="n">
        <v>0.10999822</v>
      </c>
      <c r="Q57" s="18" t="n">
        <v>7.8575655</v>
      </c>
      <c r="R57" s="20" t="n">
        <v>0.83114214</v>
      </c>
    </row>
    <row r="58" spans="1:18">
      <c r="A58" s="15" t="s">
        <v>400</v>
      </c>
      <c r="B58" s="17" t="n">
        <v>7267</v>
      </c>
      <c r="C58" s="18">
        <f>(6036.0/B58*100)</f>
        <v/>
      </c>
      <c r="D58" s="19" t="n">
        <v>1231</v>
      </c>
      <c r="E58" s="18" t="n">
        <v>57.69726546</v>
      </c>
      <c r="F58" s="20" t="n">
        <v>1.62513324</v>
      </c>
      <c r="G58" s="18" t="n">
        <v>29.78883252</v>
      </c>
      <c r="H58" s="20" t="n">
        <v>1.43350561</v>
      </c>
      <c r="I58" s="18" t="s">
        <v>349</v>
      </c>
      <c r="J58" s="20" t="s">
        <v>349</v>
      </c>
      <c r="K58" s="18" t="n">
        <v>4.63409134</v>
      </c>
      <c r="L58" s="20" t="n">
        <v>0.63856985</v>
      </c>
      <c r="M58" s="18" t="n">
        <v>0</v>
      </c>
      <c r="N58" s="20" t="n">
        <v>0</v>
      </c>
      <c r="O58" s="18" t="n">
        <v>1.14939766</v>
      </c>
      <c r="P58" s="20" t="n">
        <v>0.37249355</v>
      </c>
      <c r="Q58" s="18" t="n">
        <v>6.73041302</v>
      </c>
      <c r="R58" s="20" t="n">
        <v>0.78091992</v>
      </c>
    </row>
    <row r="59" spans="1:18">
      <c r="A59" s="15" t="s">
        <v>401</v>
      </c>
      <c r="B59" s="17" t="n">
        <v>4826</v>
      </c>
      <c r="C59" s="18">
        <f>(4028.0/B59*100)</f>
        <v/>
      </c>
      <c r="D59" s="19" t="n">
        <v>798</v>
      </c>
      <c r="E59" s="18" t="n">
        <v>71.30340781</v>
      </c>
      <c r="F59" s="20" t="n">
        <v>1.66143687</v>
      </c>
      <c r="G59" s="18" t="n">
        <v>18.68669893</v>
      </c>
      <c r="H59" s="20" t="n">
        <v>1.54221109</v>
      </c>
      <c r="I59" s="18" t="s">
        <v>349</v>
      </c>
      <c r="J59" s="20" t="s">
        <v>349</v>
      </c>
      <c r="K59" s="18" t="n">
        <v>2.13764795</v>
      </c>
      <c r="L59" s="20" t="n">
        <v>0.56808156</v>
      </c>
      <c r="M59" s="18" t="n">
        <v>0.25575355</v>
      </c>
      <c r="N59" s="20" t="n">
        <v>0.1331073</v>
      </c>
      <c r="O59" s="18" t="n">
        <v>1.60571392</v>
      </c>
      <c r="P59" s="20" t="n">
        <v>0.51223056</v>
      </c>
      <c r="Q59" s="18" t="n">
        <v>6.01077783</v>
      </c>
      <c r="R59" s="20" t="n">
        <v>0.83947524</v>
      </c>
    </row>
    <row r="60" spans="1:18">
      <c r="A60" s="15" t="s">
        <v>402</v>
      </c>
      <c r="B60" s="17" t="n">
        <v>4546</v>
      </c>
      <c r="C60" s="18">
        <f>(3801.0/B60*100)</f>
        <v/>
      </c>
      <c r="D60" s="19" t="n">
        <v>745</v>
      </c>
      <c r="E60" s="18" t="n">
        <v>55.54461609</v>
      </c>
      <c r="F60" s="20" t="n">
        <v>2.19059362</v>
      </c>
      <c r="G60" s="18" t="n">
        <v>15.84451701</v>
      </c>
      <c r="H60" s="20" t="n">
        <v>1.55886064</v>
      </c>
      <c r="I60" s="18" t="s">
        <v>349</v>
      </c>
      <c r="J60" s="20" t="s">
        <v>349</v>
      </c>
      <c r="K60" s="18" t="n">
        <v>9.227165129999999</v>
      </c>
      <c r="L60" s="20" t="n">
        <v>1.16439582</v>
      </c>
      <c r="M60" s="18" t="n">
        <v>0</v>
      </c>
      <c r="N60" s="20" t="n">
        <v>0</v>
      </c>
      <c r="O60" s="18" t="n">
        <v>3.21362078</v>
      </c>
      <c r="P60" s="20" t="n">
        <v>0.67920073</v>
      </c>
      <c r="Q60" s="18" t="n">
        <v>16.170081</v>
      </c>
      <c r="R60" s="20" t="n">
        <v>1.51504815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58.07756604</v>
      </c>
      <c r="F63" s="20" t="n">
        <v>1.96625458</v>
      </c>
      <c r="G63" s="18" t="n">
        <v>22.77934557</v>
      </c>
      <c r="H63" s="20" t="n">
        <v>1.53488271</v>
      </c>
      <c r="I63" s="18" t="s">
        <v>349</v>
      </c>
      <c r="J63" s="20" t="s">
        <v>349</v>
      </c>
      <c r="K63" s="18" t="n">
        <v>5.38862883</v>
      </c>
      <c r="L63" s="20" t="n">
        <v>0.84305593</v>
      </c>
      <c r="M63" s="18" t="n">
        <v>0</v>
      </c>
      <c r="N63" s="20" t="n">
        <v>0</v>
      </c>
      <c r="O63" s="18" t="n">
        <v>0.42791818</v>
      </c>
      <c r="P63" s="20" t="n">
        <v>0.27579144</v>
      </c>
      <c r="Q63" s="18" t="n">
        <v>13.32654138</v>
      </c>
      <c r="R63" s="20" t="n">
        <v>1.31794982</v>
      </c>
    </row>
    <row r="64" spans="1:18">
      <c r="A64" s="15" t="s">
        <v>406</v>
      </c>
      <c r="B64" s="17" t="n">
        <v>3634</v>
      </c>
      <c r="C64" s="18">
        <f>(3027.0/B64*100)</f>
        <v/>
      </c>
      <c r="D64" s="19" t="n">
        <v>607</v>
      </c>
      <c r="E64" s="18" t="n">
        <v>46.96882789</v>
      </c>
      <c r="F64" s="20" t="n">
        <v>1.96945186</v>
      </c>
      <c r="G64" s="18" t="n">
        <v>42.23500327</v>
      </c>
      <c r="H64" s="20" t="n">
        <v>1.95339754</v>
      </c>
      <c r="I64" s="18" t="s">
        <v>349</v>
      </c>
      <c r="J64" s="20" t="s">
        <v>349</v>
      </c>
      <c r="K64" s="18" t="n">
        <v>2.30140212</v>
      </c>
      <c r="L64" s="20" t="n">
        <v>0.62947605</v>
      </c>
      <c r="M64" s="18" t="n">
        <v>0</v>
      </c>
      <c r="N64" s="20" t="n">
        <v>0</v>
      </c>
      <c r="O64" s="18" t="n">
        <v>1.33233733</v>
      </c>
      <c r="P64" s="20" t="n">
        <v>0.47463658</v>
      </c>
      <c r="Q64" s="18" t="n">
        <v>7.16242939</v>
      </c>
      <c r="R64" s="20" t="n">
        <v>1.01046619</v>
      </c>
    </row>
    <row r="65" spans="1:18">
      <c r="A65" s="15" t="s">
        <v>407</v>
      </c>
      <c r="B65" s="17" t="n">
        <v>5325</v>
      </c>
      <c r="C65" s="18">
        <f>(4419.0/B65*100)</f>
        <v/>
      </c>
      <c r="D65" s="19" t="n">
        <v>906</v>
      </c>
      <c r="E65" s="18" t="n">
        <v>53.00203891</v>
      </c>
      <c r="F65" s="20" t="n">
        <v>1.95272364</v>
      </c>
      <c r="G65" s="18" t="n">
        <v>22.95204974</v>
      </c>
      <c r="H65" s="20" t="n">
        <v>1.67147167</v>
      </c>
      <c r="I65" s="18" t="s">
        <v>349</v>
      </c>
      <c r="J65" s="20" t="s">
        <v>349</v>
      </c>
      <c r="K65" s="18" t="n">
        <v>11.33923025</v>
      </c>
      <c r="L65" s="20" t="n">
        <v>1.20736022</v>
      </c>
      <c r="M65" s="18" t="n">
        <v>1.73025117</v>
      </c>
      <c r="N65" s="20" t="n">
        <v>0.43603573</v>
      </c>
      <c r="O65" s="18" t="n">
        <v>0</v>
      </c>
      <c r="P65" s="20" t="n">
        <v>0</v>
      </c>
      <c r="Q65" s="18" t="n">
        <v>10.97642993</v>
      </c>
      <c r="R65" s="20" t="n">
        <v>1.25912179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68.89537850000001</v>
      </c>
      <c r="F69" s="20" t="n">
        <v>1.63345333</v>
      </c>
      <c r="G69" s="18" t="n">
        <v>29.13186903</v>
      </c>
      <c r="H69" s="20" t="n">
        <v>1.62956169</v>
      </c>
      <c r="I69" s="18" t="s">
        <v>349</v>
      </c>
      <c r="J69" s="20" t="s">
        <v>349</v>
      </c>
      <c r="K69" s="18" t="n">
        <v>0</v>
      </c>
      <c r="L69" s="20" t="n">
        <v>0</v>
      </c>
      <c r="M69" s="18" t="n">
        <v>0</v>
      </c>
      <c r="N69" s="20" t="n">
        <v>0</v>
      </c>
      <c r="O69" s="18" t="n">
        <v>0.21741745</v>
      </c>
      <c r="P69" s="20" t="n">
        <v>0.15481639</v>
      </c>
      <c r="Q69" s="18" t="n">
        <v>1.75533502</v>
      </c>
      <c r="R69" s="20" t="n">
        <v>0.48498804</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52.63226375</v>
      </c>
      <c r="F74" s="20" t="n">
        <v>1.73909351</v>
      </c>
      <c r="G74" s="18" t="n">
        <v>23.94275615</v>
      </c>
      <c r="H74" s="20" t="n">
        <v>1.3966408</v>
      </c>
      <c r="I74" s="18" t="s">
        <v>349</v>
      </c>
      <c r="J74" s="20" t="s">
        <v>349</v>
      </c>
      <c r="K74" s="18" t="n">
        <v>11.22379084</v>
      </c>
      <c r="L74" s="20" t="n">
        <v>1.1433347</v>
      </c>
      <c r="M74" s="18" t="n">
        <v>0</v>
      </c>
      <c r="N74" s="20" t="n">
        <v>0</v>
      </c>
      <c r="O74" s="18" t="n">
        <v>0.18445148</v>
      </c>
      <c r="P74" s="20" t="n">
        <v>0.13661046</v>
      </c>
      <c r="Q74" s="18" t="n">
        <v>12.01673779</v>
      </c>
      <c r="R74" s="20" t="n">
        <v>1.34088778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13.77161963</v>
      </c>
      <c r="F78" s="20" t="n">
        <v>1.30435961</v>
      </c>
      <c r="G78" s="18" t="n">
        <v>86.22838037</v>
      </c>
      <c r="H78" s="20" t="n">
        <v>1.30435961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(1377.0/B79*100)</f>
        <v/>
      </c>
      <c r="D79" s="19" t="n">
        <v>280</v>
      </c>
      <c r="E79" s="18" t="n">
        <v>46.44134371</v>
      </c>
      <c r="F79" s="20" t="n">
        <v>2.99858058</v>
      </c>
      <c r="G79" s="18" t="n">
        <v>33.66382288</v>
      </c>
      <c r="H79" s="20" t="n">
        <v>2.87151867</v>
      </c>
      <c r="I79" s="18" t="s">
        <v>349</v>
      </c>
      <c r="J79" s="20" t="s">
        <v>349</v>
      </c>
      <c r="K79" s="18" t="n">
        <v>8.57872495</v>
      </c>
      <c r="L79" s="20" t="n">
        <v>1.83275436</v>
      </c>
      <c r="M79" s="18" t="n">
        <v>0</v>
      </c>
      <c r="N79" s="20" t="n">
        <v>0</v>
      </c>
      <c r="O79" s="18" t="n">
        <v>0.38495263</v>
      </c>
      <c r="P79" s="20" t="n">
        <v>0.38026825</v>
      </c>
      <c r="Q79" s="18" t="n">
        <v>10.93115582</v>
      </c>
      <c r="R79" s="20" t="n">
        <v>1.91883415</v>
      </c>
    </row>
    <row r="80" spans="1:18">
      <c r="A80" s="15" t="s">
        <v>422</v>
      </c>
      <c r="B80" s="17" t="n">
        <v>7841</v>
      </c>
      <c r="C80" s="18">
        <f>(6548.0/B80*100)</f>
        <v/>
      </c>
      <c r="D80" s="19" t="n">
        <v>1293</v>
      </c>
      <c r="E80" s="18" t="n">
        <v>68.6116078</v>
      </c>
      <c r="F80" s="20" t="n">
        <v>2.21936459</v>
      </c>
      <c r="G80" s="18" t="n">
        <v>30.45924189</v>
      </c>
      <c r="H80" s="20" t="n">
        <v>2.18037755</v>
      </c>
      <c r="I80" s="18" t="s">
        <v>349</v>
      </c>
      <c r="J80" s="20" t="s">
        <v>349</v>
      </c>
      <c r="K80" s="18" t="n">
        <v>0</v>
      </c>
      <c r="L80" s="20" t="n">
        <v>0</v>
      </c>
      <c r="M80" s="18" t="n">
        <v>0</v>
      </c>
      <c r="N80" s="20" t="n">
        <v>0</v>
      </c>
      <c r="O80" s="18" t="n">
        <v>0</v>
      </c>
      <c r="P80" s="20" t="n">
        <v>0</v>
      </c>
      <c r="Q80" s="18" t="n">
        <v>0.92915032</v>
      </c>
      <c r="R80" s="20" t="n">
        <v>0.34179396</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60.92998141</v>
      </c>
      <c r="F44" s="20" t="n">
        <v>2.02943709</v>
      </c>
      <c r="G44" s="18" t="n">
        <v>7.10441083</v>
      </c>
      <c r="H44" s="20" t="n">
        <v>1.30912884</v>
      </c>
      <c r="I44" s="18" t="s">
        <v>349</v>
      </c>
      <c r="J44" s="20" t="s">
        <v>349</v>
      </c>
      <c r="K44" s="18" t="n">
        <v>16.50531781</v>
      </c>
      <c r="L44" s="20" t="n">
        <v>1.50288167</v>
      </c>
      <c r="M44" s="18" t="n">
        <v>0</v>
      </c>
      <c r="N44" s="20" t="n">
        <v>0</v>
      </c>
      <c r="O44" s="18" t="n">
        <v>1.19108542</v>
      </c>
      <c r="P44" s="20" t="n">
        <v>0.42465772</v>
      </c>
      <c r="Q44" s="18" t="n">
        <v>14.26920453</v>
      </c>
      <c r="R44" s="20" t="n">
        <v>1.32368562</v>
      </c>
    </row>
    <row r="45" spans="1:18">
      <c r="A45" s="15" t="s">
        <v>387</v>
      </c>
      <c r="B45" s="17" t="n">
        <v>5519</v>
      </c>
      <c r="C45" s="18">
        <f>(4611.0/B45*100)</f>
        <v/>
      </c>
      <c r="D45" s="19" t="n">
        <v>908</v>
      </c>
      <c r="E45" s="18" t="n">
        <v>72.75318325000001</v>
      </c>
      <c r="F45" s="20" t="n">
        <v>1.65314936</v>
      </c>
      <c r="G45" s="18" t="n">
        <v>1.54696633</v>
      </c>
      <c r="H45" s="20" t="n">
        <v>0.37544891</v>
      </c>
      <c r="I45" s="18" t="s">
        <v>349</v>
      </c>
      <c r="J45" s="20" t="s">
        <v>349</v>
      </c>
      <c r="K45" s="18" t="n">
        <v>12.34547602</v>
      </c>
      <c r="L45" s="20" t="n">
        <v>1.0998407</v>
      </c>
      <c r="M45" s="18" t="n">
        <v>0.83175595</v>
      </c>
      <c r="N45" s="20" t="n">
        <v>0.50549035</v>
      </c>
      <c r="O45" s="18" t="n">
        <v>2.65650527</v>
      </c>
      <c r="P45" s="20" t="n">
        <v>0.58809869</v>
      </c>
      <c r="Q45" s="18" t="n">
        <v>9.866113179999999</v>
      </c>
      <c r="R45" s="20" t="n">
        <v>1.06058687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71.67226989</v>
      </c>
      <c r="F49" s="20" t="n">
        <v>1.55078572</v>
      </c>
      <c r="G49" s="18" t="n">
        <v>5.44635733</v>
      </c>
      <c r="H49" s="20" t="n">
        <v>0.81221058</v>
      </c>
      <c r="I49" s="18" t="s">
        <v>349</v>
      </c>
      <c r="J49" s="20" t="s">
        <v>349</v>
      </c>
      <c r="K49" s="18" t="n">
        <v>8.870696349999999</v>
      </c>
      <c r="L49" s="20" t="n">
        <v>1.00399508</v>
      </c>
      <c r="M49" s="18" t="n">
        <v>0</v>
      </c>
      <c r="N49" s="20" t="n">
        <v>0</v>
      </c>
      <c r="O49" s="18" t="n">
        <v>2.58096929</v>
      </c>
      <c r="P49" s="20" t="n">
        <v>0.57859519</v>
      </c>
      <c r="Q49" s="18" t="n">
        <v>11.42970714</v>
      </c>
      <c r="R49" s="20" t="n">
        <v>1.25355189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69.42209056999999</v>
      </c>
      <c r="F55" s="20" t="n">
        <v>1.51496759</v>
      </c>
      <c r="G55" s="18" t="n">
        <v>5.19238182</v>
      </c>
      <c r="H55" s="20" t="n">
        <v>0.74040672</v>
      </c>
      <c r="I55" s="18" t="s">
        <v>349</v>
      </c>
      <c r="J55" s="20" t="s">
        <v>349</v>
      </c>
      <c r="K55" s="18" t="n">
        <v>12.25253048</v>
      </c>
      <c r="L55" s="20" t="n">
        <v>1.19833033</v>
      </c>
      <c r="M55" s="18" t="n">
        <v>0</v>
      </c>
      <c r="N55" s="20" t="n">
        <v>0</v>
      </c>
      <c r="O55" s="18" t="n">
        <v>4.0733948</v>
      </c>
      <c r="P55" s="20" t="n">
        <v>0.73155693</v>
      </c>
      <c r="Q55" s="18" t="n">
        <v>9.059602330000001</v>
      </c>
      <c r="R55" s="20" t="n">
        <v>0.95226197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(6036.0/B58*100)</f>
        <v/>
      </c>
      <c r="D58" s="19" t="n">
        <v>1231</v>
      </c>
      <c r="E58" s="18" t="n">
        <v>76.66599907</v>
      </c>
      <c r="F58" s="20" t="n">
        <v>1.60187097</v>
      </c>
      <c r="G58" s="18" t="n">
        <v>6.10881972</v>
      </c>
      <c r="H58" s="20" t="n">
        <v>0.90126187</v>
      </c>
      <c r="I58" s="18" t="s">
        <v>349</v>
      </c>
      <c r="J58" s="20" t="s">
        <v>349</v>
      </c>
      <c r="K58" s="18" t="n">
        <v>6.17569951</v>
      </c>
      <c r="L58" s="20" t="n">
        <v>0.77417717</v>
      </c>
      <c r="M58" s="18" t="n">
        <v>0</v>
      </c>
      <c r="N58" s="20" t="n">
        <v>0</v>
      </c>
      <c r="O58" s="18" t="n">
        <v>5.07633743</v>
      </c>
      <c r="P58" s="20" t="n">
        <v>0.75445545</v>
      </c>
      <c r="Q58" s="18" t="n">
        <v>5.97314427</v>
      </c>
      <c r="R58" s="20" t="n">
        <v>0.87409861</v>
      </c>
    </row>
    <row r="59" spans="1:18">
      <c r="A59" s="15" t="s">
        <v>401</v>
      </c>
      <c r="B59" s="17" t="n">
        <v>4826</v>
      </c>
      <c r="C59" s="18">
        <f>(4028.0/B59*100)</f>
        <v/>
      </c>
      <c r="D59" s="19" t="n">
        <v>798</v>
      </c>
      <c r="E59" s="18" t="n">
        <v>80.88226731</v>
      </c>
      <c r="F59" s="20" t="n">
        <v>1.66330548</v>
      </c>
      <c r="G59" s="18" t="n">
        <v>2.02882984</v>
      </c>
      <c r="H59" s="20" t="n">
        <v>0.67215889</v>
      </c>
      <c r="I59" s="18" t="s">
        <v>349</v>
      </c>
      <c r="J59" s="20" t="s">
        <v>349</v>
      </c>
      <c r="K59" s="18" t="n">
        <v>6.87749698</v>
      </c>
      <c r="L59" s="20" t="n">
        <v>1.05446298</v>
      </c>
      <c r="M59" s="18" t="n">
        <v>1.0475762</v>
      </c>
      <c r="N59" s="20" t="n">
        <v>0.28831873</v>
      </c>
      <c r="O59" s="18" t="n">
        <v>1.26428235</v>
      </c>
      <c r="P59" s="20" t="n">
        <v>0.32150375</v>
      </c>
      <c r="Q59" s="18" t="n">
        <v>7.89954731</v>
      </c>
      <c r="R59" s="20" t="n">
        <v>1.09432425</v>
      </c>
    </row>
    <row r="60" spans="1:18">
      <c r="A60" s="15" t="s">
        <v>402</v>
      </c>
      <c r="B60" s="17" t="n">
        <v>4546</v>
      </c>
      <c r="C60" s="18">
        <f>(3801.0/B60*100)</f>
        <v/>
      </c>
      <c r="D60" s="19" t="n">
        <v>745</v>
      </c>
      <c r="E60" s="18" t="n">
        <v>58.84630315</v>
      </c>
      <c r="F60" s="20" t="n">
        <v>2.00959601</v>
      </c>
      <c r="G60" s="18" t="n">
        <v>7.18809086</v>
      </c>
      <c r="H60" s="20" t="n">
        <v>1.07641006</v>
      </c>
      <c r="I60" s="18" t="s">
        <v>349</v>
      </c>
      <c r="J60" s="20" t="s">
        <v>349</v>
      </c>
      <c r="K60" s="18" t="n">
        <v>13.73021887</v>
      </c>
      <c r="L60" s="20" t="n">
        <v>1.4680251</v>
      </c>
      <c r="M60" s="18" t="n">
        <v>0.22678823</v>
      </c>
      <c r="N60" s="20" t="n">
        <v>0.13249932</v>
      </c>
      <c r="O60" s="18" t="n">
        <v>2.58448322</v>
      </c>
      <c r="P60" s="20" t="n">
        <v>0.61070533</v>
      </c>
      <c r="Q60" s="18" t="n">
        <v>17.42411566</v>
      </c>
      <c r="R60" s="20" t="n">
        <v>1.40835925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66.02515662</v>
      </c>
      <c r="F63" s="20" t="n">
        <v>1.90919318</v>
      </c>
      <c r="G63" s="18" t="n">
        <v>5.92305927</v>
      </c>
      <c r="H63" s="20" t="n">
        <v>0.73285068</v>
      </c>
      <c r="I63" s="18" t="s">
        <v>349</v>
      </c>
      <c r="J63" s="20" t="s">
        <v>349</v>
      </c>
      <c r="K63" s="18" t="n">
        <v>12.89674273</v>
      </c>
      <c r="L63" s="20" t="n">
        <v>1.20766143</v>
      </c>
      <c r="M63" s="18" t="n">
        <v>0</v>
      </c>
      <c r="N63" s="20" t="n">
        <v>0</v>
      </c>
      <c r="O63" s="18" t="n">
        <v>1.08453595</v>
      </c>
      <c r="P63" s="20" t="n">
        <v>0.33975876</v>
      </c>
      <c r="Q63" s="18" t="n">
        <v>14.07050543</v>
      </c>
      <c r="R63" s="20" t="n">
        <v>1.3818626</v>
      </c>
    </row>
    <row r="64" spans="1:18">
      <c r="A64" s="15" t="s">
        <v>406</v>
      </c>
      <c r="B64" s="17" t="n">
        <v>3634</v>
      </c>
      <c r="C64" s="18">
        <f>(3027.0/B64*100)</f>
        <v/>
      </c>
      <c r="D64" s="19" t="n">
        <v>607</v>
      </c>
      <c r="E64" s="18" t="n">
        <v>65.48974484</v>
      </c>
      <c r="F64" s="20" t="n">
        <v>2.06608546</v>
      </c>
      <c r="G64" s="18" t="n">
        <v>20.75788362</v>
      </c>
      <c r="H64" s="20" t="n">
        <v>1.56611854</v>
      </c>
      <c r="I64" s="18" t="s">
        <v>349</v>
      </c>
      <c r="J64" s="20" t="s">
        <v>349</v>
      </c>
      <c r="K64" s="18" t="n">
        <v>3.49138028</v>
      </c>
      <c r="L64" s="20" t="n">
        <v>0.80205853</v>
      </c>
      <c r="M64" s="18" t="n">
        <v>0.15942665</v>
      </c>
      <c r="N64" s="20" t="n">
        <v>0.15958364</v>
      </c>
      <c r="O64" s="18" t="n">
        <v>3.00906501</v>
      </c>
      <c r="P64" s="20" t="n">
        <v>0.72492387</v>
      </c>
      <c r="Q64" s="18" t="n">
        <v>7.09249959</v>
      </c>
      <c r="R64" s="20" t="n">
        <v>1.08389159</v>
      </c>
    </row>
    <row r="65" spans="1:18">
      <c r="A65" s="15" t="s">
        <v>407</v>
      </c>
      <c r="B65" s="17" t="n">
        <v>5325</v>
      </c>
      <c r="C65" s="18">
        <f>(4419.0/B65*100)</f>
        <v/>
      </c>
      <c r="D65" s="19" t="n">
        <v>906</v>
      </c>
      <c r="E65" s="18" t="n">
        <v>60.88369362</v>
      </c>
      <c r="F65" s="20" t="n">
        <v>1.96562895</v>
      </c>
      <c r="G65" s="18" t="n">
        <v>7.28261485</v>
      </c>
      <c r="H65" s="20" t="n">
        <v>0.99999263</v>
      </c>
      <c r="I65" s="18" t="s">
        <v>349</v>
      </c>
      <c r="J65" s="20" t="s">
        <v>349</v>
      </c>
      <c r="K65" s="18" t="n">
        <v>17.02320114</v>
      </c>
      <c r="L65" s="20" t="n">
        <v>1.45473674</v>
      </c>
      <c r="M65" s="18" t="n">
        <v>1.56610653</v>
      </c>
      <c r="N65" s="20" t="n">
        <v>0.36284542</v>
      </c>
      <c r="O65" s="18" t="n">
        <v>0.61756559</v>
      </c>
      <c r="P65" s="20" t="n">
        <v>0.2803661</v>
      </c>
      <c r="Q65" s="18" t="n">
        <v>12.62681826</v>
      </c>
      <c r="R65" s="20" t="n">
        <v>1.20880397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89.35253609999999</v>
      </c>
      <c r="F69" s="20" t="n">
        <v>0.91962134</v>
      </c>
      <c r="G69" s="18" t="n">
        <v>5.87716536</v>
      </c>
      <c r="H69" s="20" t="n">
        <v>0.76474587</v>
      </c>
      <c r="I69" s="18" t="s">
        <v>349</v>
      </c>
      <c r="J69" s="20" t="s">
        <v>349</v>
      </c>
      <c r="K69" s="18" t="n">
        <v>0</v>
      </c>
      <c r="L69" s="20" t="n">
        <v>0</v>
      </c>
      <c r="M69" s="18" t="n">
        <v>0</v>
      </c>
      <c r="N69" s="20" t="n">
        <v>0</v>
      </c>
      <c r="O69" s="18" t="n">
        <v>0</v>
      </c>
      <c r="P69" s="20" t="n">
        <v>0</v>
      </c>
      <c r="Q69" s="18" t="n">
        <v>4.77029855</v>
      </c>
      <c r="R69" s="20" t="n">
        <v>0.7657720099999999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69.2540722</v>
      </c>
      <c r="F74" s="20" t="n">
        <v>1.56693575</v>
      </c>
      <c r="G74" s="18" t="n">
        <v>8.171297839999999</v>
      </c>
      <c r="H74" s="20" t="n">
        <v>1.00367892</v>
      </c>
      <c r="I74" s="18" t="s">
        <v>349</v>
      </c>
      <c r="J74" s="20" t="s">
        <v>349</v>
      </c>
      <c r="K74" s="18" t="n">
        <v>12.91210554</v>
      </c>
      <c r="L74" s="20" t="n">
        <v>1.27271126</v>
      </c>
      <c r="M74" s="18" t="n">
        <v>0</v>
      </c>
      <c r="N74" s="20" t="n">
        <v>0</v>
      </c>
      <c r="O74" s="18" t="n">
        <v>1.0598999</v>
      </c>
      <c r="P74" s="20" t="n">
        <v>0.31596607</v>
      </c>
      <c r="Q74" s="18" t="n">
        <v>8.60262453</v>
      </c>
      <c r="R74" s="20" t="n">
        <v>1.04882924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82.06828253</v>
      </c>
      <c r="F78" s="20" t="n">
        <v>1.32996321</v>
      </c>
      <c r="G78" s="18" t="n">
        <v>14.99158236</v>
      </c>
      <c r="H78" s="20" t="n">
        <v>1.26697265</v>
      </c>
      <c r="I78" s="18" t="s">
        <v>349</v>
      </c>
      <c r="J78" s="20" t="s">
        <v>349</v>
      </c>
      <c r="K78" s="18" t="n">
        <v>0.07441593000000001</v>
      </c>
      <c r="L78" s="20" t="n">
        <v>0.07454805</v>
      </c>
      <c r="M78" s="18" t="n">
        <v>0.24538384</v>
      </c>
      <c r="N78" s="20" t="n">
        <v>0.17579781</v>
      </c>
      <c r="O78" s="18" t="n">
        <v>2.09453952</v>
      </c>
      <c r="P78" s="20" t="n">
        <v>0.43414136</v>
      </c>
      <c r="Q78" s="18" t="n">
        <v>0.52579582</v>
      </c>
      <c r="R78" s="20" t="n">
        <v>0.22063263</v>
      </c>
    </row>
    <row customHeight="1" ht="25" r="79" spans="1:18">
      <c r="A79" s="15" t="s">
        <v>421</v>
      </c>
      <c r="B79" s="17" t="n">
        <v>1657</v>
      </c>
      <c r="C79" s="18">
        <f>(1377.0/B79*100)</f>
        <v/>
      </c>
      <c r="D79" s="19" t="n">
        <v>280</v>
      </c>
      <c r="E79" s="18" t="n">
        <v>63.65378829</v>
      </c>
      <c r="F79" s="20" t="n">
        <v>3.40681864</v>
      </c>
      <c r="G79" s="18" t="n">
        <v>11.01530412</v>
      </c>
      <c r="H79" s="20" t="n">
        <v>2.23187158</v>
      </c>
      <c r="I79" s="18" t="s">
        <v>349</v>
      </c>
      <c r="J79" s="20" t="s">
        <v>349</v>
      </c>
      <c r="K79" s="18" t="n">
        <v>10.52698959</v>
      </c>
      <c r="L79" s="20" t="n">
        <v>1.99476529</v>
      </c>
      <c r="M79" s="18" t="n">
        <v>0</v>
      </c>
      <c r="N79" s="20" t="n">
        <v>0</v>
      </c>
      <c r="O79" s="18" t="n">
        <v>2.38637998</v>
      </c>
      <c r="P79" s="20" t="n">
        <v>1.00871504</v>
      </c>
      <c r="Q79" s="18" t="n">
        <v>12.41753801</v>
      </c>
      <c r="R79" s="20" t="n">
        <v>1.87609299</v>
      </c>
    </row>
    <row r="80" spans="1:18">
      <c r="A80" s="15" t="s">
        <v>422</v>
      </c>
      <c r="B80" s="17" t="n">
        <v>7841</v>
      </c>
      <c r="C80" s="18">
        <f>(6548.0/B80*100)</f>
        <v/>
      </c>
      <c r="D80" s="19" t="n">
        <v>1293</v>
      </c>
      <c r="E80" s="18" t="n">
        <v>83.12089525</v>
      </c>
      <c r="F80" s="20" t="n">
        <v>1.8902962</v>
      </c>
      <c r="G80" s="18" t="n">
        <v>14.90902085</v>
      </c>
      <c r="H80" s="20" t="n">
        <v>1.82529034</v>
      </c>
      <c r="I80" s="18" t="s">
        <v>349</v>
      </c>
      <c r="J80" s="20" t="s">
        <v>349</v>
      </c>
      <c r="K80" s="18" t="n">
        <v>0</v>
      </c>
      <c r="L80" s="20" t="n">
        <v>0</v>
      </c>
      <c r="M80" s="18" t="n">
        <v>0.009916370000000001</v>
      </c>
      <c r="N80" s="20" t="n">
        <v>0.00575533</v>
      </c>
      <c r="O80" s="18" t="n">
        <v>0</v>
      </c>
      <c r="P80" s="20" t="n">
        <v>0</v>
      </c>
      <c r="Q80" s="18" t="n">
        <v>1.96016753</v>
      </c>
      <c r="R80" s="20" t="n">
        <v>0.39444139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39.09588011</v>
      </c>
      <c r="F44" s="20" t="n">
        <v>1.98544403</v>
      </c>
      <c r="G44" s="18" t="n">
        <v>18.39071316</v>
      </c>
      <c r="H44" s="20" t="n">
        <v>1.96165015</v>
      </c>
      <c r="I44" s="18" t="s">
        <v>349</v>
      </c>
      <c r="J44" s="20" t="s">
        <v>349</v>
      </c>
      <c r="K44" s="18" t="n">
        <v>21.96233345</v>
      </c>
      <c r="L44" s="20" t="n">
        <v>1.64687117</v>
      </c>
      <c r="M44" s="18" t="n">
        <v>0</v>
      </c>
      <c r="N44" s="20" t="n">
        <v>0</v>
      </c>
      <c r="O44" s="18" t="n">
        <v>0</v>
      </c>
      <c r="P44" s="20" t="n">
        <v>0</v>
      </c>
      <c r="Q44" s="18" t="n">
        <v>20.55107328</v>
      </c>
      <c r="R44" s="20" t="n">
        <v>1.71317409</v>
      </c>
    </row>
    <row r="45" spans="1:18">
      <c r="A45" s="15" t="s">
        <v>387</v>
      </c>
      <c r="B45" s="17" t="n">
        <v>5519</v>
      </c>
      <c r="C45" s="18">
        <f>(4611.0/B45*100)</f>
        <v/>
      </c>
      <c r="D45" s="19" t="n">
        <v>908</v>
      </c>
      <c r="E45" s="18" t="n">
        <v>49.38185725</v>
      </c>
      <c r="F45" s="20" t="n">
        <v>1.96288594</v>
      </c>
      <c r="G45" s="18" t="n">
        <v>5.19446837</v>
      </c>
      <c r="H45" s="20" t="n">
        <v>0.6231349900000001</v>
      </c>
      <c r="I45" s="18" t="s">
        <v>349</v>
      </c>
      <c r="J45" s="20" t="s">
        <v>349</v>
      </c>
      <c r="K45" s="18" t="n">
        <v>17.98821751</v>
      </c>
      <c r="L45" s="20" t="n">
        <v>1.43025571</v>
      </c>
      <c r="M45" s="18" t="n">
        <v>0.74012985</v>
      </c>
      <c r="N45" s="20" t="n">
        <v>0.32224148</v>
      </c>
      <c r="O45" s="18" t="n">
        <v>0.21963257</v>
      </c>
      <c r="P45" s="20" t="n">
        <v>0.16911801</v>
      </c>
      <c r="Q45" s="18" t="n">
        <v>26.47569445</v>
      </c>
      <c r="R45" s="20" t="n">
        <v>1.94897793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55.58720441</v>
      </c>
      <c r="F49" s="20" t="n">
        <v>1.87432386</v>
      </c>
      <c r="G49" s="18" t="n">
        <v>13.94265738</v>
      </c>
      <c r="H49" s="20" t="n">
        <v>1.28199196</v>
      </c>
      <c r="I49" s="18" t="s">
        <v>349</v>
      </c>
      <c r="J49" s="20" t="s">
        <v>349</v>
      </c>
      <c r="K49" s="18" t="n">
        <v>11.35630879</v>
      </c>
      <c r="L49" s="20" t="n">
        <v>1.28177612</v>
      </c>
      <c r="M49" s="18" t="n">
        <v>0</v>
      </c>
      <c r="N49" s="20" t="n">
        <v>0</v>
      </c>
      <c r="O49" s="18" t="n">
        <v>0</v>
      </c>
      <c r="P49" s="20" t="n">
        <v>0</v>
      </c>
      <c r="Q49" s="18" t="n">
        <v>19.11382942</v>
      </c>
      <c r="R49" s="20" t="n">
        <v>1.44525792</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42.21721704</v>
      </c>
      <c r="F55" s="20" t="n">
        <v>1.68758377</v>
      </c>
      <c r="G55" s="18" t="n">
        <v>9.901340510000001</v>
      </c>
      <c r="H55" s="20" t="n">
        <v>0.94424699</v>
      </c>
      <c r="I55" s="18" t="s">
        <v>349</v>
      </c>
      <c r="J55" s="20" t="s">
        <v>349</v>
      </c>
      <c r="K55" s="18" t="n">
        <v>19.86524517</v>
      </c>
      <c r="L55" s="20" t="n">
        <v>1.42533798</v>
      </c>
      <c r="M55" s="18" t="n">
        <v>0</v>
      </c>
      <c r="N55" s="20" t="n">
        <v>0</v>
      </c>
      <c r="O55" s="18" t="n">
        <v>0</v>
      </c>
      <c r="P55" s="20" t="n">
        <v>0</v>
      </c>
      <c r="Q55" s="18" t="n">
        <v>28.01619729</v>
      </c>
      <c r="R55" s="20" t="n">
        <v>1.64580618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(5416.0/B57*100)</f>
        <v/>
      </c>
      <c r="D57" s="19" t="n">
        <v>1097</v>
      </c>
      <c r="E57" s="18" t="n">
        <v>67.46522371</v>
      </c>
      <c r="F57" s="20" t="n">
        <v>1.47480447</v>
      </c>
      <c r="G57" s="18" t="n">
        <v>11.01318626</v>
      </c>
      <c r="H57" s="20" t="n">
        <v>0.75147721</v>
      </c>
      <c r="I57" s="18" t="s">
        <v>349</v>
      </c>
      <c r="J57" s="20" t="s">
        <v>349</v>
      </c>
      <c r="K57" s="18" t="n">
        <v>2.79038713</v>
      </c>
      <c r="L57" s="20" t="n">
        <v>0.52315962</v>
      </c>
      <c r="M57" s="18" t="n">
        <v>0</v>
      </c>
      <c r="N57" s="20" t="n">
        <v>0</v>
      </c>
      <c r="O57" s="18" t="n">
        <v>0</v>
      </c>
      <c r="P57" s="20" t="n">
        <v>0</v>
      </c>
      <c r="Q57" s="18" t="n">
        <v>18.7312029</v>
      </c>
      <c r="R57" s="20" t="n">
        <v>1.43134746</v>
      </c>
    </row>
    <row r="58" spans="1:18">
      <c r="A58" s="15" t="s">
        <v>400</v>
      </c>
      <c r="B58" s="17" t="n">
        <v>7267</v>
      </c>
      <c r="C58" s="18">
        <f>(6036.0/B58*100)</f>
        <v/>
      </c>
      <c r="D58" s="19" t="n">
        <v>1231</v>
      </c>
      <c r="E58" s="18" t="n">
        <v>66.58483504</v>
      </c>
      <c r="F58" s="20" t="n">
        <v>1.92748196</v>
      </c>
      <c r="G58" s="18" t="n">
        <v>6.18177975</v>
      </c>
      <c r="H58" s="20" t="n">
        <v>0.9996183</v>
      </c>
      <c r="I58" s="18" t="s">
        <v>349</v>
      </c>
      <c r="J58" s="20" t="s">
        <v>349</v>
      </c>
      <c r="K58" s="18" t="n">
        <v>10.2990125</v>
      </c>
      <c r="L58" s="20" t="n">
        <v>1.08151192</v>
      </c>
      <c r="M58" s="18" t="n">
        <v>0</v>
      </c>
      <c r="N58" s="20" t="n">
        <v>0</v>
      </c>
      <c r="O58" s="18" t="n">
        <v>0</v>
      </c>
      <c r="P58" s="20" t="n">
        <v>0</v>
      </c>
      <c r="Q58" s="18" t="n">
        <v>16.93437271</v>
      </c>
      <c r="R58" s="20" t="n">
        <v>1.57036743</v>
      </c>
    </row>
    <row r="59" spans="1:18">
      <c r="A59" s="15" t="s">
        <v>401</v>
      </c>
      <c r="B59" s="17" t="n">
        <v>4826</v>
      </c>
      <c r="C59" s="18">
        <f>(4028.0/B59*100)</f>
        <v/>
      </c>
      <c r="D59" s="19" t="n">
        <v>798</v>
      </c>
      <c r="E59" s="18" t="n">
        <v>62.18915914</v>
      </c>
      <c r="F59" s="20" t="n">
        <v>1.70452516</v>
      </c>
      <c r="G59" s="18" t="n">
        <v>3.2207134</v>
      </c>
      <c r="H59" s="20" t="n">
        <v>0.76282454</v>
      </c>
      <c r="I59" s="18" t="s">
        <v>349</v>
      </c>
      <c r="J59" s="20" t="s">
        <v>349</v>
      </c>
      <c r="K59" s="18" t="n">
        <v>9.82738511</v>
      </c>
      <c r="L59" s="20" t="n">
        <v>1.18040846</v>
      </c>
      <c r="M59" s="18" t="n">
        <v>0</v>
      </c>
      <c r="N59" s="20" t="n">
        <v>0</v>
      </c>
      <c r="O59" s="18" t="n">
        <v>0</v>
      </c>
      <c r="P59" s="20" t="n">
        <v>0</v>
      </c>
      <c r="Q59" s="18" t="n">
        <v>24.76274235</v>
      </c>
      <c r="R59" s="20" t="n">
        <v>1.51535388</v>
      </c>
    </row>
    <row r="60" spans="1:18">
      <c r="A60" s="15" t="s">
        <v>402</v>
      </c>
      <c r="B60" s="17" t="n">
        <v>4546</v>
      </c>
      <c r="C60" s="18">
        <f>(3801.0/B60*100)</f>
        <v/>
      </c>
      <c r="D60" s="19" t="n">
        <v>745</v>
      </c>
      <c r="E60" s="18" t="n">
        <v>44.67462209</v>
      </c>
      <c r="F60" s="20" t="n">
        <v>1.95603573</v>
      </c>
      <c r="G60" s="18" t="n">
        <v>12.5135079</v>
      </c>
      <c r="H60" s="20" t="n">
        <v>1.31369799</v>
      </c>
      <c r="I60" s="18" t="s">
        <v>349</v>
      </c>
      <c r="J60" s="20" t="s">
        <v>349</v>
      </c>
      <c r="K60" s="18" t="n">
        <v>18.38749522</v>
      </c>
      <c r="L60" s="20" t="n">
        <v>1.68247678</v>
      </c>
      <c r="M60" s="18" t="n">
        <v>0</v>
      </c>
      <c r="N60" s="20" t="n">
        <v>0</v>
      </c>
      <c r="O60" s="18" t="n">
        <v>0.25610733</v>
      </c>
      <c r="P60" s="20" t="n">
        <v>0.15535189</v>
      </c>
      <c r="Q60" s="18" t="n">
        <v>24.16826746</v>
      </c>
      <c r="R60" s="20" t="n">
        <v>1.7802591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39.59249239</v>
      </c>
      <c r="F63" s="20" t="n">
        <v>1.82730986</v>
      </c>
      <c r="G63" s="18" t="n">
        <v>10.40612272</v>
      </c>
      <c r="H63" s="20" t="n">
        <v>1.33846988</v>
      </c>
      <c r="I63" s="18" t="s">
        <v>349</v>
      </c>
      <c r="J63" s="20" t="s">
        <v>349</v>
      </c>
      <c r="K63" s="18" t="n">
        <v>15.52936589</v>
      </c>
      <c r="L63" s="20" t="n">
        <v>1.36897476</v>
      </c>
      <c r="M63" s="18" t="n">
        <v>0</v>
      </c>
      <c r="N63" s="20" t="n">
        <v>0</v>
      </c>
      <c r="O63" s="18" t="n">
        <v>0</v>
      </c>
      <c r="P63" s="20" t="n">
        <v>0</v>
      </c>
      <c r="Q63" s="18" t="n">
        <v>34.47201901</v>
      </c>
      <c r="R63" s="20" t="n">
        <v>1.56178501</v>
      </c>
    </row>
    <row r="64" spans="1:18">
      <c r="A64" s="15" t="s">
        <v>406</v>
      </c>
      <c r="B64" s="17" t="n">
        <v>3634</v>
      </c>
      <c r="C64" s="18">
        <f>(3027.0/B64*100)</f>
        <v/>
      </c>
      <c r="D64" s="19" t="n">
        <v>607</v>
      </c>
      <c r="E64" s="18" t="n">
        <v>49.15143278</v>
      </c>
      <c r="F64" s="20" t="n">
        <v>1.90426502</v>
      </c>
      <c r="G64" s="18" t="n">
        <v>28.14652405</v>
      </c>
      <c r="H64" s="20" t="n">
        <v>1.63541725</v>
      </c>
      <c r="I64" s="18" t="s">
        <v>349</v>
      </c>
      <c r="J64" s="20" t="s">
        <v>349</v>
      </c>
      <c r="K64" s="18" t="n">
        <v>5.99435049</v>
      </c>
      <c r="L64" s="20" t="n">
        <v>1.03171023</v>
      </c>
      <c r="M64" s="18" t="n">
        <v>0</v>
      </c>
      <c r="N64" s="20" t="n">
        <v>0</v>
      </c>
      <c r="O64" s="18" t="n">
        <v>0</v>
      </c>
      <c r="P64" s="20" t="n">
        <v>0</v>
      </c>
      <c r="Q64" s="18" t="n">
        <v>16.70769268</v>
      </c>
      <c r="R64" s="20" t="n">
        <v>1.40874787</v>
      </c>
    </row>
    <row r="65" spans="1:18">
      <c r="A65" s="15" t="s">
        <v>407</v>
      </c>
      <c r="B65" s="17" t="n">
        <v>5325</v>
      </c>
      <c r="C65" s="18">
        <f>(4419.0/B65*100)</f>
        <v/>
      </c>
      <c r="D65" s="19" t="n">
        <v>906</v>
      </c>
      <c r="E65" s="18" t="n">
        <v>41.13647012</v>
      </c>
      <c r="F65" s="20" t="n">
        <v>1.72302844</v>
      </c>
      <c r="G65" s="18" t="n">
        <v>13.34997614</v>
      </c>
      <c r="H65" s="20" t="n">
        <v>1.1383056</v>
      </c>
      <c r="I65" s="18" t="s">
        <v>349</v>
      </c>
      <c r="J65" s="20" t="s">
        <v>349</v>
      </c>
      <c r="K65" s="18" t="n">
        <v>21.1251391</v>
      </c>
      <c r="L65" s="20" t="n">
        <v>1.4701195</v>
      </c>
      <c r="M65" s="18" t="n">
        <v>0</v>
      </c>
      <c r="N65" s="20" t="n">
        <v>0</v>
      </c>
      <c r="O65" s="18" t="n">
        <v>0.09046467</v>
      </c>
      <c r="P65" s="20" t="n">
        <v>0.09035762</v>
      </c>
      <c r="Q65" s="18" t="n">
        <v>24.29794998</v>
      </c>
      <c r="R65" s="20" t="n">
        <v>1.48279896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71.04224012</v>
      </c>
      <c r="F69" s="20" t="n">
        <v>1.75903668</v>
      </c>
      <c r="G69" s="18" t="n">
        <v>28.62295619</v>
      </c>
      <c r="H69" s="20" t="n">
        <v>1.75099714</v>
      </c>
      <c r="I69" s="18" t="s">
        <v>349</v>
      </c>
      <c r="J69" s="20" t="s">
        <v>349</v>
      </c>
      <c r="K69" s="18" t="n">
        <v>0</v>
      </c>
      <c r="L69" s="20" t="n">
        <v>0</v>
      </c>
      <c r="M69" s="18" t="n">
        <v>0</v>
      </c>
      <c r="N69" s="20" t="n">
        <v>0</v>
      </c>
      <c r="O69" s="18" t="n">
        <v>0</v>
      </c>
      <c r="P69" s="20" t="n">
        <v>0</v>
      </c>
      <c r="Q69" s="18" t="n">
        <v>0.33480369</v>
      </c>
      <c r="R69" s="20" t="n">
        <v>0.19775987</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47.38269812</v>
      </c>
      <c r="F74" s="20" t="n">
        <v>2.05937797</v>
      </c>
      <c r="G74" s="18" t="n">
        <v>14.08061208</v>
      </c>
      <c r="H74" s="20" t="n">
        <v>1.42449427</v>
      </c>
      <c r="I74" s="18" t="s">
        <v>349</v>
      </c>
      <c r="J74" s="20" t="s">
        <v>349</v>
      </c>
      <c r="K74" s="18" t="n">
        <v>17.24534769</v>
      </c>
      <c r="L74" s="20" t="n">
        <v>1.35068249</v>
      </c>
      <c r="M74" s="18" t="n">
        <v>0</v>
      </c>
      <c r="N74" s="20" t="n">
        <v>0</v>
      </c>
      <c r="O74" s="18" t="n">
        <v>0</v>
      </c>
      <c r="P74" s="20" t="n">
        <v>0</v>
      </c>
      <c r="Q74" s="18" t="n">
        <v>21.29134212</v>
      </c>
      <c r="R74" s="20" t="n">
        <v>1.50745309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62.31792224</v>
      </c>
      <c r="F78" s="20" t="n">
        <v>2.10761316</v>
      </c>
      <c r="G78" s="18" t="n">
        <v>33.09070639</v>
      </c>
      <c r="H78" s="20" t="n">
        <v>1.96634048</v>
      </c>
      <c r="I78" s="18" t="s">
        <v>349</v>
      </c>
      <c r="J78" s="20" t="s">
        <v>349</v>
      </c>
      <c r="K78" s="18" t="n">
        <v>0.22129288</v>
      </c>
      <c r="L78" s="20" t="n">
        <v>0.11728279</v>
      </c>
      <c r="M78" s="18" t="n">
        <v>0</v>
      </c>
      <c r="N78" s="20" t="n">
        <v>0</v>
      </c>
      <c r="O78" s="18" t="n">
        <v>0</v>
      </c>
      <c r="P78" s="20" t="n">
        <v>0</v>
      </c>
      <c r="Q78" s="18" t="n">
        <v>4.37007848</v>
      </c>
      <c r="R78" s="20" t="n">
        <v>0.7085634200000001</v>
      </c>
    </row>
    <row customHeight="1" ht="25" r="79" spans="1:18">
      <c r="A79" s="15" t="s">
        <v>421</v>
      </c>
      <c r="B79" s="17" t="n">
        <v>1657</v>
      </c>
      <c r="C79" s="18">
        <f>(1377.0/B79*100)</f>
        <v/>
      </c>
      <c r="D79" s="19" t="n">
        <v>280</v>
      </c>
      <c r="E79" s="18" t="n">
        <v>44.64394173</v>
      </c>
      <c r="F79" s="20" t="n">
        <v>2.77262422</v>
      </c>
      <c r="G79" s="18" t="n">
        <v>29.61265533</v>
      </c>
      <c r="H79" s="20" t="n">
        <v>2.52147198</v>
      </c>
      <c r="I79" s="18" t="s">
        <v>349</v>
      </c>
      <c r="J79" s="20" t="s">
        <v>349</v>
      </c>
      <c r="K79" s="18" t="n">
        <v>12.34623187</v>
      </c>
      <c r="L79" s="20" t="n">
        <v>2.07293107</v>
      </c>
      <c r="M79" s="18" t="n">
        <v>0</v>
      </c>
      <c r="N79" s="20" t="n">
        <v>0</v>
      </c>
      <c r="O79" s="18" t="n">
        <v>0</v>
      </c>
      <c r="P79" s="20" t="n">
        <v>0</v>
      </c>
      <c r="Q79" s="18" t="n">
        <v>13.39717108</v>
      </c>
      <c r="R79" s="20" t="n">
        <v>2.18819315</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Z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331</v>
      </c>
    </row>
    <row r="2" spans="1:26">
      <c r="A2" s="5" t="s">
        <v>544</v>
      </c>
    </row>
    <row customHeight="1" ht="30" r="4" spans="1:26">
      <c r="A4" s="6" t="n"/>
      <c r="B4" s="7" t="s">
        <v>333</v>
      </c>
      <c r="C4" s="7" t="s">
        <v>334</v>
      </c>
      <c r="D4" s="8" t="s">
        <v>333</v>
      </c>
      <c r="E4" s="9" t="s">
        <v>455</v>
      </c>
      <c r="F4" s="10" t="n"/>
      <c r="G4" s="9" t="s">
        <v>456</v>
      </c>
      <c r="H4" s="10" t="n"/>
      <c r="I4" s="9" t="s">
        <v>536</v>
      </c>
      <c r="J4" s="10" t="n"/>
      <c r="K4" s="9" t="s">
        <v>441</v>
      </c>
      <c r="L4" s="10" t="n"/>
      <c r="M4" s="9" t="s">
        <v>442</v>
      </c>
      <c r="N4" s="10" t="n"/>
      <c r="O4" s="9" t="s">
        <v>444</v>
      </c>
      <c r="P4" s="10" t="n"/>
      <c r="Q4" s="9" t="s">
        <v>337</v>
      </c>
      <c r="R4" s="10" t="n"/>
      <c r="S4" s="9" t="s">
        <v>338</v>
      </c>
      <c r="T4" s="10" t="n"/>
      <c r="U4" s="9" t="s">
        <v>339</v>
      </c>
      <c r="V4" s="10" t="n"/>
      <c r="W4" s="9" t="s">
        <v>340</v>
      </c>
      <c r="X4" s="10" t="n"/>
      <c r="Y4" s="9" t="s">
        <v>341</v>
      </c>
      <c r="Z4" s="10" t="n"/>
    </row>
    <row r="5" spans="1:26">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c r="Y5" s="12" t="s">
        <v>345</v>
      </c>
      <c r="Z5" s="11" t="s">
        <v>346</v>
      </c>
    </row>
    <row r="6" spans="1:26">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c r="Y7" s="18" t="s">
        <v>349</v>
      </c>
      <c r="Z7" s="20" t="s">
        <v>349</v>
      </c>
    </row>
    <row r="8" spans="1:26">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c r="Y8" s="18" t="s">
        <v>349</v>
      </c>
      <c r="Z8" s="20" t="s">
        <v>349</v>
      </c>
    </row>
    <row r="9" spans="1:26">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c r="Y9" s="18" t="s">
        <v>349</v>
      </c>
      <c r="Z9" s="20" t="s">
        <v>349</v>
      </c>
    </row>
    <row r="10" spans="1:26">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c r="Y10" s="18" t="s">
        <v>349</v>
      </c>
      <c r="Z10" s="20" t="s">
        <v>349</v>
      </c>
    </row>
    <row r="11" spans="1:26">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c r="Y11" s="18" t="s">
        <v>349</v>
      </c>
      <c r="Z11" s="20" t="s">
        <v>349</v>
      </c>
    </row>
    <row r="12" spans="1:26">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c r="Y12" s="18" t="s">
        <v>349</v>
      </c>
      <c r="Z12" s="20" t="s">
        <v>349</v>
      </c>
    </row>
    <row r="13" spans="1:26">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c r="Y13" s="18" t="s">
        <v>349</v>
      </c>
      <c r="Z13" s="20" t="s">
        <v>349</v>
      </c>
    </row>
    <row r="14" spans="1:26">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c r="Y14" s="18" t="s">
        <v>349</v>
      </c>
      <c r="Z14" s="20" t="s">
        <v>349</v>
      </c>
    </row>
    <row r="15" spans="1:26">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c r="Y15" s="18" t="s">
        <v>349</v>
      </c>
      <c r="Z15" s="20" t="s">
        <v>349</v>
      </c>
    </row>
    <row r="16" spans="1:26">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c r="Y16" s="18" t="s">
        <v>349</v>
      </c>
      <c r="Z16" s="20" t="s">
        <v>349</v>
      </c>
    </row>
    <row r="17" spans="1:26">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c r="Y17" s="18" t="s">
        <v>349</v>
      </c>
      <c r="Z17" s="20" t="s">
        <v>349</v>
      </c>
    </row>
    <row r="18" spans="1:26">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c r="Y18" s="18" t="s">
        <v>349</v>
      </c>
      <c r="Z18" s="20" t="s">
        <v>349</v>
      </c>
    </row>
    <row r="19" spans="1:26">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c r="Y19" s="18" t="s">
        <v>349</v>
      </c>
      <c r="Z19" s="20" t="s">
        <v>349</v>
      </c>
    </row>
    <row r="20" spans="1:26">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c r="Y20" s="18" t="s">
        <v>349</v>
      </c>
      <c r="Z20" s="20" t="s">
        <v>349</v>
      </c>
    </row>
    <row r="21" spans="1:26">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c r="Y21" s="18" t="s">
        <v>349</v>
      </c>
      <c r="Z21" s="20" t="s">
        <v>349</v>
      </c>
    </row>
    <row r="22" spans="1:26">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c r="Y22" s="18" t="s">
        <v>349</v>
      </c>
      <c r="Z22" s="20" t="s">
        <v>349</v>
      </c>
    </row>
    <row r="23" spans="1:26">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c r="Y23" s="18" t="s">
        <v>349</v>
      </c>
      <c r="Z23" s="20" t="s">
        <v>349</v>
      </c>
    </row>
    <row r="24" spans="1:26">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c r="Y24" s="18" t="s">
        <v>349</v>
      </c>
      <c r="Z24" s="20" t="s">
        <v>349</v>
      </c>
    </row>
    <row r="25" spans="1:26">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c r="Y25" s="18" t="s">
        <v>349</v>
      </c>
      <c r="Z25" s="20" t="s">
        <v>349</v>
      </c>
    </row>
    <row r="26" spans="1:26">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c r="Y26" s="18" t="s">
        <v>349</v>
      </c>
      <c r="Z26" s="20" t="s">
        <v>349</v>
      </c>
    </row>
    <row r="27" spans="1:26">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c r="Y27" s="18" t="s">
        <v>349</v>
      </c>
      <c r="Z27" s="20" t="s">
        <v>349</v>
      </c>
    </row>
    <row r="28" spans="1:26">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c r="Y28" s="18" t="s">
        <v>349</v>
      </c>
      <c r="Z28" s="20" t="s">
        <v>349</v>
      </c>
    </row>
    <row r="29" spans="1:26">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c r="Y29" s="18" t="s">
        <v>349</v>
      </c>
      <c r="Z29" s="20" t="s">
        <v>349</v>
      </c>
    </row>
    <row r="30" spans="1:26">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c r="Y30" s="18" t="s">
        <v>349</v>
      </c>
      <c r="Z30" s="20" t="s">
        <v>349</v>
      </c>
    </row>
    <row r="31" spans="1:26">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c r="Y31" s="18" t="s">
        <v>349</v>
      </c>
      <c r="Z31" s="20" t="s">
        <v>349</v>
      </c>
    </row>
    <row r="32" spans="1:26">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c r="Y32" s="18" t="s">
        <v>349</v>
      </c>
      <c r="Z32" s="20" t="s">
        <v>349</v>
      </c>
    </row>
    <row r="33" spans="1:26">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c r="Y33" s="18" t="s">
        <v>349</v>
      </c>
      <c r="Z33" s="20" t="s">
        <v>349</v>
      </c>
    </row>
    <row r="34" spans="1:26">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c r="Y34" s="18" t="s">
        <v>349</v>
      </c>
      <c r="Z34" s="20" t="s">
        <v>349</v>
      </c>
    </row>
    <row r="35" spans="1:26">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c r="Y35" s="18" t="s">
        <v>349</v>
      </c>
      <c r="Z35" s="20" t="s">
        <v>349</v>
      </c>
    </row>
    <row r="36" spans="1:26">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c r="Y36" s="18" t="s">
        <v>349</v>
      </c>
      <c r="Z36" s="20" t="s">
        <v>349</v>
      </c>
    </row>
    <row r="37" spans="1:26">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c r="Y37" s="18" t="s">
        <v>349</v>
      </c>
      <c r="Z37" s="20" t="s">
        <v>349</v>
      </c>
    </row>
    <row r="38" spans="1:26">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c r="Y38" s="18" t="s">
        <v>349</v>
      </c>
      <c r="Z38" s="20" t="s">
        <v>349</v>
      </c>
    </row>
    <row r="39" spans="1:26">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c r="Y39" s="18" t="s">
        <v>349</v>
      </c>
      <c r="Z39" s="20" t="s">
        <v>349</v>
      </c>
    </row>
    <row r="40" spans="1:26">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c r="Y40" s="18" t="s">
        <v>349</v>
      </c>
      <c r="Z40" s="20" t="s">
        <v>349</v>
      </c>
    </row>
    <row r="41" spans="1:26">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c r="Y41" s="18" t="s">
        <v>349</v>
      </c>
      <c r="Z41" s="20" t="s">
        <v>349</v>
      </c>
    </row>
    <row r="42" spans="1:26">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386</v>
      </c>
      <c r="B44" s="17" t="n">
        <v>5215</v>
      </c>
      <c r="C44" s="18">
        <f>(4332.0/B44*100)</f>
        <v/>
      </c>
      <c r="D44" s="19" t="n">
        <v>883</v>
      </c>
      <c r="E44" s="18" t="n">
        <v>26.72888137</v>
      </c>
      <c r="F44" s="20" t="n">
        <v>1.95801515</v>
      </c>
      <c r="G44" s="18" t="n">
        <v>6.04256011</v>
      </c>
      <c r="H44" s="20" t="n">
        <v>0.99024837</v>
      </c>
      <c r="I44" s="18" t="n">
        <v>0</v>
      </c>
      <c r="J44" s="20" t="n">
        <v>0</v>
      </c>
      <c r="K44" s="18" t="n">
        <v>2.92774122</v>
      </c>
      <c r="L44" s="20" t="n">
        <v>0.6884148</v>
      </c>
      <c r="M44" s="18" t="n">
        <v>2.93851492</v>
      </c>
      <c r="N44" s="20" t="n">
        <v>0.68031318</v>
      </c>
      <c r="O44" s="18" t="n">
        <v>7.66676719</v>
      </c>
      <c r="P44" s="20" t="n">
        <v>1.41037581</v>
      </c>
      <c r="Q44" s="18" t="s">
        <v>349</v>
      </c>
      <c r="R44" s="20" t="s">
        <v>349</v>
      </c>
      <c r="S44" s="18" t="n">
        <v>26.15207621</v>
      </c>
      <c r="T44" s="20" t="n">
        <v>1.7679497</v>
      </c>
      <c r="U44" s="18" t="n">
        <v>0</v>
      </c>
      <c r="V44" s="20" t="n">
        <v>0</v>
      </c>
      <c r="W44" s="18" t="n">
        <v>0</v>
      </c>
      <c r="X44" s="20" t="n">
        <v>0</v>
      </c>
      <c r="Y44" s="18" t="n">
        <v>27.54345897</v>
      </c>
      <c r="Z44" s="20" t="n">
        <v>1.55209633</v>
      </c>
    </row>
    <row r="45" spans="1:26">
      <c r="A45" s="15" t="s">
        <v>387</v>
      </c>
      <c r="B45" s="17" t="n">
        <v>5519</v>
      </c>
      <c r="C45" s="18">
        <f>(4611.0/B45*100)</f>
        <v/>
      </c>
      <c r="D45" s="19" t="n">
        <v>908</v>
      </c>
      <c r="E45" s="18" t="n">
        <v>18.40380434</v>
      </c>
      <c r="F45" s="20" t="n">
        <v>1.43748778</v>
      </c>
      <c r="G45" s="18" t="n">
        <v>20.14192512</v>
      </c>
      <c r="H45" s="20" t="n">
        <v>1.51515182</v>
      </c>
      <c r="I45" s="18" t="n">
        <v>0</v>
      </c>
      <c r="J45" s="20" t="n">
        <v>0</v>
      </c>
      <c r="K45" s="18" t="n">
        <v>6.08802282</v>
      </c>
      <c r="L45" s="20" t="n">
        <v>0.7519954</v>
      </c>
      <c r="M45" s="18" t="n">
        <v>3.42178092</v>
      </c>
      <c r="N45" s="20" t="n">
        <v>0.5824920099999999</v>
      </c>
      <c r="O45" s="18" t="n">
        <v>0.35810784</v>
      </c>
      <c r="P45" s="20" t="n">
        <v>0.18196368</v>
      </c>
      <c r="Q45" s="18" t="s">
        <v>349</v>
      </c>
      <c r="R45" s="20" t="s">
        <v>349</v>
      </c>
      <c r="S45" s="18" t="n">
        <v>21.74543579</v>
      </c>
      <c r="T45" s="20" t="n">
        <v>1.69334963</v>
      </c>
      <c r="U45" s="18" t="n">
        <v>0.29123124</v>
      </c>
      <c r="V45" s="20" t="n">
        <v>0.17915634</v>
      </c>
      <c r="W45" s="18" t="n">
        <v>0.6148045600000001</v>
      </c>
      <c r="X45" s="20" t="n">
        <v>0.26155623</v>
      </c>
      <c r="Y45" s="18" t="n">
        <v>28.93488736</v>
      </c>
      <c r="Z45" s="20" t="n">
        <v>1.52286955</v>
      </c>
    </row>
    <row r="46" spans="1:26">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c r="Y46" s="18" t="s">
        <v>349</v>
      </c>
      <c r="Z46" s="20" t="s">
        <v>349</v>
      </c>
    </row>
    <row r="47" spans="1:26">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c r="Y47" s="18" t="s">
        <v>349</v>
      </c>
      <c r="Z47" s="20" t="s">
        <v>349</v>
      </c>
    </row>
    <row r="48" spans="1:26">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c r="Y48" s="18" t="s">
        <v>349</v>
      </c>
      <c r="Z48" s="20" t="s">
        <v>349</v>
      </c>
    </row>
    <row r="49" spans="1:26">
      <c r="A49" s="15" t="s">
        <v>391</v>
      </c>
      <c r="B49" s="17" t="n">
        <v>6349</v>
      </c>
      <c r="C49" s="18">
        <f>(5298.0/B49*100)</f>
        <v/>
      </c>
      <c r="D49" s="19" t="n">
        <v>1051</v>
      </c>
      <c r="E49" s="18" t="n">
        <v>38.53085809</v>
      </c>
      <c r="F49" s="20" t="n">
        <v>1.87325793</v>
      </c>
      <c r="G49" s="18" t="n">
        <v>15.79802158</v>
      </c>
      <c r="H49" s="20" t="n">
        <v>1.33765251</v>
      </c>
      <c r="I49" s="18" t="n">
        <v>0</v>
      </c>
      <c r="J49" s="20" t="n">
        <v>0</v>
      </c>
      <c r="K49" s="18" t="n">
        <v>0.68853487</v>
      </c>
      <c r="L49" s="20" t="n">
        <v>0.25929371</v>
      </c>
      <c r="M49" s="18" t="n">
        <v>1.81271925</v>
      </c>
      <c r="N49" s="20" t="n">
        <v>0.42815397</v>
      </c>
      <c r="O49" s="18" t="n">
        <v>1.419768</v>
      </c>
      <c r="P49" s="20" t="n">
        <v>0.42383774</v>
      </c>
      <c r="Q49" s="18" t="s">
        <v>349</v>
      </c>
      <c r="R49" s="20" t="s">
        <v>349</v>
      </c>
      <c r="S49" s="18" t="n">
        <v>14.99774263</v>
      </c>
      <c r="T49" s="20" t="n">
        <v>1.46145863</v>
      </c>
      <c r="U49" s="18" t="n">
        <v>0</v>
      </c>
      <c r="V49" s="20" t="n">
        <v>0</v>
      </c>
      <c r="W49" s="18" t="n">
        <v>0</v>
      </c>
      <c r="X49" s="20" t="n">
        <v>0</v>
      </c>
      <c r="Y49" s="18" t="n">
        <v>26.75235558</v>
      </c>
      <c r="Z49" s="20" t="n">
        <v>1.57739511</v>
      </c>
    </row>
    <row r="50" spans="1:26">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c r="Y50" s="18" t="s">
        <v>349</v>
      </c>
      <c r="Z50" s="20" t="s">
        <v>349</v>
      </c>
    </row>
    <row r="51" spans="1:26">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c r="Y51" s="18" t="s">
        <v>349</v>
      </c>
      <c r="Z51" s="20" t="s">
        <v>349</v>
      </c>
    </row>
    <row r="52" spans="1:26">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c r="Y52" s="18" t="s">
        <v>349</v>
      </c>
      <c r="Z52" s="20" t="s">
        <v>349</v>
      </c>
    </row>
    <row r="53" spans="1:26">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c r="Y53" s="18" t="s">
        <v>349</v>
      </c>
      <c r="Z53" s="20" t="s">
        <v>349</v>
      </c>
    </row>
    <row r="54" spans="1:26">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c r="Y54" s="18" t="s">
        <v>349</v>
      </c>
      <c r="Z54" s="20" t="s">
        <v>349</v>
      </c>
    </row>
    <row r="55" spans="1:26">
      <c r="A55" s="15" t="s">
        <v>397</v>
      </c>
      <c r="B55" s="17" t="n">
        <v>5316</v>
      </c>
      <c r="C55" s="18">
        <f>(4435.0/B55*100)</f>
        <v/>
      </c>
      <c r="D55" s="19" t="n">
        <v>881</v>
      </c>
      <c r="E55" s="18" t="n">
        <v>10.1477526</v>
      </c>
      <c r="F55" s="20" t="n">
        <v>1.06337833</v>
      </c>
      <c r="G55" s="18" t="n">
        <v>17.1033997</v>
      </c>
      <c r="H55" s="20" t="n">
        <v>1.38408542</v>
      </c>
      <c r="I55" s="18" t="n">
        <v>0</v>
      </c>
      <c r="J55" s="20" t="n">
        <v>0</v>
      </c>
      <c r="K55" s="18" t="n">
        <v>2.25190035</v>
      </c>
      <c r="L55" s="20" t="n">
        <v>0.52866261</v>
      </c>
      <c r="M55" s="18" t="n">
        <v>4.64821615</v>
      </c>
      <c r="N55" s="20" t="n">
        <v>0.87107387</v>
      </c>
      <c r="O55" s="18" t="n">
        <v>5.18851247</v>
      </c>
      <c r="P55" s="20" t="n">
        <v>0.80492417</v>
      </c>
      <c r="Q55" s="18" t="s">
        <v>349</v>
      </c>
      <c r="R55" s="20" t="s">
        <v>349</v>
      </c>
      <c r="S55" s="18" t="n">
        <v>21.89821901</v>
      </c>
      <c r="T55" s="20" t="n">
        <v>1.49614229</v>
      </c>
      <c r="U55" s="18" t="n">
        <v>0</v>
      </c>
      <c r="V55" s="20" t="n">
        <v>0</v>
      </c>
      <c r="W55" s="18" t="n">
        <v>0</v>
      </c>
      <c r="X55" s="20" t="n">
        <v>0</v>
      </c>
      <c r="Y55" s="18" t="n">
        <v>38.76199971</v>
      </c>
      <c r="Z55" s="20" t="n">
        <v>1.77203316</v>
      </c>
    </row>
    <row r="56" spans="1:26">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c r="Y56" s="18" t="s">
        <v>349</v>
      </c>
      <c r="Z56" s="20" t="s">
        <v>349</v>
      </c>
    </row>
    <row r="57" spans="1:26">
      <c r="A57" s="15" t="s">
        <v>399</v>
      </c>
      <c r="B57" s="17" t="n">
        <v>6513</v>
      </c>
      <c r="C57" s="18">
        <f>(5416.0/B57*100)</f>
        <v/>
      </c>
      <c r="D57" s="19" t="n">
        <v>1097</v>
      </c>
      <c r="E57" s="18" t="n">
        <v>5.72944854</v>
      </c>
      <c r="F57" s="20" t="n">
        <v>0.83380119</v>
      </c>
      <c r="G57" s="18" t="n">
        <v>63.39595356</v>
      </c>
      <c r="H57" s="20" t="n">
        <v>2.07726591</v>
      </c>
      <c r="I57" s="18" t="n">
        <v>0</v>
      </c>
      <c r="J57" s="20" t="n">
        <v>0</v>
      </c>
      <c r="K57" s="18" t="n">
        <v>0.68733905</v>
      </c>
      <c r="L57" s="20" t="n">
        <v>0.27304994</v>
      </c>
      <c r="M57" s="18" t="n">
        <v>0.3861536</v>
      </c>
      <c r="N57" s="20" t="n">
        <v>0.22328654</v>
      </c>
      <c r="O57" s="18" t="n">
        <v>2.14222591</v>
      </c>
      <c r="P57" s="20" t="n">
        <v>0.45091715</v>
      </c>
      <c r="Q57" s="18" t="s">
        <v>349</v>
      </c>
      <c r="R57" s="20" t="s">
        <v>349</v>
      </c>
      <c r="S57" s="18" t="n">
        <v>3.05728113</v>
      </c>
      <c r="T57" s="20" t="n">
        <v>0.53421409</v>
      </c>
      <c r="U57" s="18" t="n">
        <v>0</v>
      </c>
      <c r="V57" s="20" t="n">
        <v>0</v>
      </c>
      <c r="W57" s="18" t="n">
        <v>0</v>
      </c>
      <c r="X57" s="20" t="n">
        <v>0</v>
      </c>
      <c r="Y57" s="18" t="n">
        <v>24.60159821</v>
      </c>
      <c r="Z57" s="20" t="n">
        <v>1.75174712</v>
      </c>
    </row>
    <row r="58" spans="1:26">
      <c r="A58" s="15" t="s">
        <v>400</v>
      </c>
      <c r="B58" s="17" t="n">
        <v>7267</v>
      </c>
      <c r="C58" s="18">
        <f>(6036.0/B58*100)</f>
        <v/>
      </c>
      <c r="D58" s="19" t="n">
        <v>1231</v>
      </c>
      <c r="E58" s="18" t="n">
        <v>16.90788937</v>
      </c>
      <c r="F58" s="20" t="n">
        <v>1.19856338</v>
      </c>
      <c r="G58" s="18" t="n">
        <v>47.68183991</v>
      </c>
      <c r="H58" s="20" t="n">
        <v>2.01431121</v>
      </c>
      <c r="I58" s="18" t="n">
        <v>0</v>
      </c>
      <c r="J58" s="20" t="n">
        <v>0</v>
      </c>
      <c r="K58" s="18" t="n">
        <v>0.3568874</v>
      </c>
      <c r="L58" s="20" t="n">
        <v>0.18572277</v>
      </c>
      <c r="M58" s="18" t="n">
        <v>1.2553595</v>
      </c>
      <c r="N58" s="20" t="n">
        <v>0.47897189</v>
      </c>
      <c r="O58" s="18" t="n">
        <v>0.80319694</v>
      </c>
      <c r="P58" s="20" t="n">
        <v>0.30519657</v>
      </c>
      <c r="Q58" s="18" t="s">
        <v>349</v>
      </c>
      <c r="R58" s="20" t="s">
        <v>349</v>
      </c>
      <c r="S58" s="18" t="n">
        <v>11.88996446</v>
      </c>
      <c r="T58" s="20" t="n">
        <v>1.25988131</v>
      </c>
      <c r="U58" s="18" t="n">
        <v>0</v>
      </c>
      <c r="V58" s="20" t="n">
        <v>0</v>
      </c>
      <c r="W58" s="18" t="n">
        <v>0</v>
      </c>
      <c r="X58" s="20" t="n">
        <v>0</v>
      </c>
      <c r="Y58" s="18" t="n">
        <v>21.10486242</v>
      </c>
      <c r="Z58" s="20" t="n">
        <v>1.52267039</v>
      </c>
    </row>
    <row r="59" spans="1:26">
      <c r="A59" s="15" t="s">
        <v>401</v>
      </c>
      <c r="B59" s="17" t="n">
        <v>4826</v>
      </c>
      <c r="C59" s="18">
        <f>(4028.0/B59*100)</f>
        <v/>
      </c>
      <c r="D59" s="19" t="n">
        <v>798</v>
      </c>
      <c r="E59" s="18" t="n">
        <v>27.26847315</v>
      </c>
      <c r="F59" s="20" t="n">
        <v>1.96583974</v>
      </c>
      <c r="G59" s="18" t="n">
        <v>18.35801957</v>
      </c>
      <c r="H59" s="20" t="n">
        <v>1.37501074</v>
      </c>
      <c r="I59" s="18" t="n">
        <v>0</v>
      </c>
      <c r="J59" s="20" t="n">
        <v>0</v>
      </c>
      <c r="K59" s="18" t="n">
        <v>0</v>
      </c>
      <c r="L59" s="20" t="n">
        <v>0</v>
      </c>
      <c r="M59" s="18" t="n">
        <v>0.11299773</v>
      </c>
      <c r="N59" s="20" t="n">
        <v>0.08150766</v>
      </c>
      <c r="O59" s="18" t="n">
        <v>0.07513450000000001</v>
      </c>
      <c r="P59" s="20" t="n">
        <v>0.07532787000000001</v>
      </c>
      <c r="Q59" s="18" t="s">
        <v>349</v>
      </c>
      <c r="R59" s="20" t="s">
        <v>349</v>
      </c>
      <c r="S59" s="18" t="n">
        <v>11.09524789</v>
      </c>
      <c r="T59" s="20" t="n">
        <v>1.22979756</v>
      </c>
      <c r="U59" s="18" t="n">
        <v>0</v>
      </c>
      <c r="V59" s="20" t="n">
        <v>0</v>
      </c>
      <c r="W59" s="18" t="n">
        <v>0</v>
      </c>
      <c r="X59" s="20" t="n">
        <v>0</v>
      </c>
      <c r="Y59" s="18" t="n">
        <v>43.09012716</v>
      </c>
      <c r="Z59" s="20" t="n">
        <v>1.92584467</v>
      </c>
    </row>
    <row r="60" spans="1:26">
      <c r="A60" s="15" t="s">
        <v>402</v>
      </c>
      <c r="B60" s="17" t="n">
        <v>4546</v>
      </c>
      <c r="C60" s="18">
        <f>(3801.0/B60*100)</f>
        <v/>
      </c>
      <c r="D60" s="19" t="n">
        <v>745</v>
      </c>
      <c r="E60" s="18" t="n">
        <v>17.76168213</v>
      </c>
      <c r="F60" s="20" t="n">
        <v>1.55365641</v>
      </c>
      <c r="G60" s="18" t="n">
        <v>22.15192426</v>
      </c>
      <c r="H60" s="20" t="n">
        <v>1.36598524</v>
      </c>
      <c r="I60" s="18" t="n">
        <v>0</v>
      </c>
      <c r="J60" s="20" t="n">
        <v>0</v>
      </c>
      <c r="K60" s="18" t="n">
        <v>0.86397069</v>
      </c>
      <c r="L60" s="20" t="n">
        <v>0.50112899</v>
      </c>
      <c r="M60" s="18" t="n">
        <v>2.7467575</v>
      </c>
      <c r="N60" s="20" t="n">
        <v>0.68475832</v>
      </c>
      <c r="O60" s="18" t="n">
        <v>4.54436766</v>
      </c>
      <c r="P60" s="20" t="n">
        <v>0.98014959</v>
      </c>
      <c r="Q60" s="18" t="s">
        <v>349</v>
      </c>
      <c r="R60" s="20" t="s">
        <v>349</v>
      </c>
      <c r="S60" s="18" t="n">
        <v>22.66602974</v>
      </c>
      <c r="T60" s="20" t="n">
        <v>1.84869143</v>
      </c>
      <c r="U60" s="18" t="n">
        <v>0</v>
      </c>
      <c r="V60" s="20" t="n">
        <v>0</v>
      </c>
      <c r="W60" s="18" t="n">
        <v>0.96531511</v>
      </c>
      <c r="X60" s="20" t="n">
        <v>0.35691285</v>
      </c>
      <c r="Y60" s="18" t="n">
        <v>28.2999529</v>
      </c>
      <c r="Z60" s="20" t="n">
        <v>2.38612687</v>
      </c>
    </row>
    <row r="61" spans="1:26">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c r="Y61" s="18" t="s">
        <v>349</v>
      </c>
      <c r="Z61" s="20" t="s">
        <v>349</v>
      </c>
    </row>
    <row r="62" spans="1:26">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c r="Y62" s="18" t="s">
        <v>349</v>
      </c>
      <c r="Z62" s="20" t="s">
        <v>349</v>
      </c>
    </row>
    <row r="63" spans="1:26">
      <c r="A63" s="15" t="s">
        <v>405</v>
      </c>
      <c r="B63" s="17" t="n">
        <v>5324</v>
      </c>
      <c r="C63" s="18">
        <f>(4433.0/B63*100)</f>
        <v/>
      </c>
      <c r="D63" s="19" t="n">
        <v>891</v>
      </c>
      <c r="E63" s="18" t="n">
        <v>17.31951584</v>
      </c>
      <c r="F63" s="20" t="n">
        <v>1.42728134</v>
      </c>
      <c r="G63" s="18" t="n">
        <v>13.17814518</v>
      </c>
      <c r="H63" s="20" t="n">
        <v>1.35174494</v>
      </c>
      <c r="I63" s="18" t="n">
        <v>0</v>
      </c>
      <c r="J63" s="20" t="n">
        <v>0</v>
      </c>
      <c r="K63" s="18" t="n">
        <v>0.27914822</v>
      </c>
      <c r="L63" s="20" t="n">
        <v>0.23745897</v>
      </c>
      <c r="M63" s="18" t="n">
        <v>0.67903855</v>
      </c>
      <c r="N63" s="20" t="n">
        <v>0.29880866</v>
      </c>
      <c r="O63" s="18" t="n">
        <v>1.62718447</v>
      </c>
      <c r="P63" s="20" t="n">
        <v>0.48896683</v>
      </c>
      <c r="Q63" s="18" t="s">
        <v>349</v>
      </c>
      <c r="R63" s="20" t="s">
        <v>349</v>
      </c>
      <c r="S63" s="18" t="n">
        <v>17.8775298</v>
      </c>
      <c r="T63" s="20" t="n">
        <v>1.55796403</v>
      </c>
      <c r="U63" s="18" t="n">
        <v>0</v>
      </c>
      <c r="V63" s="20" t="n">
        <v>0</v>
      </c>
      <c r="W63" s="18" t="n">
        <v>0</v>
      </c>
      <c r="X63" s="20" t="n">
        <v>0</v>
      </c>
      <c r="Y63" s="18" t="n">
        <v>49.03943794</v>
      </c>
      <c r="Z63" s="20" t="n">
        <v>1.70555382</v>
      </c>
    </row>
    <row r="64" spans="1:26">
      <c r="A64" s="15" t="s">
        <v>406</v>
      </c>
      <c r="B64" s="17" t="n">
        <v>3634</v>
      </c>
      <c r="C64" s="18">
        <f>(3027.0/B64*100)</f>
        <v/>
      </c>
      <c r="D64" s="19" t="n">
        <v>607</v>
      </c>
      <c r="E64" s="18" t="n">
        <v>47.76195371</v>
      </c>
      <c r="F64" s="20" t="n">
        <v>2.1600055</v>
      </c>
      <c r="G64" s="18" t="n">
        <v>12.91304524</v>
      </c>
      <c r="H64" s="20" t="n">
        <v>1.43840725</v>
      </c>
      <c r="I64" s="18" t="n">
        <v>0</v>
      </c>
      <c r="J64" s="20" t="n">
        <v>0</v>
      </c>
      <c r="K64" s="18" t="n">
        <v>1.24628438</v>
      </c>
      <c r="L64" s="20" t="n">
        <v>0.43948439</v>
      </c>
      <c r="M64" s="18" t="n">
        <v>4.88916573</v>
      </c>
      <c r="N64" s="20" t="n">
        <v>0.84975756</v>
      </c>
      <c r="O64" s="18" t="n">
        <v>3.16689873</v>
      </c>
      <c r="P64" s="20" t="n">
        <v>0.67375005</v>
      </c>
      <c r="Q64" s="18" t="s">
        <v>349</v>
      </c>
      <c r="R64" s="20" t="s">
        <v>349</v>
      </c>
      <c r="S64" s="18" t="n">
        <v>7.76317644</v>
      </c>
      <c r="T64" s="20" t="n">
        <v>1.15883723</v>
      </c>
      <c r="U64" s="18" t="n">
        <v>0</v>
      </c>
      <c r="V64" s="20" t="n">
        <v>0</v>
      </c>
      <c r="W64" s="18" t="n">
        <v>0</v>
      </c>
      <c r="X64" s="20" t="n">
        <v>0</v>
      </c>
      <c r="Y64" s="18" t="n">
        <v>22.25947577</v>
      </c>
      <c r="Z64" s="20" t="n">
        <v>1.74620028</v>
      </c>
    </row>
    <row r="65" spans="1:26">
      <c r="A65" s="15" t="s">
        <v>407</v>
      </c>
      <c r="B65" s="17" t="n">
        <v>5325</v>
      </c>
      <c r="C65" s="18">
        <f>(4419.0/B65*100)</f>
        <v/>
      </c>
      <c r="D65" s="19" t="n">
        <v>906</v>
      </c>
      <c r="E65" s="18" t="n">
        <v>16.21750231</v>
      </c>
      <c r="F65" s="20" t="n">
        <v>1.34207756</v>
      </c>
      <c r="G65" s="18" t="n">
        <v>15.44466938</v>
      </c>
      <c r="H65" s="20" t="n">
        <v>1.35078263</v>
      </c>
      <c r="I65" s="18" t="n">
        <v>0</v>
      </c>
      <c r="J65" s="20" t="n">
        <v>0</v>
      </c>
      <c r="K65" s="18" t="n">
        <v>1.52744413</v>
      </c>
      <c r="L65" s="20" t="n">
        <v>0.57615767</v>
      </c>
      <c r="M65" s="18" t="n">
        <v>2.18172975</v>
      </c>
      <c r="N65" s="20" t="n">
        <v>0.52611075</v>
      </c>
      <c r="O65" s="18" t="n">
        <v>2.50181458</v>
      </c>
      <c r="P65" s="20" t="n">
        <v>0.62109251</v>
      </c>
      <c r="Q65" s="18" t="s">
        <v>349</v>
      </c>
      <c r="R65" s="20" t="s">
        <v>349</v>
      </c>
      <c r="S65" s="18" t="n">
        <v>25.04340057</v>
      </c>
      <c r="T65" s="20" t="n">
        <v>1.52099657</v>
      </c>
      <c r="U65" s="18" t="n">
        <v>0</v>
      </c>
      <c r="V65" s="20" t="n">
        <v>0</v>
      </c>
      <c r="W65" s="18" t="n">
        <v>0</v>
      </c>
      <c r="X65" s="20" t="n">
        <v>0</v>
      </c>
      <c r="Y65" s="18" t="n">
        <v>37.08343927</v>
      </c>
      <c r="Z65" s="20" t="n">
        <v>1.77609898</v>
      </c>
    </row>
    <row r="66" spans="1:26">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c r="Y66" s="18" t="s">
        <v>349</v>
      </c>
      <c r="Z66" s="20" t="s">
        <v>349</v>
      </c>
    </row>
    <row r="67" spans="1:26">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c r="Y67" s="18" t="s">
        <v>349</v>
      </c>
      <c r="Z67" s="20" t="s">
        <v>349</v>
      </c>
    </row>
    <row r="68" spans="1:26">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c r="Y68" s="18" t="s">
        <v>349</v>
      </c>
      <c r="Z68" s="20" t="s">
        <v>349</v>
      </c>
    </row>
    <row r="69" spans="1:26">
      <c r="A69" s="15" t="s">
        <v>411</v>
      </c>
      <c r="B69" s="17" t="n">
        <v>4876</v>
      </c>
      <c r="C69" s="18">
        <f>(4075.0/B69*100)</f>
        <v/>
      </c>
      <c r="D69" s="19" t="n">
        <v>801</v>
      </c>
      <c r="E69" s="18" t="n">
        <v>37.72106206</v>
      </c>
      <c r="F69" s="20" t="n">
        <v>1.65657012</v>
      </c>
      <c r="G69" s="18" t="n">
        <v>45.35303708</v>
      </c>
      <c r="H69" s="20" t="n">
        <v>1.99494089</v>
      </c>
      <c r="I69" s="18" t="n">
        <v>0</v>
      </c>
      <c r="J69" s="20" t="n">
        <v>0</v>
      </c>
      <c r="K69" s="18" t="n">
        <v>4.98065798</v>
      </c>
      <c r="L69" s="20" t="n">
        <v>0.72712572</v>
      </c>
      <c r="M69" s="18" t="n">
        <v>6.19084807</v>
      </c>
      <c r="N69" s="20" t="n">
        <v>0.99867478</v>
      </c>
      <c r="O69" s="18" t="n">
        <v>5.10108842</v>
      </c>
      <c r="P69" s="20" t="n">
        <v>0.9129067199999999</v>
      </c>
      <c r="Q69" s="18" t="s">
        <v>349</v>
      </c>
      <c r="R69" s="20" t="s">
        <v>349</v>
      </c>
      <c r="S69" s="18" t="n">
        <v>0</v>
      </c>
      <c r="T69" s="20" t="n">
        <v>0</v>
      </c>
      <c r="U69" s="18" t="n">
        <v>0</v>
      </c>
      <c r="V69" s="20" t="n">
        <v>0</v>
      </c>
      <c r="W69" s="18" t="n">
        <v>0</v>
      </c>
      <c r="X69" s="20" t="n">
        <v>0</v>
      </c>
      <c r="Y69" s="18" t="n">
        <v>0.65330638</v>
      </c>
      <c r="Z69" s="20" t="n">
        <v>0.27377471</v>
      </c>
    </row>
    <row r="70" spans="1:26">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c r="Y70" s="18" t="s">
        <v>349</v>
      </c>
      <c r="Z70" s="20" t="s">
        <v>349</v>
      </c>
    </row>
    <row r="71" spans="1:26">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c r="Y71" s="18" t="s">
        <v>349</v>
      </c>
      <c r="Z71" s="20" t="s">
        <v>349</v>
      </c>
    </row>
    <row r="72" spans="1:26">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c r="Y72" s="18" t="s">
        <v>349</v>
      </c>
      <c r="Z72" s="20" t="s">
        <v>349</v>
      </c>
    </row>
    <row r="73" spans="1:26">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c r="Y73" s="18" t="s">
        <v>349</v>
      </c>
      <c r="Z73" s="20" t="s">
        <v>349</v>
      </c>
    </row>
    <row r="74" spans="1:26">
      <c r="A74" s="15" t="s">
        <v>416</v>
      </c>
      <c r="B74" s="17" t="n">
        <v>4692</v>
      </c>
      <c r="C74" s="18">
        <f>(3895.0/B74*100)</f>
        <v/>
      </c>
      <c r="D74" s="19" t="n">
        <v>797</v>
      </c>
      <c r="E74" s="18" t="n">
        <v>41.06367881</v>
      </c>
      <c r="F74" s="20" t="n">
        <v>2.16092339</v>
      </c>
      <c r="G74" s="18" t="n">
        <v>8.32893619</v>
      </c>
      <c r="H74" s="20" t="n">
        <v>1.08788658</v>
      </c>
      <c r="I74" s="18" t="n">
        <v>0</v>
      </c>
      <c r="J74" s="20" t="n">
        <v>0</v>
      </c>
      <c r="K74" s="18" t="n">
        <v>0.30436611</v>
      </c>
      <c r="L74" s="20" t="n">
        <v>0.15779511</v>
      </c>
      <c r="M74" s="18" t="n">
        <v>0.63483828</v>
      </c>
      <c r="N74" s="20" t="n">
        <v>0.29954832</v>
      </c>
      <c r="O74" s="18" t="n">
        <v>0.6631747</v>
      </c>
      <c r="P74" s="20" t="n">
        <v>0.27725222</v>
      </c>
      <c r="Q74" s="18" t="s">
        <v>349</v>
      </c>
      <c r="R74" s="20" t="s">
        <v>349</v>
      </c>
      <c r="S74" s="18" t="n">
        <v>19.93119718</v>
      </c>
      <c r="T74" s="20" t="n">
        <v>1.41842773</v>
      </c>
      <c r="U74" s="18" t="n">
        <v>0</v>
      </c>
      <c r="V74" s="20" t="n">
        <v>0</v>
      </c>
      <c r="W74" s="18" t="n">
        <v>0</v>
      </c>
      <c r="X74" s="20" t="n">
        <v>0</v>
      </c>
      <c r="Y74" s="18" t="n">
        <v>29.07380873</v>
      </c>
      <c r="Z74" s="20" t="n">
        <v>1.90520703</v>
      </c>
    </row>
    <row r="75" spans="1:26">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c r="Y75" s="18" t="s">
        <v>349</v>
      </c>
      <c r="Z75" s="20" t="s">
        <v>349</v>
      </c>
    </row>
    <row r="76" spans="1:26">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c r="Y76" s="18" t="s">
        <v>349</v>
      </c>
      <c r="Z76" s="20" t="s">
        <v>349</v>
      </c>
    </row>
    <row r="77" spans="1:26">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c r="Y77" s="18" t="s">
        <v>349</v>
      </c>
      <c r="Z77" s="20" t="s">
        <v>349</v>
      </c>
    </row>
    <row r="78" spans="1:26">
      <c r="A78" s="15" t="s">
        <v>420</v>
      </c>
      <c r="B78" s="17" t="n">
        <v>5826</v>
      </c>
      <c r="C78" s="18">
        <f>(4868.0/B78*100)</f>
        <v/>
      </c>
      <c r="D78" s="19" t="n">
        <v>958</v>
      </c>
      <c r="E78" s="18" t="n">
        <v>35.92607112</v>
      </c>
      <c r="F78" s="20" t="n">
        <v>1.54671823</v>
      </c>
      <c r="G78" s="18" t="n">
        <v>33.29850782</v>
      </c>
      <c r="H78" s="20" t="n">
        <v>1.60348904</v>
      </c>
      <c r="I78" s="18" t="n">
        <v>0</v>
      </c>
      <c r="J78" s="20" t="n">
        <v>0</v>
      </c>
      <c r="K78" s="18" t="n">
        <v>2.72036771</v>
      </c>
      <c r="L78" s="20" t="n">
        <v>0.55255448</v>
      </c>
      <c r="M78" s="18" t="n">
        <v>8.23271725</v>
      </c>
      <c r="N78" s="20" t="n">
        <v>1.08309338</v>
      </c>
      <c r="O78" s="18" t="n">
        <v>9.50671138</v>
      </c>
      <c r="P78" s="20" t="n">
        <v>1.24990043</v>
      </c>
      <c r="Q78" s="18" t="s">
        <v>349</v>
      </c>
      <c r="R78" s="20" t="s">
        <v>349</v>
      </c>
      <c r="S78" s="18" t="n">
        <v>0.30163267</v>
      </c>
      <c r="T78" s="20" t="n">
        <v>0.16504205</v>
      </c>
      <c r="U78" s="18" t="n">
        <v>0</v>
      </c>
      <c r="V78" s="20" t="n">
        <v>0</v>
      </c>
      <c r="W78" s="18" t="n">
        <v>0</v>
      </c>
      <c r="X78" s="20" t="n">
        <v>0</v>
      </c>
      <c r="Y78" s="18" t="n">
        <v>10.01399205</v>
      </c>
      <c r="Z78" s="20" t="n">
        <v>1.01250012</v>
      </c>
    </row>
    <row customHeight="1" ht="25" r="79" spans="1:26">
      <c r="A79" s="15" t="s">
        <v>421</v>
      </c>
      <c r="B79" s="17" t="n">
        <v>1657</v>
      </c>
      <c r="C79" s="18">
        <f>(1377.0/B79*100)</f>
        <v/>
      </c>
      <c r="D79" s="19" t="n">
        <v>280</v>
      </c>
      <c r="E79" s="18" t="n">
        <v>33.34823867</v>
      </c>
      <c r="F79" s="20" t="n">
        <v>2.91279146</v>
      </c>
      <c r="G79" s="18" t="n">
        <v>14.08859276</v>
      </c>
      <c r="H79" s="20" t="n">
        <v>1.8017687</v>
      </c>
      <c r="I79" s="18" t="n">
        <v>0</v>
      </c>
      <c r="J79" s="20" t="n">
        <v>0</v>
      </c>
      <c r="K79" s="18" t="n">
        <v>2.00633801</v>
      </c>
      <c r="L79" s="20" t="n">
        <v>0.85026829</v>
      </c>
      <c r="M79" s="18" t="n">
        <v>4.11033716</v>
      </c>
      <c r="N79" s="20" t="n">
        <v>1.27723786</v>
      </c>
      <c r="O79" s="18" t="n">
        <v>3.09107677</v>
      </c>
      <c r="P79" s="20" t="n">
        <v>0.98637489</v>
      </c>
      <c r="Q79" s="18" t="s">
        <v>349</v>
      </c>
      <c r="R79" s="20" t="s">
        <v>349</v>
      </c>
      <c r="S79" s="18" t="n">
        <v>16.5971861</v>
      </c>
      <c r="T79" s="20" t="n">
        <v>2.41447606</v>
      </c>
      <c r="U79" s="18" t="n">
        <v>0</v>
      </c>
      <c r="V79" s="20" t="n">
        <v>0</v>
      </c>
      <c r="W79" s="18" t="n">
        <v>0</v>
      </c>
      <c r="X79" s="20" t="n">
        <v>0</v>
      </c>
      <c r="Y79" s="18" t="n">
        <v>26.75823053</v>
      </c>
      <c r="Z79" s="20" t="n">
        <v>2.99552176</v>
      </c>
    </row>
    <row r="80" spans="1:26">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c r="Y80" s="18" t="s">
        <v>349</v>
      </c>
      <c r="Z80" s="20" t="s">
        <v>349</v>
      </c>
    </row>
    <row r="81" spans="1:26">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c r="Y81" s="18" t="s">
        <v>349</v>
      </c>
      <c r="Z81" s="20" t="s">
        <v>349</v>
      </c>
    </row>
    <row r="82" spans="1:26">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c r="Y82" s="22" t="s">
        <v>424</v>
      </c>
      <c r="Z82" s="22" t="s">
        <v>424</v>
      </c>
    </row>
    <row r="83" spans="1:26">
      <c r="A83" s="3" t="s">
        <v>425</v>
      </c>
    </row>
    <row r="84" spans="1:26">
      <c r="A84" s="23" t="s">
        <v>426</v>
      </c>
    </row>
    <row r="85" spans="1:26">
      <c r="A85" s="23" t="s">
        <v>427</v>
      </c>
    </row>
    <row customHeight="1" ht="30" r="86" spans="1:26">
      <c r="A86" s="23" t="s">
        <v>428</v>
      </c>
    </row>
    <row customHeight="1" ht="30" r="87" spans="1:26">
      <c r="A87" s="23" t="s">
        <v>424</v>
      </c>
    </row>
    <row customHeight="1" ht="30" r="88" spans="1:26">
      <c r="A88" s="23" t="s">
        <v>429</v>
      </c>
    </row>
    <row customHeight="1" ht="30" r="89" spans="1:26">
      <c r="A89" s="23" t="s">
        <v>430</v>
      </c>
    </row>
    <row customHeight="1" ht="30" r="90" spans="1:26">
      <c r="A90" s="23" t="s">
        <v>431</v>
      </c>
    </row>
    <row customHeight="1" ht="30" r="91" spans="1:26">
      <c r="A91" s="23" t="s">
        <v>432</v>
      </c>
    </row>
    <row customHeight="1" ht="30" r="92" spans="1:26">
      <c r="A92" s="23" t="s">
        <v>433</v>
      </c>
    </row>
    <row customHeight="1" ht="30" r="93" spans="1:26">
      <c r="A93" s="23" t="s">
        <v>434</v>
      </c>
    </row>
    <row customHeight="1" ht="30" r="94" spans="1:26">
      <c r="A94" s="23" t="s">
        <v>435</v>
      </c>
    </row>
    <row customHeight="1" ht="30" r="95" spans="1:26">
      <c r="A95" s="23" t="s">
        <v>436</v>
      </c>
    </row>
    <row customHeight="1" ht="30" r="96" spans="1:26">
      <c r="A96" s="23" t="s">
        <v>437</v>
      </c>
    </row>
  </sheetData>
  <mergeCells count="26">
    <mergeCell ref="E4:F4"/>
    <mergeCell ref="G4:H4"/>
    <mergeCell ref="I4:J4"/>
    <mergeCell ref="K4:L4"/>
    <mergeCell ref="M4:N4"/>
    <mergeCell ref="O4:P4"/>
    <mergeCell ref="Q4:R4"/>
    <mergeCell ref="S4:T4"/>
    <mergeCell ref="U4:V4"/>
    <mergeCell ref="W4:X4"/>
    <mergeCell ref="Y4:Z4"/>
    <mergeCell ref="A1:Z1"/>
    <mergeCell ref="A2:Z2"/>
    <mergeCell ref="A84:Z84"/>
    <mergeCell ref="A85:Z85"/>
    <mergeCell ref="A86:Z86"/>
    <mergeCell ref="A87:Z87"/>
    <mergeCell ref="A88:Z88"/>
    <mergeCell ref="A89:Z89"/>
    <mergeCell ref="A90:Z90"/>
    <mergeCell ref="A91:Z91"/>
    <mergeCell ref="A92:Z92"/>
    <mergeCell ref="A93:Z93"/>
    <mergeCell ref="A94:Z94"/>
    <mergeCell ref="A95:Z95"/>
    <mergeCell ref="A96:Z96"/>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(4332.0/B44*100)</f>
        <v/>
      </c>
      <c r="D44" s="19" t="n">
        <v>883</v>
      </c>
      <c r="E44" s="18" t="n">
        <v>52.20774074</v>
      </c>
      <c r="F44" s="20" t="n">
        <v>2.08738098</v>
      </c>
      <c r="G44" s="18" t="n">
        <v>15.63968634</v>
      </c>
      <c r="H44" s="20" t="n">
        <v>1.40046304</v>
      </c>
      <c r="I44" s="18" t="s">
        <v>349</v>
      </c>
      <c r="J44" s="20" t="s">
        <v>349</v>
      </c>
      <c r="K44" s="18" t="n">
        <v>31.22427902</v>
      </c>
      <c r="L44" s="20" t="n">
        <v>1.92271083</v>
      </c>
      <c r="M44" s="18" t="n">
        <v>0</v>
      </c>
      <c r="N44" s="20" t="n">
        <v>0</v>
      </c>
      <c r="O44" s="18" t="n">
        <v>0.9282939</v>
      </c>
      <c r="P44" s="20" t="n">
        <v>0.36870545</v>
      </c>
      <c r="Q44" s="18" t="n">
        <v>0</v>
      </c>
      <c r="R44" s="20" t="n">
        <v>0</v>
      </c>
    </row>
    <row r="45" spans="1:18">
      <c r="A45" s="15" t="s">
        <v>387</v>
      </c>
      <c r="B45" s="17" t="n">
        <v>5519</v>
      </c>
      <c r="C45" s="18">
        <f>(4611.0/B45*100)</f>
        <v/>
      </c>
      <c r="D45" s="19" t="n">
        <v>908</v>
      </c>
      <c r="E45" s="18" t="n">
        <v>63.1629899</v>
      </c>
      <c r="F45" s="20" t="n">
        <v>1.83557103</v>
      </c>
      <c r="G45" s="18" t="n">
        <v>2.52147963</v>
      </c>
      <c r="H45" s="20" t="n">
        <v>0.52020359</v>
      </c>
      <c r="I45" s="18" t="s">
        <v>349</v>
      </c>
      <c r="J45" s="20" t="s">
        <v>349</v>
      </c>
      <c r="K45" s="18" t="n">
        <v>27.60106424</v>
      </c>
      <c r="L45" s="20" t="n">
        <v>1.79663238</v>
      </c>
      <c r="M45" s="18" t="n">
        <v>2.45133312</v>
      </c>
      <c r="N45" s="20" t="n">
        <v>0.68032108</v>
      </c>
      <c r="O45" s="18" t="n">
        <v>4.26313312</v>
      </c>
      <c r="P45" s="20" t="n">
        <v>0.64946087</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(5298.0/B49*100)</f>
        <v/>
      </c>
      <c r="D49" s="19" t="n">
        <v>1051</v>
      </c>
      <c r="E49" s="18" t="n">
        <v>65.89137907999999</v>
      </c>
      <c r="F49" s="20" t="n">
        <v>1.68254431</v>
      </c>
      <c r="G49" s="18" t="n">
        <v>18.0109573</v>
      </c>
      <c r="H49" s="20" t="n">
        <v>1.49595087</v>
      </c>
      <c r="I49" s="18" t="s">
        <v>349</v>
      </c>
      <c r="J49" s="20" t="s">
        <v>349</v>
      </c>
      <c r="K49" s="18" t="n">
        <v>15.98473752</v>
      </c>
      <c r="L49" s="20" t="n">
        <v>1.53828697</v>
      </c>
      <c r="M49" s="18" t="n">
        <v>0</v>
      </c>
      <c r="N49" s="20" t="n">
        <v>0</v>
      </c>
      <c r="O49" s="18" t="n">
        <v>0.11292609</v>
      </c>
      <c r="P49" s="20" t="n">
        <v>0.11140347</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(4435.0/B55*100)</f>
        <v/>
      </c>
      <c r="D55" s="19" t="n">
        <v>881</v>
      </c>
      <c r="E55" s="18" t="n">
        <v>58.01382724</v>
      </c>
      <c r="F55" s="20" t="n">
        <v>1.60415243</v>
      </c>
      <c r="G55" s="18" t="n">
        <v>15.06683025</v>
      </c>
      <c r="H55" s="20" t="n">
        <v>1.08872677</v>
      </c>
      <c r="I55" s="18" t="s">
        <v>349</v>
      </c>
      <c r="J55" s="20" t="s">
        <v>349</v>
      </c>
      <c r="K55" s="18" t="n">
        <v>24.15504052</v>
      </c>
      <c r="L55" s="20" t="n">
        <v>1.52905665</v>
      </c>
      <c r="M55" s="18" t="n">
        <v>0</v>
      </c>
      <c r="N55" s="20" t="n">
        <v>0</v>
      </c>
      <c r="O55" s="18" t="n">
        <v>2.76430199</v>
      </c>
      <c r="P55" s="20" t="n">
        <v>0.5768938</v>
      </c>
      <c r="Q55" s="18" t="n">
        <v>0</v>
      </c>
      <c r="R55" s="20" t="n">
        <v>0</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(6036.0/B58*100)</f>
        <v/>
      </c>
      <c r="D58" s="19" t="n">
        <v>1231</v>
      </c>
      <c r="E58" s="18" t="n">
        <v>71.62957846</v>
      </c>
      <c r="F58" s="20" t="n">
        <v>1.68677331</v>
      </c>
      <c r="G58" s="18" t="n">
        <v>11.55170249</v>
      </c>
      <c r="H58" s="20" t="n">
        <v>1.21395688</v>
      </c>
      <c r="I58" s="18" t="s">
        <v>349</v>
      </c>
      <c r="J58" s="20" t="s">
        <v>349</v>
      </c>
      <c r="K58" s="18" t="n">
        <v>13.72597961</v>
      </c>
      <c r="L58" s="20" t="n">
        <v>1.44184504</v>
      </c>
      <c r="M58" s="18" t="n">
        <v>0</v>
      </c>
      <c r="N58" s="20" t="n">
        <v>0</v>
      </c>
      <c r="O58" s="18" t="n">
        <v>3.09273944</v>
      </c>
      <c r="P58" s="20" t="n">
        <v>0.5326151</v>
      </c>
      <c r="Q58" s="18" t="n">
        <v>0</v>
      </c>
      <c r="R58" s="20" t="n">
        <v>0</v>
      </c>
    </row>
    <row r="59" spans="1:18">
      <c r="A59" s="15" t="s">
        <v>401</v>
      </c>
      <c r="B59" s="17" t="n">
        <v>4826</v>
      </c>
      <c r="C59" s="18">
        <f>(4028.0/B59*100)</f>
        <v/>
      </c>
      <c r="D59" s="19" t="n">
        <v>798</v>
      </c>
      <c r="E59" s="18" t="n">
        <v>72.88573237</v>
      </c>
      <c r="F59" s="20" t="n">
        <v>2.16086978</v>
      </c>
      <c r="G59" s="18" t="n">
        <v>14.3680727</v>
      </c>
      <c r="H59" s="20" t="n">
        <v>1.69363153</v>
      </c>
      <c r="I59" s="18" t="s">
        <v>349</v>
      </c>
      <c r="J59" s="20" t="s">
        <v>349</v>
      </c>
      <c r="K59" s="18" t="n">
        <v>11.46504139</v>
      </c>
      <c r="L59" s="20" t="n">
        <v>1.24584361</v>
      </c>
      <c r="M59" s="18" t="n">
        <v>0.23767029</v>
      </c>
      <c r="N59" s="20" t="n">
        <v>0.16619119</v>
      </c>
      <c r="O59" s="18" t="n">
        <v>1.04348325</v>
      </c>
      <c r="P59" s="20" t="n">
        <v>0.38207502</v>
      </c>
      <c r="Q59" s="18" t="n">
        <v>0</v>
      </c>
      <c r="R59" s="20" t="n">
        <v>0</v>
      </c>
    </row>
    <row r="60" spans="1:18">
      <c r="A60" s="15" t="s">
        <v>402</v>
      </c>
      <c r="B60" s="17" t="n">
        <v>4546</v>
      </c>
      <c r="C60" s="18">
        <f>(3801.0/B60*100)</f>
        <v/>
      </c>
      <c r="D60" s="19" t="n">
        <v>745</v>
      </c>
      <c r="E60" s="18" t="n">
        <v>52.95445451</v>
      </c>
      <c r="F60" s="20" t="n">
        <v>2.11800799</v>
      </c>
      <c r="G60" s="18" t="n">
        <v>13.288951</v>
      </c>
      <c r="H60" s="20" t="n">
        <v>1.37296709</v>
      </c>
      <c r="I60" s="18" t="s">
        <v>349</v>
      </c>
      <c r="J60" s="20" t="s">
        <v>349</v>
      </c>
      <c r="K60" s="18" t="n">
        <v>29.61698374</v>
      </c>
      <c r="L60" s="20" t="n">
        <v>2.01846318</v>
      </c>
      <c r="M60" s="18" t="n">
        <v>0</v>
      </c>
      <c r="N60" s="20" t="n">
        <v>0</v>
      </c>
      <c r="O60" s="18" t="n">
        <v>4.13961075</v>
      </c>
      <c r="P60" s="20" t="n">
        <v>0.96750872</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(4433.0/B63*100)</f>
        <v/>
      </c>
      <c r="D63" s="19" t="n">
        <v>891</v>
      </c>
      <c r="E63" s="18" t="n">
        <v>64.72531213000001</v>
      </c>
      <c r="F63" s="20" t="n">
        <v>1.63468585</v>
      </c>
      <c r="G63" s="18" t="n">
        <v>15.38200157</v>
      </c>
      <c r="H63" s="20" t="n">
        <v>1.24532331</v>
      </c>
      <c r="I63" s="18" t="s">
        <v>349</v>
      </c>
      <c r="J63" s="20" t="s">
        <v>349</v>
      </c>
      <c r="K63" s="18" t="n">
        <v>19.43986533</v>
      </c>
      <c r="L63" s="20" t="n">
        <v>1.55301898</v>
      </c>
      <c r="M63" s="18" t="n">
        <v>0</v>
      </c>
      <c r="N63" s="20" t="n">
        <v>0</v>
      </c>
      <c r="O63" s="18" t="n">
        <v>0.45282097</v>
      </c>
      <c r="P63" s="20" t="n">
        <v>0.23120242</v>
      </c>
      <c r="Q63" s="18" t="n">
        <v>0</v>
      </c>
      <c r="R63" s="20" t="n">
        <v>0</v>
      </c>
    </row>
    <row r="64" spans="1:18">
      <c r="A64" s="15" t="s">
        <v>406</v>
      </c>
      <c r="B64" s="17" t="n">
        <v>3634</v>
      </c>
      <c r="C64" s="18">
        <f>(3027.0/B64*100)</f>
        <v/>
      </c>
      <c r="D64" s="19" t="n">
        <v>607</v>
      </c>
      <c r="E64" s="18" t="n">
        <v>56.48326344</v>
      </c>
      <c r="F64" s="20" t="n">
        <v>2.10491902</v>
      </c>
      <c r="G64" s="18" t="n">
        <v>31.40513607</v>
      </c>
      <c r="H64" s="20" t="n">
        <v>1.97592716</v>
      </c>
      <c r="I64" s="18" t="s">
        <v>349</v>
      </c>
      <c r="J64" s="20" t="s">
        <v>349</v>
      </c>
      <c r="K64" s="18" t="n">
        <v>10.3861072</v>
      </c>
      <c r="L64" s="20" t="n">
        <v>1.33970185</v>
      </c>
      <c r="M64" s="18" t="n">
        <v>0.17555957</v>
      </c>
      <c r="N64" s="20" t="n">
        <v>0.12702926</v>
      </c>
      <c r="O64" s="18" t="n">
        <v>1.54993373</v>
      </c>
      <c r="P64" s="20" t="n">
        <v>0.5032112</v>
      </c>
      <c r="Q64" s="18" t="n">
        <v>0</v>
      </c>
      <c r="R64" s="20" t="n">
        <v>0</v>
      </c>
    </row>
    <row r="65" spans="1:18">
      <c r="A65" s="15" t="s">
        <v>407</v>
      </c>
      <c r="B65" s="17" t="n">
        <v>5325</v>
      </c>
      <c r="C65" s="18">
        <f>(4419.0/B65*100)</f>
        <v/>
      </c>
      <c r="D65" s="19" t="n">
        <v>906</v>
      </c>
      <c r="E65" s="18" t="n">
        <v>52.30664656</v>
      </c>
      <c r="F65" s="20" t="n">
        <v>1.80026988</v>
      </c>
      <c r="G65" s="18" t="n">
        <v>19.62816387</v>
      </c>
      <c r="H65" s="20" t="n">
        <v>1.69149549</v>
      </c>
      <c r="I65" s="18" t="s">
        <v>349</v>
      </c>
      <c r="J65" s="20" t="s">
        <v>349</v>
      </c>
      <c r="K65" s="18" t="n">
        <v>27.04188656</v>
      </c>
      <c r="L65" s="20" t="n">
        <v>1.57629799</v>
      </c>
      <c r="M65" s="18" t="n">
        <v>1.02330302</v>
      </c>
      <c r="N65" s="20" t="n">
        <v>0.45742277</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(4075.0/B69*100)</f>
        <v/>
      </c>
      <c r="D69" s="19" t="n">
        <v>801</v>
      </c>
      <c r="E69" s="18" t="n">
        <v>80.56847836</v>
      </c>
      <c r="F69" s="20" t="n">
        <v>1.45602787</v>
      </c>
      <c r="G69" s="18" t="n">
        <v>14.82137861</v>
      </c>
      <c r="H69" s="20" t="n">
        <v>1.3356984</v>
      </c>
      <c r="I69" s="18" t="s">
        <v>349</v>
      </c>
      <c r="J69" s="20" t="s">
        <v>349</v>
      </c>
      <c r="K69" s="18" t="n">
        <v>4.51382457</v>
      </c>
      <c r="L69" s="20" t="n">
        <v>0.69496349</v>
      </c>
      <c r="M69" s="18" t="n">
        <v>0</v>
      </c>
      <c r="N69" s="20" t="n">
        <v>0</v>
      </c>
      <c r="O69" s="18" t="n">
        <v>0.09631845999999999</v>
      </c>
      <c r="P69" s="20" t="n">
        <v>0.09657830000000001</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(3895.0/B74*100)</f>
        <v/>
      </c>
      <c r="D74" s="19" t="n">
        <v>797</v>
      </c>
      <c r="E74" s="18" t="n">
        <v>57.49306036</v>
      </c>
      <c r="F74" s="20" t="n">
        <v>1.61534831</v>
      </c>
      <c r="G74" s="18" t="n">
        <v>18.7852641</v>
      </c>
      <c r="H74" s="20" t="n">
        <v>1.28427834</v>
      </c>
      <c r="I74" s="18" t="s">
        <v>349</v>
      </c>
      <c r="J74" s="20" t="s">
        <v>349</v>
      </c>
      <c r="K74" s="18" t="n">
        <v>23.15912847</v>
      </c>
      <c r="L74" s="20" t="n">
        <v>1.50197758</v>
      </c>
      <c r="M74" s="18" t="n">
        <v>0</v>
      </c>
      <c r="N74" s="20" t="n">
        <v>0</v>
      </c>
      <c r="O74" s="18" t="n">
        <v>0.56254707</v>
      </c>
      <c r="P74" s="20" t="n">
        <v>0.26012612</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(4868.0/B78*100)</f>
        <v/>
      </c>
      <c r="D78" s="19" t="n">
        <v>958</v>
      </c>
      <c r="E78" s="18" t="n">
        <v>69.23942959</v>
      </c>
      <c r="F78" s="20" t="n">
        <v>1.83374031</v>
      </c>
      <c r="G78" s="18" t="n">
        <v>28.40282307</v>
      </c>
      <c r="H78" s="20" t="n">
        <v>1.78285156</v>
      </c>
      <c r="I78" s="18" t="s">
        <v>349</v>
      </c>
      <c r="J78" s="20" t="s">
        <v>349</v>
      </c>
      <c r="K78" s="18" t="n">
        <v>0.30163267</v>
      </c>
      <c r="L78" s="20" t="n">
        <v>0.16504205</v>
      </c>
      <c r="M78" s="18" t="n">
        <v>0.14666477</v>
      </c>
      <c r="N78" s="20" t="n">
        <v>0.14634041</v>
      </c>
      <c r="O78" s="18" t="n">
        <v>1.9094499</v>
      </c>
      <c r="P78" s="20" t="n">
        <v>0.49726567</v>
      </c>
      <c r="Q78" s="18" t="n">
        <v>0</v>
      </c>
      <c r="R78" s="20" t="n">
        <v>0</v>
      </c>
    </row>
    <row customHeight="1" ht="25" r="79" spans="1:18">
      <c r="A79" s="15" t="s">
        <v>421</v>
      </c>
      <c r="B79" s="17" t="n">
        <v>1657</v>
      </c>
      <c r="C79" s="18">
        <f>(1377.0/B79*100)</f>
        <v/>
      </c>
      <c r="D79" s="19" t="n">
        <v>280</v>
      </c>
      <c r="E79" s="18" t="n">
        <v>53.74490055</v>
      </c>
      <c r="F79" s="20" t="n">
        <v>3.04585514</v>
      </c>
      <c r="G79" s="18" t="n">
        <v>26.45415839</v>
      </c>
      <c r="H79" s="20" t="n">
        <v>3.04837714</v>
      </c>
      <c r="I79" s="18" t="s">
        <v>349</v>
      </c>
      <c r="J79" s="20" t="s">
        <v>349</v>
      </c>
      <c r="K79" s="18" t="n">
        <v>19.80094105</v>
      </c>
      <c r="L79" s="20" t="n">
        <v>2.3644601</v>
      </c>
      <c r="M79" s="18" t="n">
        <v>0</v>
      </c>
      <c r="N79" s="20" t="n">
        <v>0</v>
      </c>
      <c r="O79" s="18" t="n">
        <v>0</v>
      </c>
      <c r="P79" s="20" t="n">
        <v>0</v>
      </c>
      <c r="Q79" s="18" t="n">
        <v>0</v>
      </c>
      <c r="R79" s="20" t="n">
        <v>0</v>
      </c>
    </row>
    <row r="80" spans="1:18">
      <c r="A80" s="15" t="s">
        <v>422</v>
      </c>
      <c r="B80" s="17" t="n">
        <v>7841</v>
      </c>
      <c r="C80" s="18">
        <f>(6548.0/B80*100)</f>
        <v/>
      </c>
      <c r="D80" s="19" t="n">
        <v>1293</v>
      </c>
      <c r="E80" s="18" t="n">
        <v>53.72001298</v>
      </c>
      <c r="F80" s="20" t="n">
        <v>2.07165135</v>
      </c>
      <c r="G80" s="18" t="n">
        <v>45.29175308</v>
      </c>
      <c r="H80" s="20" t="n">
        <v>2.07644496</v>
      </c>
      <c r="I80" s="18" t="s">
        <v>349</v>
      </c>
      <c r="J80" s="20" t="s">
        <v>349</v>
      </c>
      <c r="K80" s="18" t="n">
        <v>0.97206465</v>
      </c>
      <c r="L80" s="20" t="n">
        <v>0.32425533</v>
      </c>
      <c r="M80" s="18" t="n">
        <v>0.01616928</v>
      </c>
      <c r="N80" s="20" t="n">
        <v>0.00723618</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50.77446175</v>
      </c>
      <c r="F44" s="20" t="n">
        <v>1.87987382</v>
      </c>
      <c r="G44" s="18" t="n">
        <v>32.94424859</v>
      </c>
      <c r="H44" s="20" t="n">
        <v>1.99485282</v>
      </c>
      <c r="I44" s="18" t="s">
        <v>349</v>
      </c>
      <c r="J44" s="20" t="s">
        <v>349</v>
      </c>
      <c r="K44" s="18" t="n">
        <v>2.58516291</v>
      </c>
      <c r="L44" s="20" t="n">
        <v>0.78149957</v>
      </c>
      <c r="M44" s="18" t="n">
        <v>0</v>
      </c>
      <c r="N44" s="20" t="n">
        <v>0</v>
      </c>
      <c r="O44" s="18" t="n">
        <v>0.20399233</v>
      </c>
      <c r="P44" s="20" t="n">
        <v>0.14824618</v>
      </c>
      <c r="Q44" s="18" t="n">
        <v>13.49213442</v>
      </c>
      <c r="R44" s="20" t="n">
        <v>1.45940137</v>
      </c>
    </row>
    <row r="45" spans="1:18">
      <c r="A45" s="15" t="s">
        <v>387</v>
      </c>
      <c r="B45" s="17" t="n">
        <v>5519</v>
      </c>
      <c r="C45" s="18">
        <f>(4594.0/B45*100)</f>
        <v/>
      </c>
      <c r="D45" s="19" t="n">
        <v>925</v>
      </c>
      <c r="E45" s="18" t="n">
        <v>61.12307324</v>
      </c>
      <c r="F45" s="20" t="n">
        <v>1.90591821</v>
      </c>
      <c r="G45" s="18" t="n">
        <v>21.35015916</v>
      </c>
      <c r="H45" s="20" t="n">
        <v>1.42738671</v>
      </c>
      <c r="I45" s="18" t="s">
        <v>349</v>
      </c>
      <c r="J45" s="20" t="s">
        <v>349</v>
      </c>
      <c r="K45" s="18" t="n">
        <v>5.26044247</v>
      </c>
      <c r="L45" s="20" t="n">
        <v>0.79221371</v>
      </c>
      <c r="M45" s="18" t="n">
        <v>0.68077135</v>
      </c>
      <c r="N45" s="20" t="n">
        <v>0.28205613</v>
      </c>
      <c r="O45" s="18" t="n">
        <v>1.48516659</v>
      </c>
      <c r="P45" s="20" t="n">
        <v>0.55287846</v>
      </c>
      <c r="Q45" s="18" t="n">
        <v>10.10038718</v>
      </c>
      <c r="R45" s="20" t="n">
        <v>1.30677827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48.77553894</v>
      </c>
      <c r="F49" s="20" t="n">
        <v>1.92972845</v>
      </c>
      <c r="G49" s="18" t="n">
        <v>44.05206272</v>
      </c>
      <c r="H49" s="20" t="n">
        <v>1.93262557</v>
      </c>
      <c r="I49" s="18" t="s">
        <v>349</v>
      </c>
      <c r="J49" s="20" t="s">
        <v>349</v>
      </c>
      <c r="K49" s="18" t="n">
        <v>2.33215087</v>
      </c>
      <c r="L49" s="20" t="n">
        <v>0.59393163</v>
      </c>
      <c r="M49" s="18" t="n">
        <v>0</v>
      </c>
      <c r="N49" s="20" t="n">
        <v>0</v>
      </c>
      <c r="O49" s="18" t="n">
        <v>0.35080914</v>
      </c>
      <c r="P49" s="20" t="n">
        <v>0.20302037</v>
      </c>
      <c r="Q49" s="18" t="n">
        <v>4.48943834</v>
      </c>
      <c r="R49" s="20" t="n">
        <v>0.8656378300000001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60.36552383</v>
      </c>
      <c r="F55" s="20" t="n">
        <v>1.95541764</v>
      </c>
      <c r="G55" s="18" t="n">
        <v>32.65416389</v>
      </c>
      <c r="H55" s="20" t="n">
        <v>1.73076282</v>
      </c>
      <c r="I55" s="18" t="s">
        <v>349</v>
      </c>
      <c r="J55" s="20" t="s">
        <v>349</v>
      </c>
      <c r="K55" s="18" t="n">
        <v>1.46549839</v>
      </c>
      <c r="L55" s="20" t="n">
        <v>0.40799164</v>
      </c>
      <c r="M55" s="18" t="n">
        <v>0</v>
      </c>
      <c r="N55" s="20" t="n">
        <v>0</v>
      </c>
      <c r="O55" s="18" t="n">
        <v>0.10481119</v>
      </c>
      <c r="P55" s="20" t="n">
        <v>0.10498494</v>
      </c>
      <c r="Q55" s="18" t="n">
        <v>5.41000269</v>
      </c>
      <c r="R55" s="20" t="n">
        <v>0.82204353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65.95485318999999</v>
      </c>
      <c r="F57" s="20" t="n">
        <v>1.9246341</v>
      </c>
      <c r="G57" s="18" t="n">
        <v>27.90096697</v>
      </c>
      <c r="H57" s="20" t="n">
        <v>1.77306542</v>
      </c>
      <c r="I57" s="18" t="s">
        <v>349</v>
      </c>
      <c r="J57" s="20" t="s">
        <v>349</v>
      </c>
      <c r="K57" s="18" t="n">
        <v>1.52264077</v>
      </c>
      <c r="L57" s="20" t="n">
        <v>0.33772545</v>
      </c>
      <c r="M57" s="18" t="n">
        <v>0.38055689</v>
      </c>
      <c r="N57" s="20" t="n">
        <v>0.2264632</v>
      </c>
      <c r="O57" s="18" t="n">
        <v>0</v>
      </c>
      <c r="P57" s="20" t="n">
        <v>0</v>
      </c>
      <c r="Q57" s="18" t="n">
        <v>4.24098219</v>
      </c>
      <c r="R57" s="20" t="n">
        <v>0.81489801</v>
      </c>
    </row>
    <row r="58" spans="1:18">
      <c r="A58" s="15" t="s">
        <v>400</v>
      </c>
      <c r="B58" s="17" t="n">
        <v>7267</v>
      </c>
      <c r="C58" s="18">
        <f>(6028.0/B58*100)</f>
        <v/>
      </c>
      <c r="D58" s="19" t="n">
        <v>1239</v>
      </c>
      <c r="E58" s="18" t="n">
        <v>61.09948394</v>
      </c>
      <c r="F58" s="20" t="n">
        <v>1.65709773</v>
      </c>
      <c r="G58" s="18" t="n">
        <v>30.14962014</v>
      </c>
      <c r="H58" s="20" t="n">
        <v>1.53208089</v>
      </c>
      <c r="I58" s="18" t="s">
        <v>349</v>
      </c>
      <c r="J58" s="20" t="s">
        <v>349</v>
      </c>
      <c r="K58" s="18" t="n">
        <v>1.65825234</v>
      </c>
      <c r="L58" s="20" t="n">
        <v>0.41465161</v>
      </c>
      <c r="M58" s="18" t="n">
        <v>0</v>
      </c>
      <c r="N58" s="20" t="n">
        <v>0</v>
      </c>
      <c r="O58" s="18" t="n">
        <v>0.9061505399999999</v>
      </c>
      <c r="P58" s="20" t="n">
        <v>0.34211313</v>
      </c>
      <c r="Q58" s="18" t="n">
        <v>6.18649305</v>
      </c>
      <c r="R58" s="20" t="n">
        <v>0.80374987</v>
      </c>
    </row>
    <row r="59" spans="1:18">
      <c r="A59" s="15" t="s">
        <v>401</v>
      </c>
      <c r="B59" s="17" t="n">
        <v>4826</v>
      </c>
      <c r="C59" s="18">
        <f>(4040.0/B59*100)</f>
        <v/>
      </c>
      <c r="D59" s="19" t="n">
        <v>786</v>
      </c>
      <c r="E59" s="18" t="n">
        <v>67.50348364</v>
      </c>
      <c r="F59" s="20" t="n">
        <v>2.00658519</v>
      </c>
      <c r="G59" s="18" t="n">
        <v>28.4329396</v>
      </c>
      <c r="H59" s="20" t="n">
        <v>2.17465416</v>
      </c>
      <c r="I59" s="18" t="s">
        <v>349</v>
      </c>
      <c r="J59" s="20" t="s">
        <v>349</v>
      </c>
      <c r="K59" s="18" t="n">
        <v>0.75927173</v>
      </c>
      <c r="L59" s="20" t="n">
        <v>0.31241513</v>
      </c>
      <c r="M59" s="18" t="n">
        <v>0</v>
      </c>
      <c r="N59" s="20" t="n">
        <v>0</v>
      </c>
      <c r="O59" s="18" t="n">
        <v>0.07745413</v>
      </c>
      <c r="P59" s="20" t="n">
        <v>0.07696160000000001</v>
      </c>
      <c r="Q59" s="18" t="n">
        <v>3.2268509</v>
      </c>
      <c r="R59" s="20" t="n">
        <v>0.64731025</v>
      </c>
    </row>
    <row r="60" spans="1:18">
      <c r="A60" s="15" t="s">
        <v>402</v>
      </c>
      <c r="B60" s="17" t="n">
        <v>4546</v>
      </c>
      <c r="C60" s="18">
        <f>(3788.0/B60*100)</f>
        <v/>
      </c>
      <c r="D60" s="19" t="n">
        <v>758</v>
      </c>
      <c r="E60" s="18" t="n">
        <v>42.63993309</v>
      </c>
      <c r="F60" s="20" t="n">
        <v>2.43857454</v>
      </c>
      <c r="G60" s="18" t="n">
        <v>43.25534249</v>
      </c>
      <c r="H60" s="20" t="n">
        <v>2.06546564</v>
      </c>
      <c r="I60" s="18" t="s">
        <v>349</v>
      </c>
      <c r="J60" s="20" t="s">
        <v>349</v>
      </c>
      <c r="K60" s="18" t="n">
        <v>3.01584913</v>
      </c>
      <c r="L60" s="20" t="n">
        <v>0.67295057</v>
      </c>
      <c r="M60" s="18" t="n">
        <v>0</v>
      </c>
      <c r="N60" s="20" t="n">
        <v>0</v>
      </c>
      <c r="O60" s="18" t="n">
        <v>0.46040821</v>
      </c>
      <c r="P60" s="20" t="n">
        <v>0.33100511</v>
      </c>
      <c r="Q60" s="18" t="n">
        <v>10.62846707</v>
      </c>
      <c r="R60" s="20" t="n">
        <v>1.46711371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60.06909804</v>
      </c>
      <c r="F63" s="20" t="n">
        <v>1.70098483</v>
      </c>
      <c r="G63" s="18" t="n">
        <v>29.58488793</v>
      </c>
      <c r="H63" s="20" t="n">
        <v>1.73268097</v>
      </c>
      <c r="I63" s="18" t="s">
        <v>349</v>
      </c>
      <c r="J63" s="20" t="s">
        <v>349</v>
      </c>
      <c r="K63" s="18" t="n">
        <v>2.09361924</v>
      </c>
      <c r="L63" s="20" t="n">
        <v>0.49074804</v>
      </c>
      <c r="M63" s="18" t="n">
        <v>0</v>
      </c>
      <c r="N63" s="20" t="n">
        <v>0</v>
      </c>
      <c r="O63" s="18" t="n">
        <v>0.15744013</v>
      </c>
      <c r="P63" s="20" t="n">
        <v>0.1578325</v>
      </c>
      <c r="Q63" s="18" t="n">
        <v>8.094954660000001</v>
      </c>
      <c r="R63" s="20" t="n">
        <v>0.86784841</v>
      </c>
    </row>
    <row r="64" spans="1:18">
      <c r="A64" s="15" t="s">
        <v>406</v>
      </c>
      <c r="B64" s="17" t="n">
        <v>3634</v>
      </c>
      <c r="C64" s="18">
        <f>(3031.0/B64*100)</f>
        <v/>
      </c>
      <c r="D64" s="19" t="n">
        <v>603</v>
      </c>
      <c r="E64" s="18" t="n">
        <v>44.92688063</v>
      </c>
      <c r="F64" s="20" t="n">
        <v>1.86714195</v>
      </c>
      <c r="G64" s="18" t="n">
        <v>49.81250898</v>
      </c>
      <c r="H64" s="20" t="n">
        <v>1.74627498</v>
      </c>
      <c r="I64" s="18" t="s">
        <v>349</v>
      </c>
      <c r="J64" s="20" t="s">
        <v>349</v>
      </c>
      <c r="K64" s="18" t="n">
        <v>2.23330488</v>
      </c>
      <c r="L64" s="20" t="n">
        <v>0.66581748</v>
      </c>
      <c r="M64" s="18" t="n">
        <v>0</v>
      </c>
      <c r="N64" s="20" t="n">
        <v>0</v>
      </c>
      <c r="O64" s="18" t="n">
        <v>0.31447433</v>
      </c>
      <c r="P64" s="20" t="n">
        <v>0.2206982</v>
      </c>
      <c r="Q64" s="18" t="n">
        <v>2.71283118</v>
      </c>
      <c r="R64" s="20" t="n">
        <v>0.65194346</v>
      </c>
    </row>
    <row r="65" spans="1:18">
      <c r="A65" s="15" t="s">
        <v>407</v>
      </c>
      <c r="B65" s="17" t="n">
        <v>5325</v>
      </c>
      <c r="C65" s="18">
        <f>(4432.0/B65*100)</f>
        <v/>
      </c>
      <c r="D65" s="19" t="n">
        <v>893</v>
      </c>
      <c r="E65" s="18" t="n">
        <v>44.30047915</v>
      </c>
      <c r="F65" s="20" t="n">
        <v>2.07060049</v>
      </c>
      <c r="G65" s="18" t="n">
        <v>44.72388754</v>
      </c>
      <c r="H65" s="20" t="n">
        <v>1.96707308</v>
      </c>
      <c r="I65" s="18" t="s">
        <v>349</v>
      </c>
      <c r="J65" s="20" t="s">
        <v>349</v>
      </c>
      <c r="K65" s="18" t="n">
        <v>3.57925835</v>
      </c>
      <c r="L65" s="20" t="n">
        <v>0.68747477</v>
      </c>
      <c r="M65" s="18" t="n">
        <v>0.29552053</v>
      </c>
      <c r="N65" s="20" t="n">
        <v>0.1691852</v>
      </c>
      <c r="O65" s="18" t="n">
        <v>0</v>
      </c>
      <c r="P65" s="20" t="n">
        <v>0</v>
      </c>
      <c r="Q65" s="18" t="n">
        <v>7.10085443</v>
      </c>
      <c r="R65" s="20" t="n">
        <v>0.77709627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61.71677331</v>
      </c>
      <c r="F69" s="20" t="n">
        <v>2.0851343</v>
      </c>
      <c r="G69" s="18" t="n">
        <v>38.04614858</v>
      </c>
      <c r="H69" s="20" t="n">
        <v>2.09465026</v>
      </c>
      <c r="I69" s="18" t="s">
        <v>349</v>
      </c>
      <c r="J69" s="20" t="s">
        <v>349</v>
      </c>
      <c r="K69" s="18" t="n">
        <v>0</v>
      </c>
      <c r="L69" s="20" t="n">
        <v>0</v>
      </c>
      <c r="M69" s="18" t="n">
        <v>0</v>
      </c>
      <c r="N69" s="20" t="n">
        <v>0</v>
      </c>
      <c r="O69" s="18" t="n">
        <v>0</v>
      </c>
      <c r="P69" s="20" t="n">
        <v>0</v>
      </c>
      <c r="Q69" s="18" t="n">
        <v>0.23707811</v>
      </c>
      <c r="R69" s="20" t="n">
        <v>0.16820109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51.92969622</v>
      </c>
      <c r="F74" s="20" t="n">
        <v>1.80374725</v>
      </c>
      <c r="G74" s="18" t="n">
        <v>38.76357242</v>
      </c>
      <c r="H74" s="20" t="n">
        <v>1.94003221</v>
      </c>
      <c r="I74" s="18" t="s">
        <v>349</v>
      </c>
      <c r="J74" s="20" t="s">
        <v>349</v>
      </c>
      <c r="K74" s="18" t="n">
        <v>4.30025042</v>
      </c>
      <c r="L74" s="20" t="n">
        <v>0.79070156</v>
      </c>
      <c r="M74" s="18" t="n">
        <v>0</v>
      </c>
      <c r="N74" s="20" t="n">
        <v>0</v>
      </c>
      <c r="O74" s="18" t="n">
        <v>0.12239302</v>
      </c>
      <c r="P74" s="20" t="n">
        <v>0.12320674</v>
      </c>
      <c r="Q74" s="18" t="n">
        <v>4.88408793</v>
      </c>
      <c r="R74" s="20" t="n">
        <v>0.9214167599999999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34.47237584</v>
      </c>
      <c r="F78" s="20" t="n">
        <v>2.05746145</v>
      </c>
      <c r="G78" s="18" t="n">
        <v>65.41008309</v>
      </c>
      <c r="H78" s="20" t="n">
        <v>2.07807616</v>
      </c>
      <c r="I78" s="18" t="s">
        <v>349</v>
      </c>
      <c r="J78" s="20" t="s">
        <v>349</v>
      </c>
      <c r="K78" s="18" t="n">
        <v>0</v>
      </c>
      <c r="L78" s="20" t="n">
        <v>0</v>
      </c>
      <c r="M78" s="18" t="n">
        <v>0</v>
      </c>
      <c r="N78" s="20" t="n">
        <v>0</v>
      </c>
      <c r="O78" s="18" t="n">
        <v>0</v>
      </c>
      <c r="P78" s="20" t="n">
        <v>0</v>
      </c>
      <c r="Q78" s="18" t="n">
        <v>0.11754107</v>
      </c>
      <c r="R78" s="20" t="n">
        <v>0.11777615</v>
      </c>
    </row>
    <row customHeight="1" ht="25" r="79" spans="1:18">
      <c r="A79" s="15" t="s">
        <v>421</v>
      </c>
      <c r="B79" s="17" t="n">
        <v>1657</v>
      </c>
      <c r="C79" s="18">
        <f>(1385.0/B79*100)</f>
        <v/>
      </c>
      <c r="D79" s="19" t="n">
        <v>272</v>
      </c>
      <c r="E79" s="18" t="n">
        <v>46.22278102</v>
      </c>
      <c r="F79" s="20" t="n">
        <v>3.23636859</v>
      </c>
      <c r="G79" s="18" t="n">
        <v>43.43886564</v>
      </c>
      <c r="H79" s="20" t="n">
        <v>2.993413</v>
      </c>
      <c r="I79" s="18" t="s">
        <v>349</v>
      </c>
      <c r="J79" s="20" t="s">
        <v>349</v>
      </c>
      <c r="K79" s="18" t="n">
        <v>4.20547976</v>
      </c>
      <c r="L79" s="20" t="n">
        <v>1.00743707</v>
      </c>
      <c r="M79" s="18" t="n">
        <v>0</v>
      </c>
      <c r="N79" s="20" t="n">
        <v>0</v>
      </c>
      <c r="O79" s="18" t="n">
        <v>0</v>
      </c>
      <c r="P79" s="20" t="n">
        <v>0</v>
      </c>
      <c r="Q79" s="18" t="n">
        <v>6.13287358</v>
      </c>
      <c r="R79" s="20" t="n">
        <v>1.5066082</v>
      </c>
    </row>
    <row r="80" spans="1:18">
      <c r="A80" s="15" t="s">
        <v>422</v>
      </c>
      <c r="B80" s="17" t="n">
        <v>7841</v>
      </c>
      <c r="C80" s="18">
        <f>(6548.0/B80*100)</f>
        <v/>
      </c>
      <c r="D80" s="19" t="n">
        <v>1293</v>
      </c>
      <c r="E80" s="18" t="n">
        <v>56.66567181</v>
      </c>
      <c r="F80" s="20" t="n">
        <v>2.14492185</v>
      </c>
      <c r="G80" s="18" t="n">
        <v>43.05592182</v>
      </c>
      <c r="H80" s="20" t="n">
        <v>2.1476122</v>
      </c>
      <c r="I80" s="18" t="s">
        <v>349</v>
      </c>
      <c r="J80" s="20" t="s">
        <v>349</v>
      </c>
      <c r="K80" s="18" t="n">
        <v>0</v>
      </c>
      <c r="L80" s="20" t="n">
        <v>0</v>
      </c>
      <c r="M80" s="18" t="n">
        <v>0</v>
      </c>
      <c r="N80" s="20" t="n">
        <v>0</v>
      </c>
      <c r="O80" s="18" t="n">
        <v>0</v>
      </c>
      <c r="P80" s="20" t="n">
        <v>0</v>
      </c>
      <c r="Q80" s="18" t="n">
        <v>0.27840637</v>
      </c>
      <c r="R80" s="20" t="n">
        <v>0.15596109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61.23054866</v>
      </c>
      <c r="F44" s="20" t="n">
        <v>2.25354702</v>
      </c>
      <c r="G44" s="18" t="n">
        <v>30.96571974</v>
      </c>
      <c r="H44" s="20" t="n">
        <v>2.2494111</v>
      </c>
      <c r="I44" s="18" t="s">
        <v>349</v>
      </c>
      <c r="J44" s="20" t="s">
        <v>349</v>
      </c>
      <c r="K44" s="18" t="n">
        <v>2.58516291</v>
      </c>
      <c r="L44" s="20" t="n">
        <v>0.78149957</v>
      </c>
      <c r="M44" s="18" t="n">
        <v>0</v>
      </c>
      <c r="N44" s="20" t="n">
        <v>0</v>
      </c>
      <c r="O44" s="18" t="n">
        <v>0</v>
      </c>
      <c r="P44" s="20" t="n">
        <v>0</v>
      </c>
      <c r="Q44" s="18" t="n">
        <v>5.21856869</v>
      </c>
      <c r="R44" s="20" t="n">
        <v>0.89649189</v>
      </c>
    </row>
    <row r="45" spans="1:18">
      <c r="A45" s="15" t="s">
        <v>387</v>
      </c>
      <c r="B45" s="17" t="n">
        <v>5519</v>
      </c>
      <c r="C45" s="18">
        <f>(4594.0/B45*100)</f>
        <v/>
      </c>
      <c r="D45" s="19" t="n">
        <v>925</v>
      </c>
      <c r="E45" s="18" t="n">
        <v>76.94243099000001</v>
      </c>
      <c r="F45" s="20" t="n">
        <v>1.7724562</v>
      </c>
      <c r="G45" s="18" t="n">
        <v>13.94018919</v>
      </c>
      <c r="H45" s="20" t="n">
        <v>1.40868468</v>
      </c>
      <c r="I45" s="18" t="s">
        <v>349</v>
      </c>
      <c r="J45" s="20" t="s">
        <v>349</v>
      </c>
      <c r="K45" s="18" t="n">
        <v>5.26044247</v>
      </c>
      <c r="L45" s="20" t="n">
        <v>0.79221371</v>
      </c>
      <c r="M45" s="18" t="n">
        <v>0</v>
      </c>
      <c r="N45" s="20" t="n">
        <v>0</v>
      </c>
      <c r="O45" s="18" t="n">
        <v>0</v>
      </c>
      <c r="P45" s="20" t="n">
        <v>0</v>
      </c>
      <c r="Q45" s="18" t="n">
        <v>3.85693736</v>
      </c>
      <c r="R45" s="20" t="n">
        <v>0.69282798</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61.46078026</v>
      </c>
      <c r="F49" s="20" t="n">
        <v>1.9712725</v>
      </c>
      <c r="G49" s="18" t="n">
        <v>34.25427892</v>
      </c>
      <c r="H49" s="20" t="n">
        <v>2.07164306</v>
      </c>
      <c r="I49" s="18" t="s">
        <v>349</v>
      </c>
      <c r="J49" s="20" t="s">
        <v>349</v>
      </c>
      <c r="K49" s="18" t="n">
        <v>2.33215087</v>
      </c>
      <c r="L49" s="20" t="n">
        <v>0.59393163</v>
      </c>
      <c r="M49" s="18" t="n">
        <v>0</v>
      </c>
      <c r="N49" s="20" t="n">
        <v>0</v>
      </c>
      <c r="O49" s="18" t="n">
        <v>0</v>
      </c>
      <c r="P49" s="20" t="n">
        <v>0</v>
      </c>
      <c r="Q49" s="18" t="n">
        <v>1.95278995</v>
      </c>
      <c r="R49" s="20" t="n">
        <v>0.41701308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60.83270075</v>
      </c>
      <c r="F55" s="20" t="n">
        <v>2.14688788</v>
      </c>
      <c r="G55" s="18" t="n">
        <v>34.67622071</v>
      </c>
      <c r="H55" s="20" t="n">
        <v>2.06409401</v>
      </c>
      <c r="I55" s="18" t="s">
        <v>349</v>
      </c>
      <c r="J55" s="20" t="s">
        <v>349</v>
      </c>
      <c r="K55" s="18" t="n">
        <v>1.46549839</v>
      </c>
      <c r="L55" s="20" t="n">
        <v>0.40799164</v>
      </c>
      <c r="M55" s="18" t="n">
        <v>0</v>
      </c>
      <c r="N55" s="20" t="n">
        <v>0</v>
      </c>
      <c r="O55" s="18" t="n">
        <v>0.0962981</v>
      </c>
      <c r="P55" s="20" t="n">
        <v>0.09639194</v>
      </c>
      <c r="Q55" s="18" t="n">
        <v>2.92928206</v>
      </c>
      <c r="R55" s="20" t="n">
        <v>0.49100661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73.37019884</v>
      </c>
      <c r="F57" s="20" t="n">
        <v>1.39980671</v>
      </c>
      <c r="G57" s="18" t="n">
        <v>22.8694686</v>
      </c>
      <c r="H57" s="20" t="n">
        <v>1.39635433</v>
      </c>
      <c r="I57" s="18" t="s">
        <v>349</v>
      </c>
      <c r="J57" s="20" t="s">
        <v>349</v>
      </c>
      <c r="K57" s="18" t="n">
        <v>1.74117463</v>
      </c>
      <c r="L57" s="20" t="n">
        <v>0.3954846</v>
      </c>
      <c r="M57" s="18" t="n">
        <v>0.08559637</v>
      </c>
      <c r="N57" s="20" t="n">
        <v>0.08567764999999999</v>
      </c>
      <c r="O57" s="18" t="n">
        <v>0.15519677</v>
      </c>
      <c r="P57" s="20" t="n">
        <v>0.10893889</v>
      </c>
      <c r="Q57" s="18" t="n">
        <v>1.7783648</v>
      </c>
      <c r="R57" s="20" t="n">
        <v>0.45473038</v>
      </c>
    </row>
    <row r="58" spans="1:18">
      <c r="A58" s="15" t="s">
        <v>400</v>
      </c>
      <c r="B58" s="17" t="n">
        <v>7267</v>
      </c>
      <c r="C58" s="18">
        <f>(6028.0/B58*100)</f>
        <v/>
      </c>
      <c r="D58" s="19" t="n">
        <v>1239</v>
      </c>
      <c r="E58" s="18" t="n">
        <v>75.66655281</v>
      </c>
      <c r="F58" s="20" t="n">
        <v>1.52574575</v>
      </c>
      <c r="G58" s="18" t="n">
        <v>19.71971555</v>
      </c>
      <c r="H58" s="20" t="n">
        <v>1.37679956</v>
      </c>
      <c r="I58" s="18" t="s">
        <v>349</v>
      </c>
      <c r="J58" s="20" t="s">
        <v>349</v>
      </c>
      <c r="K58" s="18" t="n">
        <v>1.65825234</v>
      </c>
      <c r="L58" s="20" t="n">
        <v>0.41465161</v>
      </c>
      <c r="M58" s="18" t="n">
        <v>0</v>
      </c>
      <c r="N58" s="20" t="n">
        <v>0</v>
      </c>
      <c r="O58" s="18" t="n">
        <v>0.10824086</v>
      </c>
      <c r="P58" s="20" t="n">
        <v>0.07259881</v>
      </c>
      <c r="Q58" s="18" t="n">
        <v>2.84723844</v>
      </c>
      <c r="R58" s="20" t="n">
        <v>0.59383675</v>
      </c>
    </row>
    <row r="59" spans="1:18">
      <c r="A59" s="15" t="s">
        <v>401</v>
      </c>
      <c r="B59" s="17" t="n">
        <v>4826</v>
      </c>
      <c r="C59" s="18">
        <f>(4040.0/B59*100)</f>
        <v/>
      </c>
      <c r="D59" s="19" t="n">
        <v>786</v>
      </c>
      <c r="E59" s="18" t="n">
        <v>77.11032975000001</v>
      </c>
      <c r="F59" s="20" t="n">
        <v>1.86386595</v>
      </c>
      <c r="G59" s="18" t="n">
        <v>19.28688306</v>
      </c>
      <c r="H59" s="20" t="n">
        <v>1.76772607</v>
      </c>
      <c r="I59" s="18" t="s">
        <v>349</v>
      </c>
      <c r="J59" s="20" t="s">
        <v>349</v>
      </c>
      <c r="K59" s="18" t="n">
        <v>0.75927173</v>
      </c>
      <c r="L59" s="20" t="n">
        <v>0.31241513</v>
      </c>
      <c r="M59" s="18" t="n">
        <v>0</v>
      </c>
      <c r="N59" s="20" t="n">
        <v>0</v>
      </c>
      <c r="O59" s="18" t="n">
        <v>0.03885558</v>
      </c>
      <c r="P59" s="20" t="n">
        <v>0.03875913</v>
      </c>
      <c r="Q59" s="18" t="n">
        <v>2.80465987</v>
      </c>
      <c r="R59" s="20" t="n">
        <v>0.5882044</v>
      </c>
    </row>
    <row r="60" spans="1:18">
      <c r="A60" s="15" t="s">
        <v>402</v>
      </c>
      <c r="B60" s="17" t="n">
        <v>4546</v>
      </c>
      <c r="C60" s="18">
        <f>(3788.0/B60*100)</f>
        <v/>
      </c>
      <c r="D60" s="19" t="n">
        <v>758</v>
      </c>
      <c r="E60" s="18" t="n">
        <v>70.02617677000001</v>
      </c>
      <c r="F60" s="20" t="n">
        <v>1.97357516</v>
      </c>
      <c r="G60" s="18" t="n">
        <v>20.28307748</v>
      </c>
      <c r="H60" s="20" t="n">
        <v>1.71770934</v>
      </c>
      <c r="I60" s="18" t="s">
        <v>349</v>
      </c>
      <c r="J60" s="20" t="s">
        <v>349</v>
      </c>
      <c r="K60" s="18" t="n">
        <v>3.01584913</v>
      </c>
      <c r="L60" s="20" t="n">
        <v>0.67295057</v>
      </c>
      <c r="M60" s="18" t="n">
        <v>0</v>
      </c>
      <c r="N60" s="20" t="n">
        <v>0</v>
      </c>
      <c r="O60" s="18" t="n">
        <v>0.48202619</v>
      </c>
      <c r="P60" s="20" t="n">
        <v>0.25333019</v>
      </c>
      <c r="Q60" s="18" t="n">
        <v>6.19287043</v>
      </c>
      <c r="R60" s="20" t="n">
        <v>0.92340289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67.24218381999999</v>
      </c>
      <c r="F63" s="20" t="n">
        <v>1.52516944</v>
      </c>
      <c r="G63" s="18" t="n">
        <v>25.55192668</v>
      </c>
      <c r="H63" s="20" t="n">
        <v>1.35853248</v>
      </c>
      <c r="I63" s="18" t="s">
        <v>349</v>
      </c>
      <c r="J63" s="20" t="s">
        <v>349</v>
      </c>
      <c r="K63" s="18" t="n">
        <v>2.25364141</v>
      </c>
      <c r="L63" s="20" t="n">
        <v>0.51103784</v>
      </c>
      <c r="M63" s="18" t="n">
        <v>0</v>
      </c>
      <c r="N63" s="20" t="n">
        <v>0</v>
      </c>
      <c r="O63" s="18" t="n">
        <v>0</v>
      </c>
      <c r="P63" s="20" t="n">
        <v>0</v>
      </c>
      <c r="Q63" s="18" t="n">
        <v>4.95224809</v>
      </c>
      <c r="R63" s="20" t="n">
        <v>0.68186182</v>
      </c>
    </row>
    <row r="64" spans="1:18">
      <c r="A64" s="15" t="s">
        <v>406</v>
      </c>
      <c r="B64" s="17" t="n">
        <v>3634</v>
      </c>
      <c r="C64" s="18">
        <f>(3031.0/B64*100)</f>
        <v/>
      </c>
      <c r="D64" s="19" t="n">
        <v>603</v>
      </c>
      <c r="E64" s="18" t="n">
        <v>53.34073526</v>
      </c>
      <c r="F64" s="20" t="n">
        <v>2.05349893</v>
      </c>
      <c r="G64" s="18" t="n">
        <v>43.10367893</v>
      </c>
      <c r="H64" s="20" t="n">
        <v>1.91289506</v>
      </c>
      <c r="I64" s="18" t="s">
        <v>349</v>
      </c>
      <c r="J64" s="20" t="s">
        <v>349</v>
      </c>
      <c r="K64" s="18" t="n">
        <v>2.23330488</v>
      </c>
      <c r="L64" s="20" t="n">
        <v>0.66581748</v>
      </c>
      <c r="M64" s="18" t="n">
        <v>0</v>
      </c>
      <c r="N64" s="20" t="n">
        <v>0</v>
      </c>
      <c r="O64" s="18" t="n">
        <v>0</v>
      </c>
      <c r="P64" s="20" t="n">
        <v>0</v>
      </c>
      <c r="Q64" s="18" t="n">
        <v>1.32228093</v>
      </c>
      <c r="R64" s="20" t="n">
        <v>0.40986592</v>
      </c>
    </row>
    <row r="65" spans="1:18">
      <c r="A65" s="15" t="s">
        <v>407</v>
      </c>
      <c r="B65" s="17" t="n">
        <v>5325</v>
      </c>
      <c r="C65" s="18">
        <f>(4432.0/B65*100)</f>
        <v/>
      </c>
      <c r="D65" s="19" t="n">
        <v>893</v>
      </c>
      <c r="E65" s="18" t="n">
        <v>57.01641063</v>
      </c>
      <c r="F65" s="20" t="n">
        <v>1.80518882</v>
      </c>
      <c r="G65" s="18" t="n">
        <v>36.79215131</v>
      </c>
      <c r="H65" s="20" t="n">
        <v>1.87023288</v>
      </c>
      <c r="I65" s="18" t="s">
        <v>349</v>
      </c>
      <c r="J65" s="20" t="s">
        <v>349</v>
      </c>
      <c r="K65" s="18" t="n">
        <v>3.76203173</v>
      </c>
      <c r="L65" s="20" t="n">
        <v>0.7151390399999999</v>
      </c>
      <c r="M65" s="18" t="n">
        <v>0.08977402</v>
      </c>
      <c r="N65" s="20" t="n">
        <v>0.08819188</v>
      </c>
      <c r="O65" s="18" t="n">
        <v>0</v>
      </c>
      <c r="P65" s="20" t="n">
        <v>0</v>
      </c>
      <c r="Q65" s="18" t="n">
        <v>2.33963232</v>
      </c>
      <c r="R65" s="20" t="n">
        <v>0.4743348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72.01249615</v>
      </c>
      <c r="F69" s="20" t="n">
        <v>1.61279776</v>
      </c>
      <c r="G69" s="18" t="n">
        <v>27.98750385</v>
      </c>
      <c r="H69" s="20" t="n">
        <v>1.61279776</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62.80108723</v>
      </c>
      <c r="F74" s="20" t="n">
        <v>2.0603637</v>
      </c>
      <c r="G74" s="18" t="n">
        <v>29.45875446</v>
      </c>
      <c r="H74" s="20" t="n">
        <v>1.6485667</v>
      </c>
      <c r="I74" s="18" t="s">
        <v>349</v>
      </c>
      <c r="J74" s="20" t="s">
        <v>349</v>
      </c>
      <c r="K74" s="18" t="n">
        <v>4.51874756</v>
      </c>
      <c r="L74" s="20" t="n">
        <v>0.7838144</v>
      </c>
      <c r="M74" s="18" t="n">
        <v>0</v>
      </c>
      <c r="N74" s="20" t="n">
        <v>0</v>
      </c>
      <c r="O74" s="18" t="n">
        <v>0</v>
      </c>
      <c r="P74" s="20" t="n">
        <v>0</v>
      </c>
      <c r="Q74" s="18" t="n">
        <v>3.22141074</v>
      </c>
      <c r="R74" s="20" t="n">
        <v>0.74584797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29.88730403</v>
      </c>
      <c r="F78" s="20" t="n">
        <v>1.82265633</v>
      </c>
      <c r="G78" s="18" t="n">
        <v>70.11269597</v>
      </c>
      <c r="H78" s="20" t="n">
        <v>1.82265633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(1385.0/B79*100)</f>
        <v/>
      </c>
      <c r="D79" s="19" t="n">
        <v>272</v>
      </c>
      <c r="E79" s="18" t="n">
        <v>39.48397544</v>
      </c>
      <c r="F79" s="20" t="n">
        <v>2.89878382</v>
      </c>
      <c r="G79" s="18" t="n">
        <v>54.40693648</v>
      </c>
      <c r="H79" s="20" t="n">
        <v>3.19886603</v>
      </c>
      <c r="I79" s="18" t="s">
        <v>349</v>
      </c>
      <c r="J79" s="20" t="s">
        <v>349</v>
      </c>
      <c r="K79" s="18" t="n">
        <v>4.20547976</v>
      </c>
      <c r="L79" s="20" t="n">
        <v>1.00743707</v>
      </c>
      <c r="M79" s="18" t="n">
        <v>0</v>
      </c>
      <c r="N79" s="20" t="n">
        <v>0</v>
      </c>
      <c r="O79" s="18" t="n">
        <v>0</v>
      </c>
      <c r="P79" s="20" t="n">
        <v>0</v>
      </c>
      <c r="Q79" s="18" t="n">
        <v>1.90360832</v>
      </c>
      <c r="R79" s="20" t="n">
        <v>0.8496965</v>
      </c>
    </row>
    <row r="80" spans="1:18">
      <c r="A80" s="15" t="s">
        <v>422</v>
      </c>
      <c r="B80" s="17" t="n">
        <v>7841</v>
      </c>
      <c r="C80" s="18">
        <f>(6548.0/B80*100)</f>
        <v/>
      </c>
      <c r="D80" s="19" t="n">
        <v>1293</v>
      </c>
      <c r="E80" s="18" t="n">
        <v>52.23499305</v>
      </c>
      <c r="F80" s="20" t="n">
        <v>2.30321731</v>
      </c>
      <c r="G80" s="18" t="n">
        <v>47.67898358</v>
      </c>
      <c r="H80" s="20" t="n">
        <v>2.31413324</v>
      </c>
      <c r="I80" s="18" t="s">
        <v>349</v>
      </c>
      <c r="J80" s="20" t="s">
        <v>349</v>
      </c>
      <c r="K80" s="18" t="n">
        <v>0</v>
      </c>
      <c r="L80" s="20" t="n">
        <v>0</v>
      </c>
      <c r="M80" s="18" t="n">
        <v>0</v>
      </c>
      <c r="N80" s="20" t="n">
        <v>0</v>
      </c>
      <c r="O80" s="18" t="n">
        <v>0</v>
      </c>
      <c r="P80" s="20" t="n">
        <v>0</v>
      </c>
      <c r="Q80" s="18" t="n">
        <v>0.08602338</v>
      </c>
      <c r="R80" s="20" t="n">
        <v>0.06164521</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23.70898641</v>
      </c>
      <c r="F44" s="20" t="n">
        <v>1.70746815</v>
      </c>
      <c r="G44" s="18" t="n">
        <v>44.9813453</v>
      </c>
      <c r="H44" s="20" t="n">
        <v>1.88392387</v>
      </c>
      <c r="I44" s="18" t="s">
        <v>349</v>
      </c>
      <c r="J44" s="20" t="s">
        <v>349</v>
      </c>
      <c r="K44" s="18" t="n">
        <v>2.94853988</v>
      </c>
      <c r="L44" s="20" t="n">
        <v>0.79115887</v>
      </c>
      <c r="M44" s="18" t="n">
        <v>0</v>
      </c>
      <c r="N44" s="20" t="n">
        <v>0</v>
      </c>
      <c r="O44" s="18" t="n">
        <v>0</v>
      </c>
      <c r="P44" s="20" t="n">
        <v>0</v>
      </c>
      <c r="Q44" s="18" t="n">
        <v>28.36112841</v>
      </c>
      <c r="R44" s="20" t="n">
        <v>1.57224256</v>
      </c>
    </row>
    <row r="45" spans="1:18">
      <c r="A45" s="15" t="s">
        <v>387</v>
      </c>
      <c r="B45" s="17" t="n">
        <v>5519</v>
      </c>
      <c r="C45" s="18">
        <f>(4594.0/B45*100)</f>
        <v/>
      </c>
      <c r="D45" s="19" t="n">
        <v>925</v>
      </c>
      <c r="E45" s="18" t="n">
        <v>41.66212229</v>
      </c>
      <c r="F45" s="20" t="n">
        <v>1.7819628</v>
      </c>
      <c r="G45" s="18" t="n">
        <v>22.70128274</v>
      </c>
      <c r="H45" s="20" t="n">
        <v>1.60819099</v>
      </c>
      <c r="I45" s="18" t="s">
        <v>349</v>
      </c>
      <c r="J45" s="20" t="s">
        <v>349</v>
      </c>
      <c r="K45" s="18" t="n">
        <v>5.82955298</v>
      </c>
      <c r="L45" s="20" t="n">
        <v>0.83735184</v>
      </c>
      <c r="M45" s="18" t="n">
        <v>0.28917406</v>
      </c>
      <c r="N45" s="20" t="n">
        <v>0.1723885</v>
      </c>
      <c r="O45" s="18" t="n">
        <v>0.35871641</v>
      </c>
      <c r="P45" s="20" t="n">
        <v>0.20409167</v>
      </c>
      <c r="Q45" s="18" t="n">
        <v>29.15915152</v>
      </c>
      <c r="R45" s="20" t="n">
        <v>1.65894806</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30.81807117</v>
      </c>
      <c r="F49" s="20" t="n">
        <v>1.69842798</v>
      </c>
      <c r="G49" s="18" t="n">
        <v>49.99442271</v>
      </c>
      <c r="H49" s="20" t="n">
        <v>2.13838482</v>
      </c>
      <c r="I49" s="18" t="s">
        <v>349</v>
      </c>
      <c r="J49" s="20" t="s">
        <v>349</v>
      </c>
      <c r="K49" s="18" t="n">
        <v>2.36334912</v>
      </c>
      <c r="L49" s="20" t="n">
        <v>0.5952708799999999</v>
      </c>
      <c r="M49" s="18" t="n">
        <v>0</v>
      </c>
      <c r="N49" s="20" t="n">
        <v>0</v>
      </c>
      <c r="O49" s="18" t="n">
        <v>0</v>
      </c>
      <c r="P49" s="20" t="n">
        <v>0</v>
      </c>
      <c r="Q49" s="18" t="n">
        <v>16.824157</v>
      </c>
      <c r="R49" s="20" t="n">
        <v>1.5407698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19.63253815</v>
      </c>
      <c r="F55" s="20" t="n">
        <v>1.5502028</v>
      </c>
      <c r="G55" s="18" t="n">
        <v>45.23963638</v>
      </c>
      <c r="H55" s="20" t="n">
        <v>2.15499921</v>
      </c>
      <c r="I55" s="18" t="s">
        <v>349</v>
      </c>
      <c r="J55" s="20" t="s">
        <v>349</v>
      </c>
      <c r="K55" s="18" t="n">
        <v>1.74319746</v>
      </c>
      <c r="L55" s="20" t="n">
        <v>0.40983296</v>
      </c>
      <c r="M55" s="18" t="n">
        <v>0.0962981</v>
      </c>
      <c r="N55" s="20" t="n">
        <v>0.09639194</v>
      </c>
      <c r="O55" s="18" t="n">
        <v>0.10533046</v>
      </c>
      <c r="P55" s="20" t="n">
        <v>0.10405932</v>
      </c>
      <c r="Q55" s="18" t="n">
        <v>33.18299945</v>
      </c>
      <c r="R55" s="20" t="n">
        <v>1.71797604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49.9789832</v>
      </c>
      <c r="F57" s="20" t="n">
        <v>1.82976485</v>
      </c>
      <c r="G57" s="18" t="n">
        <v>24.27325072</v>
      </c>
      <c r="H57" s="20" t="n">
        <v>1.51467444</v>
      </c>
      <c r="I57" s="18" t="s">
        <v>349</v>
      </c>
      <c r="J57" s="20" t="s">
        <v>349</v>
      </c>
      <c r="K57" s="18" t="n">
        <v>1.83303416</v>
      </c>
      <c r="L57" s="20" t="n">
        <v>0.40157893</v>
      </c>
      <c r="M57" s="18" t="n">
        <v>0.08559637</v>
      </c>
      <c r="N57" s="20" t="n">
        <v>0.08567764999999999</v>
      </c>
      <c r="O57" s="18" t="n">
        <v>0</v>
      </c>
      <c r="P57" s="20" t="n">
        <v>0</v>
      </c>
      <c r="Q57" s="18" t="n">
        <v>23.82913554</v>
      </c>
      <c r="R57" s="20" t="n">
        <v>1.7978307</v>
      </c>
    </row>
    <row r="58" spans="1:18">
      <c r="A58" s="15" t="s">
        <v>400</v>
      </c>
      <c r="B58" s="17" t="n">
        <v>7267</v>
      </c>
      <c r="C58" s="18">
        <f>(6028.0/B58*100)</f>
        <v/>
      </c>
      <c r="D58" s="19" t="n">
        <v>1239</v>
      </c>
      <c r="E58" s="18" t="n">
        <v>55.4360129</v>
      </c>
      <c r="F58" s="20" t="n">
        <v>1.62518078</v>
      </c>
      <c r="G58" s="18" t="n">
        <v>23.2960519</v>
      </c>
      <c r="H58" s="20" t="n">
        <v>1.23256398</v>
      </c>
      <c r="I58" s="18" t="s">
        <v>349</v>
      </c>
      <c r="J58" s="20" t="s">
        <v>349</v>
      </c>
      <c r="K58" s="18" t="n">
        <v>2.02527502</v>
      </c>
      <c r="L58" s="20" t="n">
        <v>0.45502881</v>
      </c>
      <c r="M58" s="18" t="n">
        <v>0</v>
      </c>
      <c r="N58" s="20" t="n">
        <v>0</v>
      </c>
      <c r="O58" s="18" t="n">
        <v>0</v>
      </c>
      <c r="P58" s="20" t="n">
        <v>0</v>
      </c>
      <c r="Q58" s="18" t="n">
        <v>19.24266018</v>
      </c>
      <c r="R58" s="20" t="n">
        <v>1.47625472</v>
      </c>
    </row>
    <row r="59" spans="1:18">
      <c r="A59" s="15" t="s">
        <v>401</v>
      </c>
      <c r="B59" s="17" t="n">
        <v>4826</v>
      </c>
      <c r="C59" s="18">
        <f>(4040.0/B59*100)</f>
        <v/>
      </c>
      <c r="D59" s="19" t="n">
        <v>786</v>
      </c>
      <c r="E59" s="18" t="n">
        <v>29.80360111</v>
      </c>
      <c r="F59" s="20" t="n">
        <v>2.06309231</v>
      </c>
      <c r="G59" s="18" t="n">
        <v>32.22281367</v>
      </c>
      <c r="H59" s="20" t="n">
        <v>1.96869478</v>
      </c>
      <c r="I59" s="18" t="s">
        <v>349</v>
      </c>
      <c r="J59" s="20" t="s">
        <v>349</v>
      </c>
      <c r="K59" s="18" t="n">
        <v>0.95405157</v>
      </c>
      <c r="L59" s="20" t="n">
        <v>0.34626895</v>
      </c>
      <c r="M59" s="18" t="n">
        <v>0</v>
      </c>
      <c r="N59" s="20" t="n">
        <v>0</v>
      </c>
      <c r="O59" s="18" t="n">
        <v>0</v>
      </c>
      <c r="P59" s="20" t="n">
        <v>0</v>
      </c>
      <c r="Q59" s="18" t="n">
        <v>37.01953365</v>
      </c>
      <c r="R59" s="20" t="n">
        <v>2.14612418</v>
      </c>
    </row>
    <row r="60" spans="1:18">
      <c r="A60" s="15" t="s">
        <v>402</v>
      </c>
      <c r="B60" s="17" t="n">
        <v>4546</v>
      </c>
      <c r="C60" s="18">
        <f>(3788.0/B60*100)</f>
        <v/>
      </c>
      <c r="D60" s="19" t="n">
        <v>758</v>
      </c>
      <c r="E60" s="18" t="n">
        <v>25.57795108</v>
      </c>
      <c r="F60" s="20" t="n">
        <v>1.94705081</v>
      </c>
      <c r="G60" s="18" t="n">
        <v>28.11533331</v>
      </c>
      <c r="H60" s="20" t="n">
        <v>2.24094769</v>
      </c>
      <c r="I60" s="18" t="s">
        <v>349</v>
      </c>
      <c r="J60" s="20" t="s">
        <v>349</v>
      </c>
      <c r="K60" s="18" t="n">
        <v>3.52110447</v>
      </c>
      <c r="L60" s="20" t="n">
        <v>0.66294541</v>
      </c>
      <c r="M60" s="18" t="n">
        <v>0</v>
      </c>
      <c r="N60" s="20" t="n">
        <v>0</v>
      </c>
      <c r="O60" s="18" t="n">
        <v>0.92561682</v>
      </c>
      <c r="P60" s="20" t="n">
        <v>0.34559247</v>
      </c>
      <c r="Q60" s="18" t="n">
        <v>41.85999433</v>
      </c>
      <c r="R60" s="20" t="n">
        <v>2.25322919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19.51340957</v>
      </c>
      <c r="F63" s="20" t="n">
        <v>1.41535465</v>
      </c>
      <c r="G63" s="18" t="n">
        <v>33.62246758</v>
      </c>
      <c r="H63" s="20" t="n">
        <v>1.402274</v>
      </c>
      <c r="I63" s="18" t="s">
        <v>349</v>
      </c>
      <c r="J63" s="20" t="s">
        <v>349</v>
      </c>
      <c r="K63" s="18" t="n">
        <v>2.49520444</v>
      </c>
      <c r="L63" s="20" t="n">
        <v>0.54521495</v>
      </c>
      <c r="M63" s="18" t="n">
        <v>0</v>
      </c>
      <c r="N63" s="20" t="n">
        <v>0</v>
      </c>
      <c r="O63" s="18" t="n">
        <v>0</v>
      </c>
      <c r="P63" s="20" t="n">
        <v>0</v>
      </c>
      <c r="Q63" s="18" t="n">
        <v>44.36891842</v>
      </c>
      <c r="R63" s="20" t="n">
        <v>1.67095889</v>
      </c>
    </row>
    <row r="64" spans="1:18">
      <c r="A64" s="15" t="s">
        <v>406</v>
      </c>
      <c r="B64" s="17" t="n">
        <v>3634</v>
      </c>
      <c r="C64" s="18">
        <f>(3031.0/B64*100)</f>
        <v/>
      </c>
      <c r="D64" s="19" t="n">
        <v>603</v>
      </c>
      <c r="E64" s="18" t="n">
        <v>24.93092064</v>
      </c>
      <c r="F64" s="20" t="n">
        <v>1.94414203</v>
      </c>
      <c r="G64" s="18" t="n">
        <v>57.58236503</v>
      </c>
      <c r="H64" s="20" t="n">
        <v>2.05936385</v>
      </c>
      <c r="I64" s="18" t="s">
        <v>349</v>
      </c>
      <c r="J64" s="20" t="s">
        <v>349</v>
      </c>
      <c r="K64" s="18" t="n">
        <v>2.58317479</v>
      </c>
      <c r="L64" s="20" t="n">
        <v>0.71198909</v>
      </c>
      <c r="M64" s="18" t="n">
        <v>0</v>
      </c>
      <c r="N64" s="20" t="n">
        <v>0</v>
      </c>
      <c r="O64" s="18" t="n">
        <v>0.15402779</v>
      </c>
      <c r="P64" s="20" t="n">
        <v>0.15611355</v>
      </c>
      <c r="Q64" s="18" t="n">
        <v>14.74951175</v>
      </c>
      <c r="R64" s="20" t="n">
        <v>1.68881487</v>
      </c>
    </row>
    <row r="65" spans="1:18">
      <c r="A65" s="15" t="s">
        <v>407</v>
      </c>
      <c r="B65" s="17" t="n">
        <v>5325</v>
      </c>
      <c r="C65" s="18">
        <f>(4432.0/B65*100)</f>
        <v/>
      </c>
      <c r="D65" s="19" t="n">
        <v>893</v>
      </c>
      <c r="E65" s="18" t="n">
        <v>18.26503188</v>
      </c>
      <c r="F65" s="20" t="n">
        <v>1.15846665</v>
      </c>
      <c r="G65" s="18" t="n">
        <v>47.48840708</v>
      </c>
      <c r="H65" s="20" t="n">
        <v>1.81195497</v>
      </c>
      <c r="I65" s="18" t="s">
        <v>349</v>
      </c>
      <c r="J65" s="20" t="s">
        <v>349</v>
      </c>
      <c r="K65" s="18" t="n">
        <v>4.20183334</v>
      </c>
      <c r="L65" s="20" t="n">
        <v>0.74882173</v>
      </c>
      <c r="M65" s="18" t="n">
        <v>0</v>
      </c>
      <c r="N65" s="20" t="n">
        <v>0</v>
      </c>
      <c r="O65" s="18" t="n">
        <v>0</v>
      </c>
      <c r="P65" s="20" t="n">
        <v>0</v>
      </c>
      <c r="Q65" s="18" t="n">
        <v>30.04472769</v>
      </c>
      <c r="R65" s="20" t="n">
        <v>1.54871057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52.73283592</v>
      </c>
      <c r="F69" s="20" t="n">
        <v>2.24943665</v>
      </c>
      <c r="G69" s="18" t="n">
        <v>47.14564061</v>
      </c>
      <c r="H69" s="20" t="n">
        <v>2.25325439</v>
      </c>
      <c r="I69" s="18" t="s">
        <v>349</v>
      </c>
      <c r="J69" s="20" t="s">
        <v>349</v>
      </c>
      <c r="K69" s="18" t="n">
        <v>0</v>
      </c>
      <c r="L69" s="20" t="n">
        <v>0</v>
      </c>
      <c r="M69" s="18" t="n">
        <v>0</v>
      </c>
      <c r="N69" s="20" t="n">
        <v>0</v>
      </c>
      <c r="O69" s="18" t="n">
        <v>0</v>
      </c>
      <c r="P69" s="20" t="n">
        <v>0</v>
      </c>
      <c r="Q69" s="18" t="n">
        <v>0.12152347</v>
      </c>
      <c r="R69" s="20" t="n">
        <v>0.12158695</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32.4206786</v>
      </c>
      <c r="F74" s="20" t="n">
        <v>1.91958612</v>
      </c>
      <c r="G74" s="18" t="n">
        <v>34.85981766</v>
      </c>
      <c r="H74" s="20" t="n">
        <v>1.68592823</v>
      </c>
      <c r="I74" s="18" t="s">
        <v>349</v>
      </c>
      <c r="J74" s="20" t="s">
        <v>349</v>
      </c>
      <c r="K74" s="18" t="n">
        <v>4.66822668</v>
      </c>
      <c r="L74" s="20" t="n">
        <v>0.79338139</v>
      </c>
      <c r="M74" s="18" t="n">
        <v>0</v>
      </c>
      <c r="N74" s="20" t="n">
        <v>0</v>
      </c>
      <c r="O74" s="18" t="n">
        <v>0</v>
      </c>
      <c r="P74" s="20" t="n">
        <v>0</v>
      </c>
      <c r="Q74" s="18" t="n">
        <v>28.05127705</v>
      </c>
      <c r="R74" s="20" t="n">
        <v>1.78748878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31.75576627</v>
      </c>
      <c r="F78" s="20" t="n">
        <v>1.88188981</v>
      </c>
      <c r="G78" s="18" t="n">
        <v>60.10383504</v>
      </c>
      <c r="H78" s="20" t="n">
        <v>2.27141504</v>
      </c>
      <c r="I78" s="18" t="s">
        <v>349</v>
      </c>
      <c r="J78" s="20" t="s">
        <v>349</v>
      </c>
      <c r="K78" s="18" t="n">
        <v>0</v>
      </c>
      <c r="L78" s="20" t="n">
        <v>0</v>
      </c>
      <c r="M78" s="18" t="n">
        <v>0</v>
      </c>
      <c r="N78" s="20" t="n">
        <v>0</v>
      </c>
      <c r="O78" s="18" t="n">
        <v>0</v>
      </c>
      <c r="P78" s="20" t="n">
        <v>0</v>
      </c>
      <c r="Q78" s="18" t="n">
        <v>8.140398680000001</v>
      </c>
      <c r="R78" s="20" t="n">
        <v>1.0677675</v>
      </c>
    </row>
    <row customHeight="1" ht="25" r="79" spans="1:18">
      <c r="A79" s="15" t="s">
        <v>421</v>
      </c>
      <c r="B79" s="17" t="n">
        <v>1657</v>
      </c>
      <c r="C79" s="18">
        <f>(1385.0/B79*100)</f>
        <v/>
      </c>
      <c r="D79" s="19" t="n">
        <v>272</v>
      </c>
      <c r="E79" s="18" t="n">
        <v>19.11093522</v>
      </c>
      <c r="F79" s="20" t="n">
        <v>3.14004016</v>
      </c>
      <c r="G79" s="18" t="n">
        <v>69.30852872</v>
      </c>
      <c r="H79" s="20" t="n">
        <v>3.46786342</v>
      </c>
      <c r="I79" s="18" t="s">
        <v>349</v>
      </c>
      <c r="J79" s="20" t="s">
        <v>349</v>
      </c>
      <c r="K79" s="18" t="n">
        <v>4.58525697</v>
      </c>
      <c r="L79" s="20" t="n">
        <v>1.10456053</v>
      </c>
      <c r="M79" s="18" t="n">
        <v>0</v>
      </c>
      <c r="N79" s="20" t="n">
        <v>0</v>
      </c>
      <c r="O79" s="18" t="n">
        <v>0</v>
      </c>
      <c r="P79" s="20" t="n">
        <v>0</v>
      </c>
      <c r="Q79" s="18" t="n">
        <v>6.9952791</v>
      </c>
      <c r="R79" s="20" t="n">
        <v>1.5692843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549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29.91994433</v>
      </c>
      <c r="F44" s="20" t="n">
        <v>1.92047172</v>
      </c>
      <c r="G44" s="18" t="n">
        <v>62.99768539</v>
      </c>
      <c r="H44" s="20" t="n">
        <v>2.16185968</v>
      </c>
      <c r="I44" s="18" t="s">
        <v>349</v>
      </c>
      <c r="J44" s="20" t="s">
        <v>349</v>
      </c>
      <c r="K44" s="18" t="n">
        <v>3.28323125</v>
      </c>
      <c r="L44" s="20" t="n">
        <v>0.80862198</v>
      </c>
      <c r="M44" s="18" t="n">
        <v>0</v>
      </c>
      <c r="N44" s="20" t="n">
        <v>0</v>
      </c>
      <c r="O44" s="18" t="n">
        <v>0.2092891</v>
      </c>
      <c r="P44" s="20" t="n">
        <v>0.05853752</v>
      </c>
      <c r="Q44" s="18" t="n">
        <v>3.58984993</v>
      </c>
      <c r="R44" s="20" t="n">
        <v>0.7194364600000001</v>
      </c>
    </row>
    <row r="45" spans="1:18">
      <c r="A45" s="15" t="s">
        <v>387</v>
      </c>
      <c r="B45" s="17" t="n">
        <v>5519</v>
      </c>
      <c r="C45" s="18">
        <f>(4594.0/B45*100)</f>
        <v/>
      </c>
      <c r="D45" s="19" t="n">
        <v>925</v>
      </c>
      <c r="E45" s="18" t="n">
        <v>35.98236012</v>
      </c>
      <c r="F45" s="20" t="n">
        <v>1.72948746</v>
      </c>
      <c r="G45" s="18" t="n">
        <v>48.61099154</v>
      </c>
      <c r="H45" s="20" t="n">
        <v>1.66650408</v>
      </c>
      <c r="I45" s="18" t="s">
        <v>349</v>
      </c>
      <c r="J45" s="20" t="s">
        <v>349</v>
      </c>
      <c r="K45" s="18" t="n">
        <v>6.0667895</v>
      </c>
      <c r="L45" s="20" t="n">
        <v>0.87588855</v>
      </c>
      <c r="M45" s="18" t="n">
        <v>1.41506533</v>
      </c>
      <c r="N45" s="20" t="n">
        <v>0.476527</v>
      </c>
      <c r="O45" s="18" t="n">
        <v>3.41875808</v>
      </c>
      <c r="P45" s="20" t="n">
        <v>0.65590394</v>
      </c>
      <c r="Q45" s="18" t="n">
        <v>4.50603543</v>
      </c>
      <c r="R45" s="20" t="n">
        <v>0.8015767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27.2547276</v>
      </c>
      <c r="F49" s="20" t="n">
        <v>1.64148978</v>
      </c>
      <c r="G49" s="18" t="n">
        <v>68.48617287</v>
      </c>
      <c r="H49" s="20" t="n">
        <v>1.7412418</v>
      </c>
      <c r="I49" s="18" t="s">
        <v>349</v>
      </c>
      <c r="J49" s="20" t="s">
        <v>349</v>
      </c>
      <c r="K49" s="18" t="n">
        <v>2.4888529</v>
      </c>
      <c r="L49" s="20" t="n">
        <v>0.60761899</v>
      </c>
      <c r="M49" s="18" t="n">
        <v>0</v>
      </c>
      <c r="N49" s="20" t="n">
        <v>0</v>
      </c>
      <c r="O49" s="18" t="n">
        <v>0.26702019</v>
      </c>
      <c r="P49" s="20" t="n">
        <v>0.19664126</v>
      </c>
      <c r="Q49" s="18" t="n">
        <v>1.50322643</v>
      </c>
      <c r="R49" s="20" t="n">
        <v>0.42369872</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26.04248711</v>
      </c>
      <c r="F55" s="20" t="n">
        <v>1.46466049</v>
      </c>
      <c r="G55" s="18" t="n">
        <v>70.30640638</v>
      </c>
      <c r="H55" s="20" t="n">
        <v>1.57918896</v>
      </c>
      <c r="I55" s="18" t="s">
        <v>349</v>
      </c>
      <c r="J55" s="20" t="s">
        <v>349</v>
      </c>
      <c r="K55" s="18" t="n">
        <v>1.74319746</v>
      </c>
      <c r="L55" s="20" t="n">
        <v>0.40983296</v>
      </c>
      <c r="M55" s="18" t="n">
        <v>0.0962981</v>
      </c>
      <c r="N55" s="20" t="n">
        <v>0.09639194</v>
      </c>
      <c r="O55" s="18" t="n">
        <v>0.20650741</v>
      </c>
      <c r="P55" s="20" t="n">
        <v>0.18078645</v>
      </c>
      <c r="Q55" s="18" t="n">
        <v>1.60510354</v>
      </c>
      <c r="R55" s="20" t="n">
        <v>0.39067772</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39.02458073</v>
      </c>
      <c r="F57" s="20" t="n">
        <v>2.05513718</v>
      </c>
      <c r="G57" s="18" t="n">
        <v>58.27268059</v>
      </c>
      <c r="H57" s="20" t="n">
        <v>2.05570813</v>
      </c>
      <c r="I57" s="18" t="s">
        <v>349</v>
      </c>
      <c r="J57" s="20" t="s">
        <v>349</v>
      </c>
      <c r="K57" s="18" t="n">
        <v>1.83303416</v>
      </c>
      <c r="L57" s="20" t="n">
        <v>0.40157893</v>
      </c>
      <c r="M57" s="18" t="n">
        <v>0.08559637</v>
      </c>
      <c r="N57" s="20" t="n">
        <v>0.08567764999999999</v>
      </c>
      <c r="O57" s="18" t="n">
        <v>0</v>
      </c>
      <c r="P57" s="20" t="n">
        <v>0</v>
      </c>
      <c r="Q57" s="18" t="n">
        <v>0.78410815</v>
      </c>
      <c r="R57" s="20" t="n">
        <v>0.27735364</v>
      </c>
    </row>
    <row r="58" spans="1:18">
      <c r="A58" s="15" t="s">
        <v>400</v>
      </c>
      <c r="B58" s="17" t="n">
        <v>7267</v>
      </c>
      <c r="C58" s="18">
        <f>(6028.0/B58*100)</f>
        <v/>
      </c>
      <c r="D58" s="19" t="n">
        <v>1239</v>
      </c>
      <c r="E58" s="18" t="n">
        <v>31.10224344</v>
      </c>
      <c r="F58" s="20" t="n">
        <v>1.76858792</v>
      </c>
      <c r="G58" s="18" t="n">
        <v>63.55453562</v>
      </c>
      <c r="H58" s="20" t="n">
        <v>1.81701191</v>
      </c>
      <c r="I58" s="18" t="s">
        <v>349</v>
      </c>
      <c r="J58" s="20" t="s">
        <v>349</v>
      </c>
      <c r="K58" s="18" t="n">
        <v>2.10238428</v>
      </c>
      <c r="L58" s="20" t="n">
        <v>0.46088417</v>
      </c>
      <c r="M58" s="18" t="n">
        <v>0</v>
      </c>
      <c r="N58" s="20" t="n">
        <v>0</v>
      </c>
      <c r="O58" s="18" t="n">
        <v>1.26254883</v>
      </c>
      <c r="P58" s="20" t="n">
        <v>0.40401713</v>
      </c>
      <c r="Q58" s="18" t="n">
        <v>1.97828783</v>
      </c>
      <c r="R58" s="20" t="n">
        <v>0.38171921</v>
      </c>
    </row>
    <row r="59" spans="1:18">
      <c r="A59" s="15" t="s">
        <v>401</v>
      </c>
      <c r="B59" s="17" t="n">
        <v>4826</v>
      </c>
      <c r="C59" s="18">
        <f>(4040.0/B59*100)</f>
        <v/>
      </c>
      <c r="D59" s="19" t="n">
        <v>786</v>
      </c>
      <c r="E59" s="18" t="n">
        <v>35.38047579</v>
      </c>
      <c r="F59" s="20" t="n">
        <v>2.26457763</v>
      </c>
      <c r="G59" s="18" t="n">
        <v>61.35869043</v>
      </c>
      <c r="H59" s="20" t="n">
        <v>2.19778346</v>
      </c>
      <c r="I59" s="18" t="s">
        <v>349</v>
      </c>
      <c r="J59" s="20" t="s">
        <v>349</v>
      </c>
      <c r="K59" s="18" t="n">
        <v>1.23754554</v>
      </c>
      <c r="L59" s="20" t="n">
        <v>0.40298862</v>
      </c>
      <c r="M59" s="18" t="n">
        <v>0</v>
      </c>
      <c r="N59" s="20" t="n">
        <v>0</v>
      </c>
      <c r="O59" s="18" t="n">
        <v>1.02231086</v>
      </c>
      <c r="P59" s="20" t="n">
        <v>0.39302257</v>
      </c>
      <c r="Q59" s="18" t="n">
        <v>1.00097738</v>
      </c>
      <c r="R59" s="20" t="n">
        <v>0.36539643</v>
      </c>
    </row>
    <row r="60" spans="1:18">
      <c r="A60" s="15" t="s">
        <v>402</v>
      </c>
      <c r="B60" s="17" t="n">
        <v>4546</v>
      </c>
      <c r="C60" s="18">
        <f>(3788.0/B60*100)</f>
        <v/>
      </c>
      <c r="D60" s="19" t="n">
        <v>758</v>
      </c>
      <c r="E60" s="18" t="n">
        <v>55.53397148</v>
      </c>
      <c r="F60" s="20" t="n">
        <v>2.37572279</v>
      </c>
      <c r="G60" s="18" t="n">
        <v>30.203746</v>
      </c>
      <c r="H60" s="20" t="n">
        <v>2.14444015</v>
      </c>
      <c r="I60" s="18" t="s">
        <v>349</v>
      </c>
      <c r="J60" s="20" t="s">
        <v>349</v>
      </c>
      <c r="K60" s="18" t="n">
        <v>4.25133614</v>
      </c>
      <c r="L60" s="20" t="n">
        <v>0.78721757</v>
      </c>
      <c r="M60" s="18" t="n">
        <v>0</v>
      </c>
      <c r="N60" s="20" t="n">
        <v>0</v>
      </c>
      <c r="O60" s="18" t="n">
        <v>4.07924566</v>
      </c>
      <c r="P60" s="20" t="n">
        <v>1.26351321</v>
      </c>
      <c r="Q60" s="18" t="n">
        <v>5.93170073</v>
      </c>
      <c r="R60" s="20" t="n">
        <v>0.90215248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35.00026926</v>
      </c>
      <c r="F63" s="20" t="n">
        <v>1.84702107</v>
      </c>
      <c r="G63" s="18" t="n">
        <v>55.63651534</v>
      </c>
      <c r="H63" s="20" t="n">
        <v>1.83625273</v>
      </c>
      <c r="I63" s="18" t="s">
        <v>349</v>
      </c>
      <c r="J63" s="20" t="s">
        <v>349</v>
      </c>
      <c r="K63" s="18" t="n">
        <v>2.49520444</v>
      </c>
      <c r="L63" s="20" t="n">
        <v>0.54521495</v>
      </c>
      <c r="M63" s="18" t="n">
        <v>0</v>
      </c>
      <c r="N63" s="20" t="n">
        <v>0</v>
      </c>
      <c r="O63" s="18" t="n">
        <v>0.54733801</v>
      </c>
      <c r="P63" s="20" t="n">
        <v>0.2512604</v>
      </c>
      <c r="Q63" s="18" t="n">
        <v>6.32067294</v>
      </c>
      <c r="R63" s="20" t="n">
        <v>0.75839444</v>
      </c>
    </row>
    <row r="64" spans="1:18">
      <c r="A64" s="15" t="s">
        <v>406</v>
      </c>
      <c r="B64" s="17" t="n">
        <v>3634</v>
      </c>
      <c r="C64" s="18">
        <f>(3031.0/B64*100)</f>
        <v/>
      </c>
      <c r="D64" s="19" t="n">
        <v>603</v>
      </c>
      <c r="E64" s="18" t="n">
        <v>23.9029798</v>
      </c>
      <c r="F64" s="20" t="n">
        <v>1.62680812</v>
      </c>
      <c r="G64" s="18" t="n">
        <v>72.24699767</v>
      </c>
      <c r="H64" s="20" t="n">
        <v>1.80549223</v>
      </c>
      <c r="I64" s="18" t="s">
        <v>349</v>
      </c>
      <c r="J64" s="20" t="s">
        <v>349</v>
      </c>
      <c r="K64" s="18" t="n">
        <v>2.72320005</v>
      </c>
      <c r="L64" s="20" t="n">
        <v>0.7243781500000001</v>
      </c>
      <c r="M64" s="18" t="n">
        <v>0</v>
      </c>
      <c r="N64" s="20" t="n">
        <v>0</v>
      </c>
      <c r="O64" s="18" t="n">
        <v>0</v>
      </c>
      <c r="P64" s="20" t="n">
        <v>0</v>
      </c>
      <c r="Q64" s="18" t="n">
        <v>1.12682247</v>
      </c>
      <c r="R64" s="20" t="n">
        <v>0.5106659099999999</v>
      </c>
    </row>
    <row r="65" spans="1:18">
      <c r="A65" s="15" t="s">
        <v>407</v>
      </c>
      <c r="B65" s="17" t="n">
        <v>5325</v>
      </c>
      <c r="C65" s="18">
        <f>(4432.0/B65*100)</f>
        <v/>
      </c>
      <c r="D65" s="19" t="n">
        <v>893</v>
      </c>
      <c r="E65" s="18" t="n">
        <v>31.96949874</v>
      </c>
      <c r="F65" s="20" t="n">
        <v>1.74202786</v>
      </c>
      <c r="G65" s="18" t="n">
        <v>60.75956541</v>
      </c>
      <c r="H65" s="20" t="n">
        <v>1.91572101</v>
      </c>
      <c r="I65" s="18" t="s">
        <v>349</v>
      </c>
      <c r="J65" s="20" t="s">
        <v>349</v>
      </c>
      <c r="K65" s="18" t="n">
        <v>4.48645789</v>
      </c>
      <c r="L65" s="20" t="n">
        <v>0.78229151</v>
      </c>
      <c r="M65" s="18" t="n">
        <v>0.76197927</v>
      </c>
      <c r="N65" s="20" t="n">
        <v>0.29463899</v>
      </c>
      <c r="O65" s="18" t="n">
        <v>0</v>
      </c>
      <c r="P65" s="20" t="n">
        <v>0</v>
      </c>
      <c r="Q65" s="18" t="n">
        <v>2.02249869</v>
      </c>
      <c r="R65" s="20" t="n">
        <v>0.43875839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25.60374271</v>
      </c>
      <c r="F69" s="20" t="n">
        <v>1.80966889</v>
      </c>
      <c r="G69" s="18" t="n">
        <v>74.16328393000001</v>
      </c>
      <c r="H69" s="20" t="n">
        <v>1.80057816</v>
      </c>
      <c r="I69" s="18" t="s">
        <v>349</v>
      </c>
      <c r="J69" s="20" t="s">
        <v>349</v>
      </c>
      <c r="K69" s="18" t="n">
        <v>0</v>
      </c>
      <c r="L69" s="20" t="n">
        <v>0</v>
      </c>
      <c r="M69" s="18" t="n">
        <v>0</v>
      </c>
      <c r="N69" s="20" t="n">
        <v>0</v>
      </c>
      <c r="O69" s="18" t="n">
        <v>0</v>
      </c>
      <c r="P69" s="20" t="n">
        <v>0</v>
      </c>
      <c r="Q69" s="18" t="n">
        <v>0.23297336</v>
      </c>
      <c r="R69" s="20" t="n">
        <v>0.16495875</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46.15687338</v>
      </c>
      <c r="F74" s="20" t="n">
        <v>1.98955459</v>
      </c>
      <c r="G74" s="18" t="n">
        <v>45.85341769</v>
      </c>
      <c r="H74" s="20" t="n">
        <v>1.96967412</v>
      </c>
      <c r="I74" s="18" t="s">
        <v>349</v>
      </c>
      <c r="J74" s="20" t="s">
        <v>349</v>
      </c>
      <c r="K74" s="18" t="n">
        <v>4.89804686</v>
      </c>
      <c r="L74" s="20" t="n">
        <v>0.7889049</v>
      </c>
      <c r="M74" s="18" t="n">
        <v>0</v>
      </c>
      <c r="N74" s="20" t="n">
        <v>0</v>
      </c>
      <c r="O74" s="18" t="n">
        <v>0</v>
      </c>
      <c r="P74" s="20" t="n">
        <v>0</v>
      </c>
      <c r="Q74" s="18" t="n">
        <v>3.09166207</v>
      </c>
      <c r="R74" s="20" t="n">
        <v>0.7865187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6.3124809</v>
      </c>
      <c r="F78" s="20" t="n">
        <v>0.94831577</v>
      </c>
      <c r="G78" s="18" t="n">
        <v>93.6875191</v>
      </c>
      <c r="H78" s="20" t="n">
        <v>0.94831577</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(1385.0/B79*100)</f>
        <v/>
      </c>
      <c r="D79" s="19" t="n">
        <v>272</v>
      </c>
      <c r="E79" s="18" t="n">
        <v>22.13433516</v>
      </c>
      <c r="F79" s="20" t="n">
        <v>2.99085454</v>
      </c>
      <c r="G79" s="18" t="n">
        <v>72.29682237999999</v>
      </c>
      <c r="H79" s="20" t="n">
        <v>2.88111432</v>
      </c>
      <c r="I79" s="18" t="s">
        <v>349</v>
      </c>
      <c r="J79" s="20" t="s">
        <v>349</v>
      </c>
      <c r="K79" s="18" t="n">
        <v>4.58525697</v>
      </c>
      <c r="L79" s="20" t="n">
        <v>1.10456053</v>
      </c>
      <c r="M79" s="18" t="n">
        <v>0</v>
      </c>
      <c r="N79" s="20" t="n">
        <v>0</v>
      </c>
      <c r="O79" s="18" t="n">
        <v>0</v>
      </c>
      <c r="P79" s="20" t="n">
        <v>0</v>
      </c>
      <c r="Q79" s="18" t="n">
        <v>0.98358549</v>
      </c>
      <c r="R79" s="20" t="n">
        <v>0.64775377</v>
      </c>
    </row>
    <row r="80" spans="1:18">
      <c r="A80" s="15" t="s">
        <v>422</v>
      </c>
      <c r="B80" s="17" t="n">
        <v>7841</v>
      </c>
      <c r="C80" s="18">
        <f>(6548.0/B80*100)</f>
        <v/>
      </c>
      <c r="D80" s="19" t="n">
        <v>1293</v>
      </c>
      <c r="E80" s="18" t="n">
        <v>28.31433839</v>
      </c>
      <c r="F80" s="20" t="n">
        <v>1.96989199</v>
      </c>
      <c r="G80" s="18" t="n">
        <v>71.54107187</v>
      </c>
      <c r="H80" s="20" t="n">
        <v>1.96026619</v>
      </c>
      <c r="I80" s="18" t="s">
        <v>349</v>
      </c>
      <c r="J80" s="20" t="s">
        <v>349</v>
      </c>
      <c r="K80" s="18" t="n">
        <v>0</v>
      </c>
      <c r="L80" s="20" t="n">
        <v>0</v>
      </c>
      <c r="M80" s="18" t="n">
        <v>0</v>
      </c>
      <c r="N80" s="20" t="n">
        <v>0</v>
      </c>
      <c r="O80" s="18" t="n">
        <v>0</v>
      </c>
      <c r="P80" s="20" t="n">
        <v>0</v>
      </c>
      <c r="Q80" s="18" t="n">
        <v>0.14458974</v>
      </c>
      <c r="R80" s="20" t="n">
        <v>0.10269261</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64.38440147</v>
      </c>
      <c r="F44" s="20" t="n">
        <v>2.00638654</v>
      </c>
      <c r="G44" s="18" t="n">
        <v>16.05240617</v>
      </c>
      <c r="H44" s="20" t="n">
        <v>1.841595</v>
      </c>
      <c r="I44" s="18" t="s">
        <v>349</v>
      </c>
      <c r="J44" s="20" t="s">
        <v>349</v>
      </c>
      <c r="K44" s="18" t="n">
        <v>3.84983646</v>
      </c>
      <c r="L44" s="20" t="n">
        <v>0.88006409</v>
      </c>
      <c r="M44" s="18" t="n">
        <v>0</v>
      </c>
      <c r="N44" s="20" t="n">
        <v>0</v>
      </c>
      <c r="O44" s="18" t="n">
        <v>1.50861815</v>
      </c>
      <c r="P44" s="20" t="n">
        <v>0.46238806</v>
      </c>
      <c r="Q44" s="18" t="n">
        <v>14.20473776</v>
      </c>
      <c r="R44" s="20" t="n">
        <v>1.42807233</v>
      </c>
    </row>
    <row r="45" spans="1:18">
      <c r="A45" s="15" t="s">
        <v>387</v>
      </c>
      <c r="B45" s="17" t="n">
        <v>5519</v>
      </c>
      <c r="C45" s="18">
        <f>(4594.0/B45*100)</f>
        <v/>
      </c>
      <c r="D45" s="19" t="n">
        <v>925</v>
      </c>
      <c r="E45" s="18" t="n">
        <v>63.6984731</v>
      </c>
      <c r="F45" s="20" t="n">
        <v>1.75803175</v>
      </c>
      <c r="G45" s="18" t="n">
        <v>8.23668574</v>
      </c>
      <c r="H45" s="20" t="n">
        <v>1.02492034</v>
      </c>
      <c r="I45" s="18" t="s">
        <v>349</v>
      </c>
      <c r="J45" s="20" t="s">
        <v>349</v>
      </c>
      <c r="K45" s="18" t="n">
        <v>7.33807973</v>
      </c>
      <c r="L45" s="20" t="n">
        <v>0.94564274</v>
      </c>
      <c r="M45" s="18" t="n">
        <v>1.95828928</v>
      </c>
      <c r="N45" s="20" t="n">
        <v>0.60699079</v>
      </c>
      <c r="O45" s="18" t="n">
        <v>5.93947464</v>
      </c>
      <c r="P45" s="20" t="n">
        <v>0.99446934</v>
      </c>
      <c r="Q45" s="18" t="n">
        <v>12.82899751</v>
      </c>
      <c r="R45" s="20" t="n">
        <v>1.35082577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70.76310486</v>
      </c>
      <c r="F49" s="20" t="n">
        <v>1.94475341</v>
      </c>
      <c r="G49" s="18" t="n">
        <v>14.79787798</v>
      </c>
      <c r="H49" s="20" t="n">
        <v>1.24156466</v>
      </c>
      <c r="I49" s="18" t="s">
        <v>349</v>
      </c>
      <c r="J49" s="20" t="s">
        <v>349</v>
      </c>
      <c r="K49" s="18" t="n">
        <v>2.97239992</v>
      </c>
      <c r="L49" s="20" t="n">
        <v>0.6466488</v>
      </c>
      <c r="M49" s="18" t="n">
        <v>0.09663544</v>
      </c>
      <c r="N49" s="20" t="n">
        <v>0.09213868</v>
      </c>
      <c r="O49" s="18" t="n">
        <v>3.02912271</v>
      </c>
      <c r="P49" s="20" t="n">
        <v>0.72685198</v>
      </c>
      <c r="Q49" s="18" t="n">
        <v>8.34085908</v>
      </c>
      <c r="R49" s="20" t="n">
        <v>0.96878363</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63.50033596</v>
      </c>
      <c r="F55" s="20" t="n">
        <v>1.75652466</v>
      </c>
      <c r="G55" s="18" t="n">
        <v>15.41942031</v>
      </c>
      <c r="H55" s="20" t="n">
        <v>1.37595404</v>
      </c>
      <c r="I55" s="18" t="s">
        <v>349</v>
      </c>
      <c r="J55" s="20" t="s">
        <v>349</v>
      </c>
      <c r="K55" s="18" t="n">
        <v>2.04216732</v>
      </c>
      <c r="L55" s="20" t="n">
        <v>0.46156721</v>
      </c>
      <c r="M55" s="18" t="n">
        <v>0</v>
      </c>
      <c r="N55" s="20" t="n">
        <v>0</v>
      </c>
      <c r="O55" s="18" t="n">
        <v>5.4434947</v>
      </c>
      <c r="P55" s="20" t="n">
        <v>0.8220555000000001</v>
      </c>
      <c r="Q55" s="18" t="n">
        <v>13.59458171</v>
      </c>
      <c r="R55" s="20" t="n">
        <v>1.14562238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70.56868229</v>
      </c>
      <c r="F57" s="20" t="n">
        <v>1.7082114</v>
      </c>
      <c r="G57" s="18" t="n">
        <v>16.29444409</v>
      </c>
      <c r="H57" s="20" t="n">
        <v>1.3483482</v>
      </c>
      <c r="I57" s="18" t="s">
        <v>349</v>
      </c>
      <c r="J57" s="20" t="s">
        <v>349</v>
      </c>
      <c r="K57" s="18" t="n">
        <v>1.96066333</v>
      </c>
      <c r="L57" s="20" t="n">
        <v>0.42272681</v>
      </c>
      <c r="M57" s="18" t="n">
        <v>0.60513105</v>
      </c>
      <c r="N57" s="20" t="n">
        <v>0.27915106</v>
      </c>
      <c r="O57" s="18" t="n">
        <v>3.74185496</v>
      </c>
      <c r="P57" s="20" t="n">
        <v>0.74172254</v>
      </c>
      <c r="Q57" s="18" t="n">
        <v>6.82922427</v>
      </c>
      <c r="R57" s="20" t="n">
        <v>0.95869472</v>
      </c>
    </row>
    <row r="58" spans="1:18">
      <c r="A58" s="15" t="s">
        <v>400</v>
      </c>
      <c r="B58" s="17" t="n">
        <v>7267</v>
      </c>
      <c r="C58" s="18">
        <f>(6028.0/B58*100)</f>
        <v/>
      </c>
      <c r="D58" s="19" t="n">
        <v>1239</v>
      </c>
      <c r="E58" s="18" t="n">
        <v>60.16631614</v>
      </c>
      <c r="F58" s="20" t="n">
        <v>1.74070712</v>
      </c>
      <c r="G58" s="18" t="n">
        <v>20.92179748</v>
      </c>
      <c r="H58" s="20" t="n">
        <v>1.56616781</v>
      </c>
      <c r="I58" s="18" t="s">
        <v>349</v>
      </c>
      <c r="J58" s="20" t="s">
        <v>349</v>
      </c>
      <c r="K58" s="18" t="n">
        <v>2.64389221</v>
      </c>
      <c r="L58" s="20" t="n">
        <v>0.51136922</v>
      </c>
      <c r="M58" s="18" t="n">
        <v>0</v>
      </c>
      <c r="N58" s="20" t="n">
        <v>0</v>
      </c>
      <c r="O58" s="18" t="n">
        <v>8.86313543</v>
      </c>
      <c r="P58" s="20" t="n">
        <v>0.94107168</v>
      </c>
      <c r="Q58" s="18" t="n">
        <v>7.40485875</v>
      </c>
      <c r="R58" s="20" t="n">
        <v>0.94788586</v>
      </c>
    </row>
    <row r="59" spans="1:18">
      <c r="A59" s="15" t="s">
        <v>401</v>
      </c>
      <c r="B59" s="17" t="n">
        <v>4826</v>
      </c>
      <c r="C59" s="18">
        <f>(4040.0/B59*100)</f>
        <v/>
      </c>
      <c r="D59" s="19" t="n">
        <v>786</v>
      </c>
      <c r="E59" s="18" t="n">
        <v>69.43348078</v>
      </c>
      <c r="F59" s="20" t="n">
        <v>2.11307916</v>
      </c>
      <c r="G59" s="18" t="n">
        <v>9.110167410000001</v>
      </c>
      <c r="H59" s="20" t="n">
        <v>1.29399434</v>
      </c>
      <c r="I59" s="18" t="s">
        <v>349</v>
      </c>
      <c r="J59" s="20" t="s">
        <v>349</v>
      </c>
      <c r="K59" s="18" t="n">
        <v>1.53506422</v>
      </c>
      <c r="L59" s="20" t="n">
        <v>0.44398035</v>
      </c>
      <c r="M59" s="18" t="n">
        <v>0</v>
      </c>
      <c r="N59" s="20" t="n">
        <v>0</v>
      </c>
      <c r="O59" s="18" t="n">
        <v>5.48525655</v>
      </c>
      <c r="P59" s="20" t="n">
        <v>1.1243841</v>
      </c>
      <c r="Q59" s="18" t="n">
        <v>14.43603104</v>
      </c>
      <c r="R59" s="20" t="n">
        <v>1.54073668</v>
      </c>
    </row>
    <row r="60" spans="1:18">
      <c r="A60" s="15" t="s">
        <v>402</v>
      </c>
      <c r="B60" s="17" t="n">
        <v>4546</v>
      </c>
      <c r="C60" s="18">
        <f>(3788.0/B60*100)</f>
        <v/>
      </c>
      <c r="D60" s="19" t="n">
        <v>758</v>
      </c>
      <c r="E60" s="18" t="n">
        <v>62.29761008</v>
      </c>
      <c r="F60" s="20" t="n">
        <v>2.0361924</v>
      </c>
      <c r="G60" s="18" t="n">
        <v>17.70152188</v>
      </c>
      <c r="H60" s="20" t="n">
        <v>1.44359451</v>
      </c>
      <c r="I60" s="18" t="s">
        <v>349</v>
      </c>
      <c r="J60" s="20" t="s">
        <v>349</v>
      </c>
      <c r="K60" s="18" t="n">
        <v>4.78743933</v>
      </c>
      <c r="L60" s="20" t="n">
        <v>0.89021571</v>
      </c>
      <c r="M60" s="18" t="n">
        <v>0</v>
      </c>
      <c r="N60" s="20" t="n">
        <v>0</v>
      </c>
      <c r="O60" s="18" t="n">
        <v>3.80135857</v>
      </c>
      <c r="P60" s="20" t="n">
        <v>0.53284676</v>
      </c>
      <c r="Q60" s="18" t="n">
        <v>11.41207014</v>
      </c>
      <c r="R60" s="20" t="n">
        <v>1.64537103</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61.34550719</v>
      </c>
      <c r="F63" s="20" t="n">
        <v>1.95327711</v>
      </c>
      <c r="G63" s="18" t="n">
        <v>12.99536679</v>
      </c>
      <c r="H63" s="20" t="n">
        <v>1.46565732</v>
      </c>
      <c r="I63" s="18" t="s">
        <v>349</v>
      </c>
      <c r="J63" s="20" t="s">
        <v>349</v>
      </c>
      <c r="K63" s="18" t="n">
        <v>3.07079852</v>
      </c>
      <c r="L63" s="20" t="n">
        <v>0.59361053</v>
      </c>
      <c r="M63" s="18" t="n">
        <v>0</v>
      </c>
      <c r="N63" s="20" t="n">
        <v>0</v>
      </c>
      <c r="O63" s="18" t="n">
        <v>1.20534166</v>
      </c>
      <c r="P63" s="20" t="n">
        <v>0.3701635</v>
      </c>
      <c r="Q63" s="18" t="n">
        <v>21.38298584</v>
      </c>
      <c r="R63" s="20" t="n">
        <v>1.45736328</v>
      </c>
    </row>
    <row r="64" spans="1:18">
      <c r="A64" s="15" t="s">
        <v>406</v>
      </c>
      <c r="B64" s="17" t="n">
        <v>3634</v>
      </c>
      <c r="C64" s="18">
        <f>(3031.0/B64*100)</f>
        <v/>
      </c>
      <c r="D64" s="19" t="n">
        <v>603</v>
      </c>
      <c r="E64" s="18" t="n">
        <v>52.7888439</v>
      </c>
      <c r="F64" s="20" t="n">
        <v>1.84496271</v>
      </c>
      <c r="G64" s="18" t="n">
        <v>40.6405926</v>
      </c>
      <c r="H64" s="20" t="n">
        <v>1.81589718</v>
      </c>
      <c r="I64" s="18" t="s">
        <v>349</v>
      </c>
      <c r="J64" s="20" t="s">
        <v>349</v>
      </c>
      <c r="K64" s="18" t="n">
        <v>2.72320005</v>
      </c>
      <c r="L64" s="20" t="n">
        <v>0.7243781500000001</v>
      </c>
      <c r="M64" s="18" t="n">
        <v>0</v>
      </c>
      <c r="N64" s="20" t="n">
        <v>0</v>
      </c>
      <c r="O64" s="18" t="n">
        <v>1.43823865</v>
      </c>
      <c r="P64" s="20" t="n">
        <v>0.53408298</v>
      </c>
      <c r="Q64" s="18" t="n">
        <v>2.4091248</v>
      </c>
      <c r="R64" s="20" t="n">
        <v>0.71995542</v>
      </c>
    </row>
    <row r="65" spans="1:18">
      <c r="A65" s="15" t="s">
        <v>407</v>
      </c>
      <c r="B65" s="17" t="n">
        <v>5325</v>
      </c>
      <c r="C65" s="18">
        <f>(4432.0/B65*100)</f>
        <v/>
      </c>
      <c r="D65" s="19" t="n">
        <v>893</v>
      </c>
      <c r="E65" s="18" t="n">
        <v>62.26450251</v>
      </c>
      <c r="F65" s="20" t="n">
        <v>1.84207892</v>
      </c>
      <c r="G65" s="18" t="n">
        <v>17.88881304</v>
      </c>
      <c r="H65" s="20" t="n">
        <v>1.32891594</v>
      </c>
      <c r="I65" s="18" t="s">
        <v>349</v>
      </c>
      <c r="J65" s="20" t="s">
        <v>349</v>
      </c>
      <c r="K65" s="18" t="n">
        <v>5.92835346</v>
      </c>
      <c r="L65" s="20" t="n">
        <v>0.95998887</v>
      </c>
      <c r="M65" s="18" t="n">
        <v>2.54725781</v>
      </c>
      <c r="N65" s="20" t="n">
        <v>0.63577416</v>
      </c>
      <c r="O65" s="18" t="n">
        <v>1.06228778</v>
      </c>
      <c r="P65" s="20" t="n">
        <v>0.5352187</v>
      </c>
      <c r="Q65" s="18" t="n">
        <v>10.3087854</v>
      </c>
      <c r="R65" s="20" t="n">
        <v>1.16759129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78.65176526</v>
      </c>
      <c r="F69" s="20" t="n">
        <v>1.43544638</v>
      </c>
      <c r="G69" s="18" t="n">
        <v>19.25566487</v>
      </c>
      <c r="H69" s="20" t="n">
        <v>1.41340304</v>
      </c>
      <c r="I69" s="18" t="s">
        <v>349</v>
      </c>
      <c r="J69" s="20" t="s">
        <v>349</v>
      </c>
      <c r="K69" s="18" t="n">
        <v>0</v>
      </c>
      <c r="L69" s="20" t="n">
        <v>0</v>
      </c>
      <c r="M69" s="18" t="n">
        <v>0</v>
      </c>
      <c r="N69" s="20" t="n">
        <v>0</v>
      </c>
      <c r="O69" s="18" t="n">
        <v>0</v>
      </c>
      <c r="P69" s="20" t="n">
        <v>0</v>
      </c>
      <c r="Q69" s="18" t="n">
        <v>2.09256987</v>
      </c>
      <c r="R69" s="20" t="n">
        <v>0.55041948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67.08620881</v>
      </c>
      <c r="F74" s="20" t="n">
        <v>2.04320884</v>
      </c>
      <c r="G74" s="18" t="n">
        <v>16.58440418</v>
      </c>
      <c r="H74" s="20" t="n">
        <v>1.36561255</v>
      </c>
      <c r="I74" s="18" t="s">
        <v>349</v>
      </c>
      <c r="J74" s="20" t="s">
        <v>349</v>
      </c>
      <c r="K74" s="18" t="n">
        <v>5.11223616</v>
      </c>
      <c r="L74" s="20" t="n">
        <v>0.79248369</v>
      </c>
      <c r="M74" s="18" t="n">
        <v>0</v>
      </c>
      <c r="N74" s="20" t="n">
        <v>0</v>
      </c>
      <c r="O74" s="18" t="n">
        <v>0.49083537</v>
      </c>
      <c r="P74" s="20" t="n">
        <v>0.20631667</v>
      </c>
      <c r="Q74" s="18" t="n">
        <v>10.72631548</v>
      </c>
      <c r="R74" s="20" t="n">
        <v>1.24204023</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67.91305724</v>
      </c>
      <c r="F78" s="20" t="n">
        <v>1.73134449</v>
      </c>
      <c r="G78" s="18" t="n">
        <v>25.89010132</v>
      </c>
      <c r="H78" s="20" t="n">
        <v>1.89908232</v>
      </c>
      <c r="I78" s="18" t="s">
        <v>349</v>
      </c>
      <c r="J78" s="20" t="s">
        <v>349</v>
      </c>
      <c r="K78" s="18" t="n">
        <v>0</v>
      </c>
      <c r="L78" s="20" t="n">
        <v>0</v>
      </c>
      <c r="M78" s="18" t="n">
        <v>0.58079576</v>
      </c>
      <c r="N78" s="20" t="n">
        <v>0.2388321</v>
      </c>
      <c r="O78" s="18" t="n">
        <v>4.24945874</v>
      </c>
      <c r="P78" s="20" t="n">
        <v>0.79167404</v>
      </c>
      <c r="Q78" s="18" t="n">
        <v>1.36658694</v>
      </c>
      <c r="R78" s="20" t="n">
        <v>0.39170067</v>
      </c>
    </row>
    <row customHeight="1" ht="25" r="79" spans="1:18">
      <c r="A79" s="15" t="s">
        <v>421</v>
      </c>
      <c r="B79" s="17" t="n">
        <v>1657</v>
      </c>
      <c r="C79" s="18">
        <f>(1385.0/B79*100)</f>
        <v/>
      </c>
      <c r="D79" s="19" t="n">
        <v>272</v>
      </c>
      <c r="E79" s="18" t="n">
        <v>60.03086369</v>
      </c>
      <c r="F79" s="20" t="n">
        <v>3.1241874</v>
      </c>
      <c r="G79" s="18" t="n">
        <v>22.57083614</v>
      </c>
      <c r="H79" s="20" t="n">
        <v>2.55411963</v>
      </c>
      <c r="I79" s="18" t="s">
        <v>349</v>
      </c>
      <c r="J79" s="20" t="s">
        <v>349</v>
      </c>
      <c r="K79" s="18" t="n">
        <v>5.71122782</v>
      </c>
      <c r="L79" s="20" t="n">
        <v>1.18748949</v>
      </c>
      <c r="M79" s="18" t="n">
        <v>0</v>
      </c>
      <c r="N79" s="20" t="n">
        <v>0</v>
      </c>
      <c r="O79" s="18" t="n">
        <v>1.65407147</v>
      </c>
      <c r="P79" s="20" t="n">
        <v>0.7193642099999999</v>
      </c>
      <c r="Q79" s="18" t="n">
        <v>10.03300088</v>
      </c>
      <c r="R79" s="20" t="n">
        <v>2.3725775</v>
      </c>
    </row>
    <row r="80" spans="1:18">
      <c r="A80" s="15" t="s">
        <v>422</v>
      </c>
      <c r="B80" s="17" t="n">
        <v>7841</v>
      </c>
      <c r="C80" s="18">
        <f>(6548.0/B80*100)</f>
        <v/>
      </c>
      <c r="D80" s="19" t="n">
        <v>1293</v>
      </c>
      <c r="E80" s="18" t="n">
        <v>70.37336031</v>
      </c>
      <c r="F80" s="20" t="n">
        <v>1.90920167</v>
      </c>
      <c r="G80" s="18" t="n">
        <v>27.4835144</v>
      </c>
      <c r="H80" s="20" t="n">
        <v>1.90057699</v>
      </c>
      <c r="I80" s="18" t="s">
        <v>349</v>
      </c>
      <c r="J80" s="20" t="s">
        <v>349</v>
      </c>
      <c r="K80" s="18" t="n">
        <v>0</v>
      </c>
      <c r="L80" s="20" t="n">
        <v>0</v>
      </c>
      <c r="M80" s="18" t="n">
        <v>0</v>
      </c>
      <c r="N80" s="20" t="n">
        <v>0</v>
      </c>
      <c r="O80" s="18" t="n">
        <v>0</v>
      </c>
      <c r="P80" s="20" t="n">
        <v>0</v>
      </c>
      <c r="Q80" s="18" t="n">
        <v>2.14312529</v>
      </c>
      <c r="R80" s="20" t="n">
        <v>0.40917924</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37.91061449</v>
      </c>
      <c r="F44" s="20" t="n">
        <v>2.04438227</v>
      </c>
      <c r="G44" s="18" t="n">
        <v>7.21202918</v>
      </c>
      <c r="H44" s="20" t="n">
        <v>1.11660651</v>
      </c>
      <c r="I44" s="18" t="s">
        <v>349</v>
      </c>
      <c r="J44" s="20" t="s">
        <v>349</v>
      </c>
      <c r="K44" s="18" t="n">
        <v>5.98715552</v>
      </c>
      <c r="L44" s="20" t="n">
        <v>0.9229169</v>
      </c>
      <c r="M44" s="18" t="n">
        <v>0</v>
      </c>
      <c r="N44" s="20" t="n">
        <v>0</v>
      </c>
      <c r="O44" s="18" t="n">
        <v>0</v>
      </c>
      <c r="P44" s="20" t="n">
        <v>0</v>
      </c>
      <c r="Q44" s="18" t="n">
        <v>48.8902008</v>
      </c>
      <c r="R44" s="20" t="n">
        <v>2.15363058</v>
      </c>
    </row>
    <row r="45" spans="1:18">
      <c r="A45" s="15" t="s">
        <v>387</v>
      </c>
      <c r="B45" s="17" t="n">
        <v>5519</v>
      </c>
      <c r="C45" s="18">
        <f>(4594.0/B45*100)</f>
        <v/>
      </c>
      <c r="D45" s="19" t="n">
        <v>925</v>
      </c>
      <c r="E45" s="18" t="n">
        <v>51.5994756</v>
      </c>
      <c r="F45" s="20" t="n">
        <v>2.03675361</v>
      </c>
      <c r="G45" s="18" t="n">
        <v>2.15280237</v>
      </c>
      <c r="H45" s="20" t="n">
        <v>0.5147245</v>
      </c>
      <c r="I45" s="18" t="s">
        <v>349</v>
      </c>
      <c r="J45" s="20" t="s">
        <v>349</v>
      </c>
      <c r="K45" s="18" t="n">
        <v>8.622167599999999</v>
      </c>
      <c r="L45" s="20" t="n">
        <v>1.08399779</v>
      </c>
      <c r="M45" s="18" t="n">
        <v>0</v>
      </c>
      <c r="N45" s="20" t="n">
        <v>0</v>
      </c>
      <c r="O45" s="18" t="n">
        <v>0</v>
      </c>
      <c r="P45" s="20" t="n">
        <v>0</v>
      </c>
      <c r="Q45" s="18" t="n">
        <v>37.62555443</v>
      </c>
      <c r="R45" s="20" t="n">
        <v>1.96647067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52.57484305</v>
      </c>
      <c r="F49" s="20" t="n">
        <v>2.01292642</v>
      </c>
      <c r="G49" s="18" t="n">
        <v>6.94757459</v>
      </c>
      <c r="H49" s="20" t="n">
        <v>1.06099587</v>
      </c>
      <c r="I49" s="18" t="s">
        <v>349</v>
      </c>
      <c r="J49" s="20" t="s">
        <v>349</v>
      </c>
      <c r="K49" s="18" t="n">
        <v>3.9506668</v>
      </c>
      <c r="L49" s="20" t="n">
        <v>0.72131442</v>
      </c>
      <c r="M49" s="18" t="n">
        <v>0.29876205</v>
      </c>
      <c r="N49" s="20" t="n">
        <v>0.29628523</v>
      </c>
      <c r="O49" s="18" t="n">
        <v>0</v>
      </c>
      <c r="P49" s="20" t="n">
        <v>0</v>
      </c>
      <c r="Q49" s="18" t="n">
        <v>36.22815351</v>
      </c>
      <c r="R49" s="20" t="n">
        <v>1.88201988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37.12271082</v>
      </c>
      <c r="F55" s="20" t="n">
        <v>1.65221613</v>
      </c>
      <c r="G55" s="18" t="n">
        <v>4.20452475</v>
      </c>
      <c r="H55" s="20" t="n">
        <v>1.03537853</v>
      </c>
      <c r="I55" s="18" t="s">
        <v>349</v>
      </c>
      <c r="J55" s="20" t="s">
        <v>349</v>
      </c>
      <c r="K55" s="18" t="n">
        <v>3.17193918</v>
      </c>
      <c r="L55" s="20" t="n">
        <v>0.55598353</v>
      </c>
      <c r="M55" s="18" t="n">
        <v>0</v>
      </c>
      <c r="N55" s="20" t="n">
        <v>0</v>
      </c>
      <c r="O55" s="18" t="n">
        <v>0.09691952</v>
      </c>
      <c r="P55" s="20" t="n">
        <v>0.10113601</v>
      </c>
      <c r="Q55" s="18" t="n">
        <v>55.40390573</v>
      </c>
      <c r="R55" s="20" t="n">
        <v>1.74089503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69.06892343</v>
      </c>
      <c r="F57" s="20" t="n">
        <v>1.70103175</v>
      </c>
      <c r="G57" s="18" t="n">
        <v>7.65117523</v>
      </c>
      <c r="H57" s="20" t="n">
        <v>0.9019777</v>
      </c>
      <c r="I57" s="18" t="s">
        <v>349</v>
      </c>
      <c r="J57" s="20" t="s">
        <v>349</v>
      </c>
      <c r="K57" s="18" t="n">
        <v>2.23127895</v>
      </c>
      <c r="L57" s="20" t="n">
        <v>0.45235521</v>
      </c>
      <c r="M57" s="18" t="n">
        <v>0.15372181</v>
      </c>
      <c r="N57" s="20" t="n">
        <v>0.10961813</v>
      </c>
      <c r="O57" s="18" t="n">
        <v>0</v>
      </c>
      <c r="P57" s="20" t="n">
        <v>0</v>
      </c>
      <c r="Q57" s="18" t="n">
        <v>20.89490057</v>
      </c>
      <c r="R57" s="20" t="n">
        <v>1.71579813</v>
      </c>
    </row>
    <row r="58" spans="1:18">
      <c r="A58" s="15" t="s">
        <v>400</v>
      </c>
      <c r="B58" s="17" t="n">
        <v>7267</v>
      </c>
      <c r="C58" s="18">
        <f>(6028.0/B58*100)</f>
        <v/>
      </c>
      <c r="D58" s="19" t="n">
        <v>1239</v>
      </c>
      <c r="E58" s="18" t="n">
        <v>65.3037047</v>
      </c>
      <c r="F58" s="20" t="n">
        <v>1.69204097</v>
      </c>
      <c r="G58" s="18" t="n">
        <v>4.13539936</v>
      </c>
      <c r="H58" s="20" t="n">
        <v>0.93313506</v>
      </c>
      <c r="I58" s="18" t="s">
        <v>349</v>
      </c>
      <c r="J58" s="20" t="s">
        <v>349</v>
      </c>
      <c r="K58" s="18" t="n">
        <v>3.35677002</v>
      </c>
      <c r="L58" s="20" t="n">
        <v>0.58774396</v>
      </c>
      <c r="M58" s="18" t="n">
        <v>0</v>
      </c>
      <c r="N58" s="20" t="n">
        <v>0</v>
      </c>
      <c r="O58" s="18" t="n">
        <v>0</v>
      </c>
      <c r="P58" s="20" t="n">
        <v>0</v>
      </c>
      <c r="Q58" s="18" t="n">
        <v>27.20412591</v>
      </c>
      <c r="R58" s="20" t="n">
        <v>1.49393488</v>
      </c>
    </row>
    <row r="59" spans="1:18">
      <c r="A59" s="15" t="s">
        <v>401</v>
      </c>
      <c r="B59" s="17" t="n">
        <v>4826</v>
      </c>
      <c r="C59" s="18">
        <f>(4040.0/B59*100)</f>
        <v/>
      </c>
      <c r="D59" s="19" t="n">
        <v>786</v>
      </c>
      <c r="E59" s="18" t="n">
        <v>50.91575747</v>
      </c>
      <c r="F59" s="20" t="n">
        <v>2.20200141</v>
      </c>
      <c r="G59" s="18" t="n">
        <v>3.91798579</v>
      </c>
      <c r="H59" s="20" t="n">
        <v>0.67274733</v>
      </c>
      <c r="I59" s="18" t="s">
        <v>349</v>
      </c>
      <c r="J59" s="20" t="s">
        <v>349</v>
      </c>
      <c r="K59" s="18" t="n">
        <v>2.210057</v>
      </c>
      <c r="L59" s="20" t="n">
        <v>0.60988913</v>
      </c>
      <c r="M59" s="18" t="n">
        <v>0</v>
      </c>
      <c r="N59" s="20" t="n">
        <v>0</v>
      </c>
      <c r="O59" s="18" t="n">
        <v>0</v>
      </c>
      <c r="P59" s="20" t="n">
        <v>0</v>
      </c>
      <c r="Q59" s="18" t="n">
        <v>42.95619975</v>
      </c>
      <c r="R59" s="20" t="n">
        <v>2.28856348</v>
      </c>
    </row>
    <row r="60" spans="1:18">
      <c r="A60" s="15" t="s">
        <v>402</v>
      </c>
      <c r="B60" s="17" t="n">
        <v>4546</v>
      </c>
      <c r="C60" s="18">
        <f>(3788.0/B60*100)</f>
        <v/>
      </c>
      <c r="D60" s="19" t="n">
        <v>758</v>
      </c>
      <c r="E60" s="18" t="n">
        <v>45.83010683</v>
      </c>
      <c r="F60" s="20" t="n">
        <v>1.92804354</v>
      </c>
      <c r="G60" s="18" t="n">
        <v>5.63378532</v>
      </c>
      <c r="H60" s="20" t="n">
        <v>0.85844382</v>
      </c>
      <c r="I60" s="18" t="s">
        <v>349</v>
      </c>
      <c r="J60" s="20" t="s">
        <v>349</v>
      </c>
      <c r="K60" s="18" t="n">
        <v>6.67713372</v>
      </c>
      <c r="L60" s="20" t="n">
        <v>1.00908966</v>
      </c>
      <c r="M60" s="18" t="n">
        <v>0</v>
      </c>
      <c r="N60" s="20" t="n">
        <v>0</v>
      </c>
      <c r="O60" s="18" t="n">
        <v>1.07905636</v>
      </c>
      <c r="P60" s="20" t="n">
        <v>0.39040339</v>
      </c>
      <c r="Q60" s="18" t="n">
        <v>40.77991777</v>
      </c>
      <c r="R60" s="20" t="n">
        <v>2.28405302</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30.33595639</v>
      </c>
      <c r="F63" s="20" t="n">
        <v>1.46003606</v>
      </c>
      <c r="G63" s="18" t="n">
        <v>4.13581261</v>
      </c>
      <c r="H63" s="20" t="n">
        <v>0.7465053</v>
      </c>
      <c r="I63" s="18" t="s">
        <v>349</v>
      </c>
      <c r="J63" s="20" t="s">
        <v>349</v>
      </c>
      <c r="K63" s="18" t="n">
        <v>3.87097236</v>
      </c>
      <c r="L63" s="20" t="n">
        <v>0.66163481</v>
      </c>
      <c r="M63" s="18" t="n">
        <v>0</v>
      </c>
      <c r="N63" s="20" t="n">
        <v>0</v>
      </c>
      <c r="O63" s="18" t="n">
        <v>0</v>
      </c>
      <c r="P63" s="20" t="n">
        <v>0</v>
      </c>
      <c r="Q63" s="18" t="n">
        <v>61.65725864</v>
      </c>
      <c r="R63" s="20" t="n">
        <v>1.6917275</v>
      </c>
    </row>
    <row r="64" spans="1:18">
      <c r="A64" s="15" t="s">
        <v>406</v>
      </c>
      <c r="B64" s="17" t="n">
        <v>3634</v>
      </c>
      <c r="C64" s="18">
        <f>(3031.0/B64*100)</f>
        <v/>
      </c>
      <c r="D64" s="19" t="n">
        <v>603</v>
      </c>
      <c r="E64" s="18" t="n">
        <v>44.44367166</v>
      </c>
      <c r="F64" s="20" t="n">
        <v>2.15915821</v>
      </c>
      <c r="G64" s="18" t="n">
        <v>31.35188675</v>
      </c>
      <c r="H64" s="20" t="n">
        <v>1.86306931</v>
      </c>
      <c r="I64" s="18" t="s">
        <v>349</v>
      </c>
      <c r="J64" s="20" t="s">
        <v>349</v>
      </c>
      <c r="K64" s="18" t="n">
        <v>3.10015506</v>
      </c>
      <c r="L64" s="20" t="n">
        <v>0.76719185</v>
      </c>
      <c r="M64" s="18" t="n">
        <v>0</v>
      </c>
      <c r="N64" s="20" t="n">
        <v>0</v>
      </c>
      <c r="O64" s="18" t="n">
        <v>0</v>
      </c>
      <c r="P64" s="20" t="n">
        <v>0</v>
      </c>
      <c r="Q64" s="18" t="n">
        <v>21.10428653</v>
      </c>
      <c r="R64" s="20" t="n">
        <v>1.76152472</v>
      </c>
    </row>
    <row r="65" spans="1:18">
      <c r="A65" s="15" t="s">
        <v>407</v>
      </c>
      <c r="B65" s="17" t="n">
        <v>5325</v>
      </c>
      <c r="C65" s="18">
        <f>(4432.0/B65*100)</f>
        <v/>
      </c>
      <c r="D65" s="19" t="n">
        <v>893</v>
      </c>
      <c r="E65" s="18" t="n">
        <v>31.66477488</v>
      </c>
      <c r="F65" s="20" t="n">
        <v>1.57034191</v>
      </c>
      <c r="G65" s="18" t="n">
        <v>7.57341174</v>
      </c>
      <c r="H65" s="20" t="n">
        <v>0.95123967</v>
      </c>
      <c r="I65" s="18" t="s">
        <v>349</v>
      </c>
      <c r="J65" s="20" t="s">
        <v>349</v>
      </c>
      <c r="K65" s="18" t="n">
        <v>7.91818047</v>
      </c>
      <c r="L65" s="20" t="n">
        <v>1.05025631</v>
      </c>
      <c r="M65" s="18" t="n">
        <v>0</v>
      </c>
      <c r="N65" s="20" t="n">
        <v>0</v>
      </c>
      <c r="O65" s="18" t="n">
        <v>0</v>
      </c>
      <c r="P65" s="20" t="n">
        <v>0</v>
      </c>
      <c r="Q65" s="18" t="n">
        <v>52.84363292</v>
      </c>
      <c r="R65" s="20" t="n">
        <v>1.73562117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88.08175287</v>
      </c>
      <c r="F69" s="20" t="n">
        <v>1.30075542</v>
      </c>
      <c r="G69" s="18" t="n">
        <v>11.91824713</v>
      </c>
      <c r="H69" s="20" t="n">
        <v>1.30075542</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47.89416262</v>
      </c>
      <c r="F74" s="20" t="n">
        <v>2.13881343</v>
      </c>
      <c r="G74" s="18" t="n">
        <v>10.974154</v>
      </c>
      <c r="H74" s="20" t="n">
        <v>1.25167242</v>
      </c>
      <c r="I74" s="18" t="s">
        <v>349</v>
      </c>
      <c r="J74" s="20" t="s">
        <v>349</v>
      </c>
      <c r="K74" s="18" t="n">
        <v>7.07386877</v>
      </c>
      <c r="L74" s="20" t="n">
        <v>1.02683219</v>
      </c>
      <c r="M74" s="18" t="n">
        <v>0</v>
      </c>
      <c r="N74" s="20" t="n">
        <v>0</v>
      </c>
      <c r="O74" s="18" t="n">
        <v>0</v>
      </c>
      <c r="P74" s="20" t="n">
        <v>0</v>
      </c>
      <c r="Q74" s="18" t="n">
        <v>34.0578146</v>
      </c>
      <c r="R74" s="20" t="n">
        <v>1.89501417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73.06838879999999</v>
      </c>
      <c r="F78" s="20" t="n">
        <v>1.60145489</v>
      </c>
      <c r="G78" s="18" t="n">
        <v>18.90231567</v>
      </c>
      <c r="H78" s="20" t="n">
        <v>1.51913047</v>
      </c>
      <c r="I78" s="18" t="s">
        <v>349</v>
      </c>
      <c r="J78" s="20" t="s">
        <v>349</v>
      </c>
      <c r="K78" s="18" t="n">
        <v>0</v>
      </c>
      <c r="L78" s="20" t="n">
        <v>0</v>
      </c>
      <c r="M78" s="18" t="n">
        <v>0</v>
      </c>
      <c r="N78" s="20" t="n">
        <v>0</v>
      </c>
      <c r="O78" s="18" t="n">
        <v>0</v>
      </c>
      <c r="P78" s="20" t="n">
        <v>0</v>
      </c>
      <c r="Q78" s="18" t="n">
        <v>8.029295530000001</v>
      </c>
      <c r="R78" s="20" t="n">
        <v>0.97016627</v>
      </c>
    </row>
    <row customHeight="1" ht="25" r="79" spans="1:18">
      <c r="A79" s="15" t="s">
        <v>421</v>
      </c>
      <c r="B79" s="17" t="n">
        <v>1657</v>
      </c>
      <c r="C79" s="18">
        <f>(1385.0/B79*100)</f>
        <v/>
      </c>
      <c r="D79" s="19" t="n">
        <v>272</v>
      </c>
      <c r="E79" s="18" t="n">
        <v>54.80058665</v>
      </c>
      <c r="F79" s="20" t="n">
        <v>3.91648375</v>
      </c>
      <c r="G79" s="18" t="n">
        <v>9.437196610000001</v>
      </c>
      <c r="H79" s="20" t="n">
        <v>1.989912</v>
      </c>
      <c r="I79" s="18" t="s">
        <v>349</v>
      </c>
      <c r="J79" s="20" t="s">
        <v>349</v>
      </c>
      <c r="K79" s="18" t="n">
        <v>8.316218879999999</v>
      </c>
      <c r="L79" s="20" t="n">
        <v>1.93395424</v>
      </c>
      <c r="M79" s="18" t="n">
        <v>0</v>
      </c>
      <c r="N79" s="20" t="n">
        <v>0</v>
      </c>
      <c r="O79" s="18" t="n">
        <v>0</v>
      </c>
      <c r="P79" s="20" t="n">
        <v>0</v>
      </c>
      <c r="Q79" s="18" t="n">
        <v>27.44599786</v>
      </c>
      <c r="R79" s="20" t="n">
        <v>3.55766388</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21.06537916</v>
      </c>
      <c r="F44" s="20" t="n">
        <v>2.04835897</v>
      </c>
      <c r="G44" s="18" t="n">
        <v>3.98648446</v>
      </c>
      <c r="H44" s="20" t="n">
        <v>0.88332838</v>
      </c>
      <c r="I44" s="18" t="s">
        <v>349</v>
      </c>
      <c r="J44" s="20" t="s">
        <v>349</v>
      </c>
      <c r="K44" s="18" t="n">
        <v>6.31175546</v>
      </c>
      <c r="L44" s="20" t="n">
        <v>0.98037688</v>
      </c>
      <c r="M44" s="18" t="n">
        <v>0</v>
      </c>
      <c r="N44" s="20" t="n">
        <v>0</v>
      </c>
      <c r="O44" s="18" t="n">
        <v>0</v>
      </c>
      <c r="P44" s="20" t="n">
        <v>0</v>
      </c>
      <c r="Q44" s="18" t="n">
        <v>68.63638091999999</v>
      </c>
      <c r="R44" s="20" t="n">
        <v>2.25815877</v>
      </c>
    </row>
    <row r="45" spans="1:18">
      <c r="A45" s="15" t="s">
        <v>387</v>
      </c>
      <c r="B45" s="17" t="n">
        <v>5519</v>
      </c>
      <c r="C45" s="18">
        <f>(4594.0/B45*100)</f>
        <v/>
      </c>
      <c r="D45" s="19" t="n">
        <v>925</v>
      </c>
      <c r="E45" s="18" t="n">
        <v>32.7385413</v>
      </c>
      <c r="F45" s="20" t="n">
        <v>1.81882912</v>
      </c>
      <c r="G45" s="18" t="n">
        <v>1.32540973</v>
      </c>
      <c r="H45" s="20" t="n">
        <v>0.3852739</v>
      </c>
      <c r="I45" s="18" t="s">
        <v>349</v>
      </c>
      <c r="J45" s="20" t="s">
        <v>349</v>
      </c>
      <c r="K45" s="18" t="n">
        <v>9.16710702</v>
      </c>
      <c r="L45" s="20" t="n">
        <v>1.09529384</v>
      </c>
      <c r="M45" s="18" t="n">
        <v>0.5652013299999999</v>
      </c>
      <c r="N45" s="20" t="n">
        <v>0.23869218</v>
      </c>
      <c r="O45" s="18" t="n">
        <v>0.12347415</v>
      </c>
      <c r="P45" s="20" t="n">
        <v>0.12439453</v>
      </c>
      <c r="Q45" s="18" t="n">
        <v>56.08026647</v>
      </c>
      <c r="R45" s="20" t="n">
        <v>1.88228279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34.06670473</v>
      </c>
      <c r="F49" s="20" t="n">
        <v>1.82899898</v>
      </c>
      <c r="G49" s="18" t="n">
        <v>2.18011665</v>
      </c>
      <c r="H49" s="20" t="n">
        <v>0.56003803</v>
      </c>
      <c r="I49" s="18" t="s">
        <v>349</v>
      </c>
      <c r="J49" s="20" t="s">
        <v>349</v>
      </c>
      <c r="K49" s="18" t="n">
        <v>4.35690888</v>
      </c>
      <c r="L49" s="20" t="n">
        <v>0.76493153</v>
      </c>
      <c r="M49" s="18" t="n">
        <v>0</v>
      </c>
      <c r="N49" s="20" t="n">
        <v>0</v>
      </c>
      <c r="O49" s="18" t="n">
        <v>0</v>
      </c>
      <c r="P49" s="20" t="n">
        <v>0</v>
      </c>
      <c r="Q49" s="18" t="n">
        <v>59.39626975</v>
      </c>
      <c r="R49" s="20" t="n">
        <v>1.84068339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21.10239034</v>
      </c>
      <c r="F55" s="20" t="n">
        <v>1.42679451</v>
      </c>
      <c r="G55" s="18" t="n">
        <v>2.97715846</v>
      </c>
      <c r="H55" s="20" t="n">
        <v>0.78813309</v>
      </c>
      <c r="I55" s="18" t="s">
        <v>349</v>
      </c>
      <c r="J55" s="20" t="s">
        <v>349</v>
      </c>
      <c r="K55" s="18" t="n">
        <v>3.57977014</v>
      </c>
      <c r="L55" s="20" t="n">
        <v>0.66038655</v>
      </c>
      <c r="M55" s="18" t="n">
        <v>0</v>
      </c>
      <c r="N55" s="20" t="n">
        <v>0</v>
      </c>
      <c r="O55" s="18" t="n">
        <v>0.09612447</v>
      </c>
      <c r="P55" s="20" t="n">
        <v>0.09509918000000001</v>
      </c>
      <c r="Q55" s="18" t="n">
        <v>72.24455657999999</v>
      </c>
      <c r="R55" s="20" t="n">
        <v>1.57887881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62.2600153</v>
      </c>
      <c r="F57" s="20" t="n">
        <v>2.2107057</v>
      </c>
      <c r="G57" s="18" t="n">
        <v>4.69016092</v>
      </c>
      <c r="H57" s="20" t="n">
        <v>0.8124565500000001</v>
      </c>
      <c r="I57" s="18" t="s">
        <v>349</v>
      </c>
      <c r="J57" s="20" t="s">
        <v>349</v>
      </c>
      <c r="K57" s="18" t="n">
        <v>2.48506605</v>
      </c>
      <c r="L57" s="20" t="n">
        <v>0.47628551</v>
      </c>
      <c r="M57" s="18" t="n">
        <v>0</v>
      </c>
      <c r="N57" s="20" t="n">
        <v>0</v>
      </c>
      <c r="O57" s="18" t="n">
        <v>0</v>
      </c>
      <c r="P57" s="20" t="n">
        <v>0</v>
      </c>
      <c r="Q57" s="18" t="n">
        <v>30.56475772</v>
      </c>
      <c r="R57" s="20" t="n">
        <v>2.09572192</v>
      </c>
    </row>
    <row r="58" spans="1:18">
      <c r="A58" s="15" t="s">
        <v>400</v>
      </c>
      <c r="B58" s="17" t="n">
        <v>7267</v>
      </c>
      <c r="C58" s="18">
        <f>(6028.0/B58*100)</f>
        <v/>
      </c>
      <c r="D58" s="19" t="n">
        <v>1239</v>
      </c>
      <c r="E58" s="18" t="n">
        <v>51.01750777</v>
      </c>
      <c r="F58" s="20" t="n">
        <v>1.71797656</v>
      </c>
      <c r="G58" s="18" t="n">
        <v>1.04294338</v>
      </c>
      <c r="H58" s="20" t="n">
        <v>0.48784828</v>
      </c>
      <c r="I58" s="18" t="s">
        <v>349</v>
      </c>
      <c r="J58" s="20" t="s">
        <v>349</v>
      </c>
      <c r="K58" s="18" t="n">
        <v>3.71889448</v>
      </c>
      <c r="L58" s="20" t="n">
        <v>0.6038221499999999</v>
      </c>
      <c r="M58" s="18" t="n">
        <v>0</v>
      </c>
      <c r="N58" s="20" t="n">
        <v>0</v>
      </c>
      <c r="O58" s="18" t="n">
        <v>0</v>
      </c>
      <c r="P58" s="20" t="n">
        <v>0</v>
      </c>
      <c r="Q58" s="18" t="n">
        <v>44.22065437</v>
      </c>
      <c r="R58" s="20" t="n">
        <v>1.80474491</v>
      </c>
    </row>
    <row r="59" spans="1:18">
      <c r="A59" s="15" t="s">
        <v>401</v>
      </c>
      <c r="B59" s="17" t="n">
        <v>4826</v>
      </c>
      <c r="C59" s="18">
        <f>(4040.0/B59*100)</f>
        <v/>
      </c>
      <c r="D59" s="19" t="n">
        <v>786</v>
      </c>
      <c r="E59" s="18" t="n">
        <v>38.60420684</v>
      </c>
      <c r="F59" s="20" t="n">
        <v>2.0459606</v>
      </c>
      <c r="G59" s="18" t="n">
        <v>1.44656456</v>
      </c>
      <c r="H59" s="20" t="n">
        <v>0.55848327</v>
      </c>
      <c r="I59" s="18" t="s">
        <v>349</v>
      </c>
      <c r="J59" s="20" t="s">
        <v>349</v>
      </c>
      <c r="K59" s="18" t="n">
        <v>2.29467812</v>
      </c>
      <c r="L59" s="20" t="n">
        <v>0.61114237</v>
      </c>
      <c r="M59" s="18" t="n">
        <v>0</v>
      </c>
      <c r="N59" s="20" t="n">
        <v>0</v>
      </c>
      <c r="O59" s="18" t="n">
        <v>0</v>
      </c>
      <c r="P59" s="20" t="n">
        <v>0</v>
      </c>
      <c r="Q59" s="18" t="n">
        <v>57.65455048</v>
      </c>
      <c r="R59" s="20" t="n">
        <v>2.10633671</v>
      </c>
    </row>
    <row r="60" spans="1:18">
      <c r="A60" s="15" t="s">
        <v>402</v>
      </c>
      <c r="B60" s="17" t="n">
        <v>4546</v>
      </c>
      <c r="C60" s="18">
        <f>(3788.0/B60*100)</f>
        <v/>
      </c>
      <c r="D60" s="19" t="n">
        <v>758</v>
      </c>
      <c r="E60" s="18" t="n">
        <v>21.22632985</v>
      </c>
      <c r="F60" s="20" t="n">
        <v>1.74211971</v>
      </c>
      <c r="G60" s="18" t="n">
        <v>3.51801657</v>
      </c>
      <c r="H60" s="20" t="n">
        <v>0.6610025899999999</v>
      </c>
      <c r="I60" s="18" t="s">
        <v>349</v>
      </c>
      <c r="J60" s="20" t="s">
        <v>349</v>
      </c>
      <c r="K60" s="18" t="n">
        <v>7.17676192</v>
      </c>
      <c r="L60" s="20" t="n">
        <v>1.02901097</v>
      </c>
      <c r="M60" s="18" t="n">
        <v>0</v>
      </c>
      <c r="N60" s="20" t="n">
        <v>0</v>
      </c>
      <c r="O60" s="18" t="n">
        <v>1.4119239</v>
      </c>
      <c r="P60" s="20" t="n">
        <v>0.42862717</v>
      </c>
      <c r="Q60" s="18" t="n">
        <v>66.66696777</v>
      </c>
      <c r="R60" s="20" t="n">
        <v>1.98732755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16.38591256</v>
      </c>
      <c r="F63" s="20" t="n">
        <v>1.29620506</v>
      </c>
      <c r="G63" s="18" t="n">
        <v>2.7289469</v>
      </c>
      <c r="H63" s="20" t="n">
        <v>0.69603991</v>
      </c>
      <c r="I63" s="18" t="s">
        <v>349</v>
      </c>
      <c r="J63" s="20" t="s">
        <v>349</v>
      </c>
      <c r="K63" s="18" t="n">
        <v>4.10944843</v>
      </c>
      <c r="L63" s="20" t="n">
        <v>0.6803104</v>
      </c>
      <c r="M63" s="18" t="n">
        <v>0</v>
      </c>
      <c r="N63" s="20" t="n">
        <v>0</v>
      </c>
      <c r="O63" s="18" t="n">
        <v>0</v>
      </c>
      <c r="P63" s="20" t="n">
        <v>0</v>
      </c>
      <c r="Q63" s="18" t="n">
        <v>76.77569210999999</v>
      </c>
      <c r="R63" s="20" t="n">
        <v>1.47283831</v>
      </c>
    </row>
    <row r="64" spans="1:18">
      <c r="A64" s="15" t="s">
        <v>406</v>
      </c>
      <c r="B64" s="17" t="n">
        <v>3634</v>
      </c>
      <c r="C64" s="18">
        <f>(3031.0/B64*100)</f>
        <v/>
      </c>
      <c r="D64" s="19" t="n">
        <v>603</v>
      </c>
      <c r="E64" s="18" t="n">
        <v>33.67840365</v>
      </c>
      <c r="F64" s="20" t="n">
        <v>1.76630432</v>
      </c>
      <c r="G64" s="18" t="n">
        <v>16.40764887</v>
      </c>
      <c r="H64" s="20" t="n">
        <v>1.44870903</v>
      </c>
      <c r="I64" s="18" t="s">
        <v>349</v>
      </c>
      <c r="J64" s="20" t="s">
        <v>349</v>
      </c>
      <c r="K64" s="18" t="n">
        <v>3.10015506</v>
      </c>
      <c r="L64" s="20" t="n">
        <v>0.76719185</v>
      </c>
      <c r="M64" s="18" t="n">
        <v>0</v>
      </c>
      <c r="N64" s="20" t="n">
        <v>0</v>
      </c>
      <c r="O64" s="18" t="n">
        <v>0</v>
      </c>
      <c r="P64" s="20" t="n">
        <v>0</v>
      </c>
      <c r="Q64" s="18" t="n">
        <v>46.81379242</v>
      </c>
      <c r="R64" s="20" t="n">
        <v>2.24505713</v>
      </c>
    </row>
    <row r="65" spans="1:18">
      <c r="A65" s="15" t="s">
        <v>407</v>
      </c>
      <c r="B65" s="17" t="n">
        <v>5325</v>
      </c>
      <c r="C65" s="18">
        <f>(4432.0/B65*100)</f>
        <v/>
      </c>
      <c r="D65" s="19" t="n">
        <v>893</v>
      </c>
      <c r="E65" s="18" t="n">
        <v>19.63769431</v>
      </c>
      <c r="F65" s="20" t="n">
        <v>1.50208918</v>
      </c>
      <c r="G65" s="18" t="n">
        <v>2.5085171</v>
      </c>
      <c r="H65" s="20" t="n">
        <v>0.5637356</v>
      </c>
      <c r="I65" s="18" t="s">
        <v>349</v>
      </c>
      <c r="J65" s="20" t="s">
        <v>349</v>
      </c>
      <c r="K65" s="18" t="n">
        <v>8.40341928</v>
      </c>
      <c r="L65" s="20" t="n">
        <v>1.01192569</v>
      </c>
      <c r="M65" s="18" t="n">
        <v>0</v>
      </c>
      <c r="N65" s="20" t="n">
        <v>0</v>
      </c>
      <c r="O65" s="18" t="n">
        <v>0</v>
      </c>
      <c r="P65" s="20" t="n">
        <v>0</v>
      </c>
      <c r="Q65" s="18" t="n">
        <v>69.45036931</v>
      </c>
      <c r="R65" s="20" t="n">
        <v>1.89338968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91.06879734</v>
      </c>
      <c r="F69" s="20" t="n">
        <v>1.09384817</v>
      </c>
      <c r="G69" s="18" t="n">
        <v>8.81383325</v>
      </c>
      <c r="H69" s="20" t="n">
        <v>1.09063495</v>
      </c>
      <c r="I69" s="18" t="s">
        <v>349</v>
      </c>
      <c r="J69" s="20" t="s">
        <v>349</v>
      </c>
      <c r="K69" s="18" t="n">
        <v>0</v>
      </c>
      <c r="L69" s="20" t="n">
        <v>0</v>
      </c>
      <c r="M69" s="18" t="n">
        <v>0</v>
      </c>
      <c r="N69" s="20" t="n">
        <v>0</v>
      </c>
      <c r="O69" s="18" t="n">
        <v>0</v>
      </c>
      <c r="P69" s="20" t="n">
        <v>0</v>
      </c>
      <c r="Q69" s="18" t="n">
        <v>0.11736941</v>
      </c>
      <c r="R69" s="20" t="n">
        <v>0.11715382</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28.25995825</v>
      </c>
      <c r="F74" s="20" t="n">
        <v>1.88066107</v>
      </c>
      <c r="G74" s="18" t="n">
        <v>4.5253443</v>
      </c>
      <c r="H74" s="20" t="n">
        <v>0.73171832</v>
      </c>
      <c r="I74" s="18" t="s">
        <v>349</v>
      </c>
      <c r="J74" s="20" t="s">
        <v>349</v>
      </c>
      <c r="K74" s="18" t="n">
        <v>7.43870335</v>
      </c>
      <c r="L74" s="20" t="n">
        <v>1.05108507</v>
      </c>
      <c r="M74" s="18" t="n">
        <v>0</v>
      </c>
      <c r="N74" s="20" t="n">
        <v>0</v>
      </c>
      <c r="O74" s="18" t="n">
        <v>0</v>
      </c>
      <c r="P74" s="20" t="n">
        <v>0</v>
      </c>
      <c r="Q74" s="18" t="n">
        <v>59.7759941</v>
      </c>
      <c r="R74" s="20" t="n">
        <v>2.07731905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81.06372863999999</v>
      </c>
      <c r="F78" s="20" t="n">
        <v>1.27238941</v>
      </c>
      <c r="G78" s="18" t="n">
        <v>7.7321846</v>
      </c>
      <c r="H78" s="20" t="n">
        <v>1.04602962</v>
      </c>
      <c r="I78" s="18" t="s">
        <v>349</v>
      </c>
      <c r="J78" s="20" t="s">
        <v>349</v>
      </c>
      <c r="K78" s="18" t="n">
        <v>0</v>
      </c>
      <c r="L78" s="20" t="n">
        <v>0</v>
      </c>
      <c r="M78" s="18" t="n">
        <v>0</v>
      </c>
      <c r="N78" s="20" t="n">
        <v>0</v>
      </c>
      <c r="O78" s="18" t="n">
        <v>0</v>
      </c>
      <c r="P78" s="20" t="n">
        <v>0</v>
      </c>
      <c r="Q78" s="18" t="n">
        <v>11.20408675</v>
      </c>
      <c r="R78" s="20" t="n">
        <v>0.99404825</v>
      </c>
    </row>
    <row customHeight="1" ht="25" r="79" spans="1:18">
      <c r="A79" s="15" t="s">
        <v>421</v>
      </c>
      <c r="B79" s="17" t="n">
        <v>1657</v>
      </c>
      <c r="C79" s="18">
        <f>(1385.0/B79*100)</f>
        <v/>
      </c>
      <c r="D79" s="19" t="n">
        <v>272</v>
      </c>
      <c r="E79" s="18" t="n">
        <v>35.60484468</v>
      </c>
      <c r="F79" s="20" t="n">
        <v>3.47386315</v>
      </c>
      <c r="G79" s="18" t="n">
        <v>4.0465114</v>
      </c>
      <c r="H79" s="20" t="n">
        <v>1.32329193</v>
      </c>
      <c r="I79" s="18" t="s">
        <v>349</v>
      </c>
      <c r="J79" s="20" t="s">
        <v>349</v>
      </c>
      <c r="K79" s="18" t="n">
        <v>8.740629520000001</v>
      </c>
      <c r="L79" s="20" t="n">
        <v>1.93503406</v>
      </c>
      <c r="M79" s="18" t="n">
        <v>0</v>
      </c>
      <c r="N79" s="20" t="n">
        <v>0</v>
      </c>
      <c r="O79" s="18" t="n">
        <v>0</v>
      </c>
      <c r="P79" s="20" t="n">
        <v>0</v>
      </c>
      <c r="Q79" s="18" t="n">
        <v>51.6080144</v>
      </c>
      <c r="R79" s="20" t="n">
        <v>3.54599152</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59.30213673</v>
      </c>
      <c r="F44" s="20" t="n">
        <v>1.79643769</v>
      </c>
      <c r="G44" s="18" t="n">
        <v>27.71272931</v>
      </c>
      <c r="H44" s="20" t="n">
        <v>1.513646</v>
      </c>
      <c r="I44" s="18" t="s">
        <v>349</v>
      </c>
      <c r="J44" s="20" t="s">
        <v>349</v>
      </c>
      <c r="K44" s="18" t="n">
        <v>6.41332457</v>
      </c>
      <c r="L44" s="20" t="n">
        <v>0.98543514</v>
      </c>
      <c r="M44" s="18" t="n">
        <v>0</v>
      </c>
      <c r="N44" s="20" t="n">
        <v>0</v>
      </c>
      <c r="O44" s="18" t="n">
        <v>0</v>
      </c>
      <c r="P44" s="20" t="n">
        <v>0</v>
      </c>
      <c r="Q44" s="18" t="n">
        <v>6.57180939</v>
      </c>
      <c r="R44" s="20" t="n">
        <v>0.9894937700000001</v>
      </c>
    </row>
    <row r="45" spans="1:18">
      <c r="A45" s="15" t="s">
        <v>387</v>
      </c>
      <c r="B45" s="17" t="n">
        <v>5519</v>
      </c>
      <c r="C45" s="18">
        <f>(4594.0/B45*100)</f>
        <v/>
      </c>
      <c r="D45" s="19" t="n">
        <v>925</v>
      </c>
      <c r="E45" s="18" t="n">
        <v>71.65216592</v>
      </c>
      <c r="F45" s="20" t="n">
        <v>1.64329621</v>
      </c>
      <c r="G45" s="18" t="n">
        <v>14.68994321</v>
      </c>
      <c r="H45" s="20" t="n">
        <v>1.01016814</v>
      </c>
      <c r="I45" s="18" t="s">
        <v>349</v>
      </c>
      <c r="J45" s="20" t="s">
        <v>349</v>
      </c>
      <c r="K45" s="18" t="n">
        <v>9.710258789999999</v>
      </c>
      <c r="L45" s="20" t="n">
        <v>1.13831306</v>
      </c>
      <c r="M45" s="18" t="n">
        <v>0</v>
      </c>
      <c r="N45" s="20" t="n">
        <v>0</v>
      </c>
      <c r="O45" s="18" t="n">
        <v>0</v>
      </c>
      <c r="P45" s="20" t="n">
        <v>0</v>
      </c>
      <c r="Q45" s="18" t="n">
        <v>3.94763209</v>
      </c>
      <c r="R45" s="20" t="n">
        <v>0.91843222</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61.5032137</v>
      </c>
      <c r="F49" s="20" t="n">
        <v>1.65582586</v>
      </c>
      <c r="G49" s="18" t="n">
        <v>30.74346548</v>
      </c>
      <c r="H49" s="20" t="n">
        <v>1.70505114</v>
      </c>
      <c r="I49" s="18" t="s">
        <v>349</v>
      </c>
      <c r="J49" s="20" t="s">
        <v>349</v>
      </c>
      <c r="K49" s="18" t="n">
        <v>4.50259145</v>
      </c>
      <c r="L49" s="20" t="n">
        <v>0.7728929</v>
      </c>
      <c r="M49" s="18" t="n">
        <v>0</v>
      </c>
      <c r="N49" s="20" t="n">
        <v>0</v>
      </c>
      <c r="O49" s="18" t="n">
        <v>0</v>
      </c>
      <c r="P49" s="20" t="n">
        <v>0</v>
      </c>
      <c r="Q49" s="18" t="n">
        <v>3.25072937</v>
      </c>
      <c r="R49" s="20" t="n">
        <v>0.5637486900000001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63.41985302</v>
      </c>
      <c r="F55" s="20" t="n">
        <v>1.70203077</v>
      </c>
      <c r="G55" s="18" t="n">
        <v>27.26272352</v>
      </c>
      <c r="H55" s="20" t="n">
        <v>1.70391762</v>
      </c>
      <c r="I55" s="18" t="s">
        <v>349</v>
      </c>
      <c r="J55" s="20" t="s">
        <v>349</v>
      </c>
      <c r="K55" s="18" t="n">
        <v>3.70041095</v>
      </c>
      <c r="L55" s="20" t="n">
        <v>0.67080482</v>
      </c>
      <c r="M55" s="18" t="n">
        <v>0</v>
      </c>
      <c r="N55" s="20" t="n">
        <v>0</v>
      </c>
      <c r="O55" s="18" t="n">
        <v>0.30253873</v>
      </c>
      <c r="P55" s="20" t="n">
        <v>0.17682312</v>
      </c>
      <c r="Q55" s="18" t="n">
        <v>5.31447378</v>
      </c>
      <c r="R55" s="20" t="n">
        <v>0.75048618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77.52147033</v>
      </c>
      <c r="F57" s="20" t="n">
        <v>1.30404284</v>
      </c>
      <c r="G57" s="18" t="n">
        <v>17.86839675</v>
      </c>
      <c r="H57" s="20" t="n">
        <v>1.23506312</v>
      </c>
      <c r="I57" s="18" t="s">
        <v>349</v>
      </c>
      <c r="J57" s="20" t="s">
        <v>349</v>
      </c>
      <c r="K57" s="18" t="n">
        <v>2.66848687</v>
      </c>
      <c r="L57" s="20" t="n">
        <v>0.55161476</v>
      </c>
      <c r="M57" s="18" t="n">
        <v>0</v>
      </c>
      <c r="N57" s="20" t="n">
        <v>0</v>
      </c>
      <c r="O57" s="18" t="n">
        <v>0</v>
      </c>
      <c r="P57" s="20" t="n">
        <v>0</v>
      </c>
      <c r="Q57" s="18" t="n">
        <v>1.94164605</v>
      </c>
      <c r="R57" s="20" t="n">
        <v>0.52720965</v>
      </c>
    </row>
    <row r="58" spans="1:18">
      <c r="A58" s="15" t="s">
        <v>400</v>
      </c>
      <c r="B58" s="17" t="n">
        <v>7267</v>
      </c>
      <c r="C58" s="18">
        <f>(6028.0/B58*100)</f>
        <v/>
      </c>
      <c r="D58" s="19" t="n">
        <v>1239</v>
      </c>
      <c r="E58" s="18" t="n">
        <v>74.26660101</v>
      </c>
      <c r="F58" s="20" t="n">
        <v>1.48696603</v>
      </c>
      <c r="G58" s="18" t="n">
        <v>18.3490801</v>
      </c>
      <c r="H58" s="20" t="n">
        <v>1.27734383</v>
      </c>
      <c r="I58" s="18" t="s">
        <v>349</v>
      </c>
      <c r="J58" s="20" t="s">
        <v>349</v>
      </c>
      <c r="K58" s="18" t="n">
        <v>3.71889448</v>
      </c>
      <c r="L58" s="20" t="n">
        <v>0.6038221499999999</v>
      </c>
      <c r="M58" s="18" t="n">
        <v>0</v>
      </c>
      <c r="N58" s="20" t="n">
        <v>0</v>
      </c>
      <c r="O58" s="18" t="n">
        <v>0.34477893</v>
      </c>
      <c r="P58" s="20" t="n">
        <v>0.25836483</v>
      </c>
      <c r="Q58" s="18" t="n">
        <v>3.32064548</v>
      </c>
      <c r="R58" s="20" t="n">
        <v>0.68780182</v>
      </c>
    </row>
    <row r="59" spans="1:18">
      <c r="A59" s="15" t="s">
        <v>401</v>
      </c>
      <c r="B59" s="17" t="n">
        <v>4826</v>
      </c>
      <c r="C59" s="18">
        <f>(4040.0/B59*100)</f>
        <v/>
      </c>
      <c r="D59" s="19" t="n">
        <v>786</v>
      </c>
      <c r="E59" s="18" t="n">
        <v>66.04518645</v>
      </c>
      <c r="F59" s="20" t="n">
        <v>2.22008704</v>
      </c>
      <c r="G59" s="18" t="n">
        <v>28.80299769</v>
      </c>
      <c r="H59" s="20" t="n">
        <v>1.99103632</v>
      </c>
      <c r="I59" s="18" t="s">
        <v>349</v>
      </c>
      <c r="J59" s="20" t="s">
        <v>349</v>
      </c>
      <c r="K59" s="18" t="n">
        <v>2.29467812</v>
      </c>
      <c r="L59" s="20" t="n">
        <v>0.61114237</v>
      </c>
      <c r="M59" s="18" t="n">
        <v>0</v>
      </c>
      <c r="N59" s="20" t="n">
        <v>0</v>
      </c>
      <c r="O59" s="18" t="n">
        <v>0.03885558</v>
      </c>
      <c r="P59" s="20" t="n">
        <v>0.03875913</v>
      </c>
      <c r="Q59" s="18" t="n">
        <v>2.81828216</v>
      </c>
      <c r="R59" s="20" t="n">
        <v>0.72905011</v>
      </c>
    </row>
    <row r="60" spans="1:18">
      <c r="A60" s="15" t="s">
        <v>402</v>
      </c>
      <c r="B60" s="17" t="n">
        <v>4546</v>
      </c>
      <c r="C60" s="18">
        <f>(3788.0/B60*100)</f>
        <v/>
      </c>
      <c r="D60" s="19" t="n">
        <v>758</v>
      </c>
      <c r="E60" s="18" t="n">
        <v>66.12471185</v>
      </c>
      <c r="F60" s="20" t="n">
        <v>1.87479799</v>
      </c>
      <c r="G60" s="18" t="n">
        <v>22.56105486</v>
      </c>
      <c r="H60" s="20" t="n">
        <v>1.81890209</v>
      </c>
      <c r="I60" s="18" t="s">
        <v>349</v>
      </c>
      <c r="J60" s="20" t="s">
        <v>349</v>
      </c>
      <c r="K60" s="18" t="n">
        <v>7.66386277</v>
      </c>
      <c r="L60" s="20" t="n">
        <v>1.04540417</v>
      </c>
      <c r="M60" s="18" t="n">
        <v>0</v>
      </c>
      <c r="N60" s="20" t="n">
        <v>0</v>
      </c>
      <c r="O60" s="18" t="n">
        <v>0</v>
      </c>
      <c r="P60" s="20" t="n">
        <v>0</v>
      </c>
      <c r="Q60" s="18" t="n">
        <v>3.65037052</v>
      </c>
      <c r="R60" s="20" t="n">
        <v>0.80556237</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62.99492614</v>
      </c>
      <c r="F63" s="20" t="n">
        <v>1.53544095</v>
      </c>
      <c r="G63" s="18" t="n">
        <v>28.09720188</v>
      </c>
      <c r="H63" s="20" t="n">
        <v>1.58425314</v>
      </c>
      <c r="I63" s="18" t="s">
        <v>349</v>
      </c>
      <c r="J63" s="20" t="s">
        <v>349</v>
      </c>
      <c r="K63" s="18" t="n">
        <v>4.10944843</v>
      </c>
      <c r="L63" s="20" t="n">
        <v>0.6803104</v>
      </c>
      <c r="M63" s="18" t="n">
        <v>0</v>
      </c>
      <c r="N63" s="20" t="n">
        <v>0</v>
      </c>
      <c r="O63" s="18" t="n">
        <v>0</v>
      </c>
      <c r="P63" s="20" t="n">
        <v>0</v>
      </c>
      <c r="Q63" s="18" t="n">
        <v>4.79842355</v>
      </c>
      <c r="R63" s="20" t="n">
        <v>0.67677114</v>
      </c>
    </row>
    <row r="64" spans="1:18">
      <c r="A64" s="15" t="s">
        <v>406</v>
      </c>
      <c r="B64" s="17" t="n">
        <v>3634</v>
      </c>
      <c r="C64" s="18">
        <f>(3031.0/B64*100)</f>
        <v/>
      </c>
      <c r="D64" s="19" t="n">
        <v>603</v>
      </c>
      <c r="E64" s="18" t="n">
        <v>60.46207692</v>
      </c>
      <c r="F64" s="20" t="n">
        <v>1.96802789</v>
      </c>
      <c r="G64" s="18" t="n">
        <v>35.3904519</v>
      </c>
      <c r="H64" s="20" t="n">
        <v>1.82361119</v>
      </c>
      <c r="I64" s="18" t="s">
        <v>349</v>
      </c>
      <c r="J64" s="20" t="s">
        <v>349</v>
      </c>
      <c r="K64" s="18" t="n">
        <v>3.27798714</v>
      </c>
      <c r="L64" s="20" t="n">
        <v>0.78704482</v>
      </c>
      <c r="M64" s="18" t="n">
        <v>0</v>
      </c>
      <c r="N64" s="20" t="n">
        <v>0</v>
      </c>
      <c r="O64" s="18" t="n">
        <v>0</v>
      </c>
      <c r="P64" s="20" t="n">
        <v>0</v>
      </c>
      <c r="Q64" s="18" t="n">
        <v>0.86948405</v>
      </c>
      <c r="R64" s="20" t="n">
        <v>0.38297917</v>
      </c>
    </row>
    <row r="65" spans="1:18">
      <c r="A65" s="15" t="s">
        <v>407</v>
      </c>
      <c r="B65" s="17" t="n">
        <v>5325</v>
      </c>
      <c r="C65" s="18">
        <f>(4432.0/B65*100)</f>
        <v/>
      </c>
      <c r="D65" s="19" t="n">
        <v>893</v>
      </c>
      <c r="E65" s="18" t="n">
        <v>59.45702709</v>
      </c>
      <c r="F65" s="20" t="n">
        <v>1.75791219</v>
      </c>
      <c r="G65" s="18" t="n">
        <v>28.68321811</v>
      </c>
      <c r="H65" s="20" t="n">
        <v>1.66068833</v>
      </c>
      <c r="I65" s="18" t="s">
        <v>349</v>
      </c>
      <c r="J65" s="20" t="s">
        <v>349</v>
      </c>
      <c r="K65" s="18" t="n">
        <v>8.40341928</v>
      </c>
      <c r="L65" s="20" t="n">
        <v>1.01192569</v>
      </c>
      <c r="M65" s="18" t="n">
        <v>0</v>
      </c>
      <c r="N65" s="20" t="n">
        <v>0</v>
      </c>
      <c r="O65" s="18" t="n">
        <v>0</v>
      </c>
      <c r="P65" s="20" t="n">
        <v>0</v>
      </c>
      <c r="Q65" s="18" t="n">
        <v>3.45633552</v>
      </c>
      <c r="R65" s="20" t="n">
        <v>0.5299142999999999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63.72675695</v>
      </c>
      <c r="F69" s="20" t="n">
        <v>2.1693343</v>
      </c>
      <c r="G69" s="18" t="n">
        <v>36.27324305</v>
      </c>
      <c r="H69" s="20" t="n">
        <v>2.1693343</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59.12006601</v>
      </c>
      <c r="F74" s="20" t="n">
        <v>2.17191993</v>
      </c>
      <c r="G74" s="18" t="n">
        <v>29.86228634</v>
      </c>
      <c r="H74" s="20" t="n">
        <v>1.94154353</v>
      </c>
      <c r="I74" s="18" t="s">
        <v>349</v>
      </c>
      <c r="J74" s="20" t="s">
        <v>349</v>
      </c>
      <c r="K74" s="18" t="n">
        <v>7.81233903</v>
      </c>
      <c r="L74" s="20" t="n">
        <v>1.05387727</v>
      </c>
      <c r="M74" s="18" t="n">
        <v>0</v>
      </c>
      <c r="N74" s="20" t="n">
        <v>0</v>
      </c>
      <c r="O74" s="18" t="n">
        <v>0</v>
      </c>
      <c r="P74" s="20" t="n">
        <v>0</v>
      </c>
      <c r="Q74" s="18" t="n">
        <v>3.20530862</v>
      </c>
      <c r="R74" s="20" t="n">
        <v>0.64830758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37.61538098</v>
      </c>
      <c r="F78" s="20" t="n">
        <v>1.96619899</v>
      </c>
      <c r="G78" s="18" t="n">
        <v>62.38461902</v>
      </c>
      <c r="H78" s="20" t="n">
        <v>1.96619899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(1385.0/B79*100)</f>
        <v/>
      </c>
      <c r="D79" s="19" t="n">
        <v>272</v>
      </c>
      <c r="E79" s="18" t="n">
        <v>49.43342747</v>
      </c>
      <c r="F79" s="20" t="n">
        <v>2.47921634</v>
      </c>
      <c r="G79" s="18" t="n">
        <v>37.42079031</v>
      </c>
      <c r="H79" s="20" t="n">
        <v>2.75235269</v>
      </c>
      <c r="I79" s="18" t="s">
        <v>349</v>
      </c>
      <c r="J79" s="20" t="s">
        <v>349</v>
      </c>
      <c r="K79" s="18" t="n">
        <v>9.148231770000001</v>
      </c>
      <c r="L79" s="20" t="n">
        <v>1.99819223</v>
      </c>
      <c r="M79" s="18" t="n">
        <v>0</v>
      </c>
      <c r="N79" s="20" t="n">
        <v>0</v>
      </c>
      <c r="O79" s="18" t="n">
        <v>0</v>
      </c>
      <c r="P79" s="20" t="n">
        <v>0</v>
      </c>
      <c r="Q79" s="18" t="n">
        <v>3.99755046</v>
      </c>
      <c r="R79" s="20" t="n">
        <v>1.19224236</v>
      </c>
    </row>
    <row r="80" spans="1:18">
      <c r="A80" s="15" t="s">
        <v>422</v>
      </c>
      <c r="B80" s="17" t="n">
        <v>7841</v>
      </c>
      <c r="C80" s="18">
        <f>(6548.0/B80*100)</f>
        <v/>
      </c>
      <c r="D80" s="19" t="n">
        <v>1293</v>
      </c>
      <c r="E80" s="18" t="n">
        <v>69.46842047</v>
      </c>
      <c r="F80" s="20" t="n">
        <v>2.09401604</v>
      </c>
      <c r="G80" s="18" t="n">
        <v>30.10181182</v>
      </c>
      <c r="H80" s="20" t="n">
        <v>2.09942901</v>
      </c>
      <c r="I80" s="18" t="s">
        <v>349</v>
      </c>
      <c r="J80" s="20" t="s">
        <v>349</v>
      </c>
      <c r="K80" s="18" t="n">
        <v>0.4297677</v>
      </c>
      <c r="L80" s="20" t="n">
        <v>0.25096002</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51.68941813</v>
      </c>
      <c r="F44" s="20" t="n">
        <v>1.95108286</v>
      </c>
      <c r="G44" s="18" t="n">
        <v>25.04975585</v>
      </c>
      <c r="H44" s="20" t="n">
        <v>1.69365803</v>
      </c>
      <c r="I44" s="18" t="s">
        <v>349</v>
      </c>
      <c r="J44" s="20" t="s">
        <v>349</v>
      </c>
      <c r="K44" s="18" t="n">
        <v>8.35520509</v>
      </c>
      <c r="L44" s="20" t="n">
        <v>1.0739274</v>
      </c>
      <c r="M44" s="18" t="n">
        <v>0</v>
      </c>
      <c r="N44" s="20" t="n">
        <v>0</v>
      </c>
      <c r="O44" s="18" t="n">
        <v>3.35680287</v>
      </c>
      <c r="P44" s="20" t="n">
        <v>0.76776078</v>
      </c>
      <c r="Q44" s="18" t="n">
        <v>11.54881805</v>
      </c>
      <c r="R44" s="20" t="n">
        <v>1.17809859</v>
      </c>
    </row>
    <row r="45" spans="1:18">
      <c r="A45" s="15" t="s">
        <v>387</v>
      </c>
      <c r="B45" s="17" t="n">
        <v>5519</v>
      </c>
      <c r="C45" s="18">
        <f>(4594.0/B45*100)</f>
        <v/>
      </c>
      <c r="D45" s="19" t="n">
        <v>925</v>
      </c>
      <c r="E45" s="18" t="n">
        <v>53.22754169</v>
      </c>
      <c r="F45" s="20" t="n">
        <v>2.19738023</v>
      </c>
      <c r="G45" s="18" t="n">
        <v>18.17405478</v>
      </c>
      <c r="H45" s="20" t="n">
        <v>1.24887288</v>
      </c>
      <c r="I45" s="18" t="s">
        <v>349</v>
      </c>
      <c r="J45" s="20" t="s">
        <v>349</v>
      </c>
      <c r="K45" s="18" t="n">
        <v>12.87765659</v>
      </c>
      <c r="L45" s="20" t="n">
        <v>1.40765928</v>
      </c>
      <c r="M45" s="18" t="n">
        <v>1.60392774</v>
      </c>
      <c r="N45" s="20" t="n">
        <v>0.45204389</v>
      </c>
      <c r="O45" s="18" t="n">
        <v>5.11856204</v>
      </c>
      <c r="P45" s="20" t="n">
        <v>0.81706757</v>
      </c>
      <c r="Q45" s="18" t="n">
        <v>8.99825717</v>
      </c>
      <c r="R45" s="20" t="n">
        <v>1.0244597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51.9549485</v>
      </c>
      <c r="F49" s="20" t="n">
        <v>2.08533658</v>
      </c>
      <c r="G49" s="18" t="n">
        <v>30.86969233</v>
      </c>
      <c r="H49" s="20" t="n">
        <v>1.70688398</v>
      </c>
      <c r="I49" s="18" t="s">
        <v>349</v>
      </c>
      <c r="J49" s="20" t="s">
        <v>349</v>
      </c>
      <c r="K49" s="18" t="n">
        <v>6.11912962</v>
      </c>
      <c r="L49" s="20" t="n">
        <v>0.93810096</v>
      </c>
      <c r="M49" s="18" t="n">
        <v>0</v>
      </c>
      <c r="N49" s="20" t="n">
        <v>0</v>
      </c>
      <c r="O49" s="18" t="n">
        <v>2.25486384</v>
      </c>
      <c r="P49" s="20" t="n">
        <v>0.55024088</v>
      </c>
      <c r="Q49" s="18" t="n">
        <v>8.801365710000001</v>
      </c>
      <c r="R49" s="20" t="n">
        <v>1.00590438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60.02892163</v>
      </c>
      <c r="F55" s="20" t="n">
        <v>1.66452189</v>
      </c>
      <c r="G55" s="18" t="n">
        <v>26.58303426</v>
      </c>
      <c r="H55" s="20" t="n">
        <v>1.69144182</v>
      </c>
      <c r="I55" s="18" t="s">
        <v>349</v>
      </c>
      <c r="J55" s="20" t="s">
        <v>349</v>
      </c>
      <c r="K55" s="18" t="n">
        <v>4.78096367</v>
      </c>
      <c r="L55" s="20" t="n">
        <v>0.77793807</v>
      </c>
      <c r="M55" s="18" t="n">
        <v>0</v>
      </c>
      <c r="N55" s="20" t="n">
        <v>0</v>
      </c>
      <c r="O55" s="18" t="n">
        <v>0.67675834</v>
      </c>
      <c r="P55" s="20" t="n">
        <v>0.28397616</v>
      </c>
      <c r="Q55" s="18" t="n">
        <v>7.93032209</v>
      </c>
      <c r="R55" s="20" t="n">
        <v>1.03371148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71.06207482000001</v>
      </c>
      <c r="F57" s="20" t="n">
        <v>1.30394415</v>
      </c>
      <c r="G57" s="18" t="n">
        <v>21.45713242</v>
      </c>
      <c r="H57" s="20" t="n">
        <v>1.21128236</v>
      </c>
      <c r="I57" s="18" t="s">
        <v>349</v>
      </c>
      <c r="J57" s="20" t="s">
        <v>349</v>
      </c>
      <c r="K57" s="18" t="n">
        <v>3.45732682</v>
      </c>
      <c r="L57" s="20" t="n">
        <v>0.6551220800000001</v>
      </c>
      <c r="M57" s="18" t="n">
        <v>0.14604121</v>
      </c>
      <c r="N57" s="20" t="n">
        <v>0.1454575</v>
      </c>
      <c r="O57" s="18" t="n">
        <v>0</v>
      </c>
      <c r="P57" s="20" t="n">
        <v>0</v>
      </c>
      <c r="Q57" s="18" t="n">
        <v>3.87742473</v>
      </c>
      <c r="R57" s="20" t="n">
        <v>0.66970021</v>
      </c>
    </row>
    <row r="58" spans="1:18">
      <c r="A58" s="15" t="s">
        <v>400</v>
      </c>
      <c r="B58" s="17" t="n">
        <v>7267</v>
      </c>
      <c r="C58" s="18">
        <f>(6028.0/B58*100)</f>
        <v/>
      </c>
      <c r="D58" s="19" t="n">
        <v>1239</v>
      </c>
      <c r="E58" s="18" t="n">
        <v>68.58813858000001</v>
      </c>
      <c r="F58" s="20" t="n">
        <v>1.36866071</v>
      </c>
      <c r="G58" s="18" t="n">
        <v>19.96752957</v>
      </c>
      <c r="H58" s="20" t="n">
        <v>1.29104251</v>
      </c>
      <c r="I58" s="18" t="s">
        <v>349</v>
      </c>
      <c r="J58" s="20" t="s">
        <v>349</v>
      </c>
      <c r="K58" s="18" t="n">
        <v>4.76040417</v>
      </c>
      <c r="L58" s="20" t="n">
        <v>0.67896218</v>
      </c>
      <c r="M58" s="18" t="n">
        <v>0</v>
      </c>
      <c r="N58" s="20" t="n">
        <v>0</v>
      </c>
      <c r="O58" s="18" t="n">
        <v>1.65291076</v>
      </c>
      <c r="P58" s="20" t="n">
        <v>0.52636866</v>
      </c>
      <c r="Q58" s="18" t="n">
        <v>5.03101692</v>
      </c>
      <c r="R58" s="20" t="n">
        <v>0.69332619</v>
      </c>
    </row>
    <row r="59" spans="1:18">
      <c r="A59" s="15" t="s">
        <v>401</v>
      </c>
      <c r="B59" s="17" t="n">
        <v>4826</v>
      </c>
      <c r="C59" s="18">
        <f>(4040.0/B59*100)</f>
        <v/>
      </c>
      <c r="D59" s="19" t="n">
        <v>786</v>
      </c>
      <c r="E59" s="18" t="n">
        <v>73.51797865</v>
      </c>
      <c r="F59" s="20" t="n">
        <v>1.97718837</v>
      </c>
      <c r="G59" s="18" t="n">
        <v>19.90007628</v>
      </c>
      <c r="H59" s="20" t="n">
        <v>1.77533178</v>
      </c>
      <c r="I59" s="18" t="s">
        <v>349</v>
      </c>
      <c r="J59" s="20" t="s">
        <v>349</v>
      </c>
      <c r="K59" s="18" t="n">
        <v>2.6296511</v>
      </c>
      <c r="L59" s="20" t="n">
        <v>0.64416335</v>
      </c>
      <c r="M59" s="18" t="n">
        <v>0</v>
      </c>
      <c r="N59" s="20" t="n">
        <v>0</v>
      </c>
      <c r="O59" s="18" t="n">
        <v>2.05187411</v>
      </c>
      <c r="P59" s="20" t="n">
        <v>0.67028677</v>
      </c>
      <c r="Q59" s="18" t="n">
        <v>1.90041986</v>
      </c>
      <c r="R59" s="20" t="n">
        <v>0.5213249599999999</v>
      </c>
    </row>
    <row r="60" spans="1:18">
      <c r="A60" s="15" t="s">
        <v>402</v>
      </c>
      <c r="B60" s="17" t="n">
        <v>4546</v>
      </c>
      <c r="C60" s="18">
        <f>(3788.0/B60*100)</f>
        <v/>
      </c>
      <c r="D60" s="19" t="n">
        <v>758</v>
      </c>
      <c r="E60" s="18" t="n">
        <v>51.83909701</v>
      </c>
      <c r="F60" s="20" t="n">
        <v>2.19351851</v>
      </c>
      <c r="G60" s="18" t="n">
        <v>25.25703295</v>
      </c>
      <c r="H60" s="20" t="n">
        <v>2.02224159</v>
      </c>
      <c r="I60" s="18" t="s">
        <v>349</v>
      </c>
      <c r="J60" s="20" t="s">
        <v>349</v>
      </c>
      <c r="K60" s="18" t="n">
        <v>10.03770567</v>
      </c>
      <c r="L60" s="20" t="n">
        <v>1.18819585</v>
      </c>
      <c r="M60" s="18" t="n">
        <v>0</v>
      </c>
      <c r="N60" s="20" t="n">
        <v>0</v>
      </c>
      <c r="O60" s="18" t="n">
        <v>4.04617146</v>
      </c>
      <c r="P60" s="20" t="n">
        <v>0.7491028</v>
      </c>
      <c r="Q60" s="18" t="n">
        <v>8.819992900000001</v>
      </c>
      <c r="R60" s="20" t="n">
        <v>1.11549232</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60.23564346</v>
      </c>
      <c r="F63" s="20" t="n">
        <v>1.48403021</v>
      </c>
      <c r="G63" s="18" t="n">
        <v>23.15663297</v>
      </c>
      <c r="H63" s="20" t="n">
        <v>1.47465833</v>
      </c>
      <c r="I63" s="18" t="s">
        <v>349</v>
      </c>
      <c r="J63" s="20" t="s">
        <v>349</v>
      </c>
      <c r="K63" s="18" t="n">
        <v>5.36438037</v>
      </c>
      <c r="L63" s="20" t="n">
        <v>0.7192641400000001</v>
      </c>
      <c r="M63" s="18" t="n">
        <v>0</v>
      </c>
      <c r="N63" s="20" t="n">
        <v>0</v>
      </c>
      <c r="O63" s="18" t="n">
        <v>1.33951605</v>
      </c>
      <c r="P63" s="20" t="n">
        <v>0.41910756</v>
      </c>
      <c r="Q63" s="18" t="n">
        <v>9.903827140000001</v>
      </c>
      <c r="R63" s="20" t="n">
        <v>1.06854593</v>
      </c>
    </row>
    <row r="64" spans="1:18">
      <c r="A64" s="15" t="s">
        <v>406</v>
      </c>
      <c r="B64" s="17" t="n">
        <v>3634</v>
      </c>
      <c r="C64" s="18">
        <f>(3031.0/B64*100)</f>
        <v/>
      </c>
      <c r="D64" s="19" t="n">
        <v>603</v>
      </c>
      <c r="E64" s="18" t="n">
        <v>40.24442893</v>
      </c>
      <c r="F64" s="20" t="n">
        <v>1.7830111</v>
      </c>
      <c r="G64" s="18" t="n">
        <v>49.43730989</v>
      </c>
      <c r="H64" s="20" t="n">
        <v>1.87491052</v>
      </c>
      <c r="I64" s="18" t="s">
        <v>349</v>
      </c>
      <c r="J64" s="20" t="s">
        <v>349</v>
      </c>
      <c r="K64" s="18" t="n">
        <v>4.03326238</v>
      </c>
      <c r="L64" s="20" t="n">
        <v>0.76687603</v>
      </c>
      <c r="M64" s="18" t="n">
        <v>0</v>
      </c>
      <c r="N64" s="20" t="n">
        <v>0</v>
      </c>
      <c r="O64" s="18" t="n">
        <v>1.05774941</v>
      </c>
      <c r="P64" s="20" t="n">
        <v>0.30808721</v>
      </c>
      <c r="Q64" s="18" t="n">
        <v>5.22724937</v>
      </c>
      <c r="R64" s="20" t="n">
        <v>0.75019888</v>
      </c>
    </row>
    <row r="65" spans="1:18">
      <c r="A65" s="15" t="s">
        <v>407</v>
      </c>
      <c r="B65" s="17" t="n">
        <v>5325</v>
      </c>
      <c r="C65" s="18">
        <f>(4432.0/B65*100)</f>
        <v/>
      </c>
      <c r="D65" s="19" t="n">
        <v>893</v>
      </c>
      <c r="E65" s="18" t="n">
        <v>51.37620813</v>
      </c>
      <c r="F65" s="20" t="n">
        <v>1.73772496</v>
      </c>
      <c r="G65" s="18" t="n">
        <v>27.00893659</v>
      </c>
      <c r="H65" s="20" t="n">
        <v>1.53601221</v>
      </c>
      <c r="I65" s="18" t="s">
        <v>349</v>
      </c>
      <c r="J65" s="20" t="s">
        <v>349</v>
      </c>
      <c r="K65" s="18" t="n">
        <v>9.81859824</v>
      </c>
      <c r="L65" s="20" t="n">
        <v>1.1080606</v>
      </c>
      <c r="M65" s="18" t="n">
        <v>3.08375383</v>
      </c>
      <c r="N65" s="20" t="n">
        <v>0.68628563</v>
      </c>
      <c r="O65" s="18" t="n">
        <v>0.23770793</v>
      </c>
      <c r="P65" s="20" t="n">
        <v>0.14023056</v>
      </c>
      <c r="Q65" s="18" t="n">
        <v>8.474795289999999</v>
      </c>
      <c r="R65" s="20" t="n">
        <v>0.94681996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69.71407988999999</v>
      </c>
      <c r="F69" s="20" t="n">
        <v>2.00215787</v>
      </c>
      <c r="G69" s="18" t="n">
        <v>29.68255787</v>
      </c>
      <c r="H69" s="20" t="n">
        <v>2.0191311</v>
      </c>
      <c r="I69" s="18" t="s">
        <v>349</v>
      </c>
      <c r="J69" s="20" t="s">
        <v>349</v>
      </c>
      <c r="K69" s="18" t="n">
        <v>0</v>
      </c>
      <c r="L69" s="20" t="n">
        <v>0</v>
      </c>
      <c r="M69" s="18" t="n">
        <v>0</v>
      </c>
      <c r="N69" s="20" t="n">
        <v>0</v>
      </c>
      <c r="O69" s="18" t="n">
        <v>0</v>
      </c>
      <c r="P69" s="20" t="n">
        <v>0</v>
      </c>
      <c r="Q69" s="18" t="n">
        <v>0.60336225</v>
      </c>
      <c r="R69" s="20" t="n">
        <v>0.27144431</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53.60457352</v>
      </c>
      <c r="F74" s="20" t="n">
        <v>2.18312449</v>
      </c>
      <c r="G74" s="18" t="n">
        <v>28.99033774</v>
      </c>
      <c r="H74" s="20" t="n">
        <v>1.69321892</v>
      </c>
      <c r="I74" s="18" t="s">
        <v>349</v>
      </c>
      <c r="J74" s="20" t="s">
        <v>349</v>
      </c>
      <c r="K74" s="18" t="n">
        <v>8.577214</v>
      </c>
      <c r="L74" s="20" t="n">
        <v>1.09058904</v>
      </c>
      <c r="M74" s="18" t="n">
        <v>0</v>
      </c>
      <c r="N74" s="20" t="n">
        <v>0</v>
      </c>
      <c r="O74" s="18" t="n">
        <v>0</v>
      </c>
      <c r="P74" s="20" t="n">
        <v>0</v>
      </c>
      <c r="Q74" s="18" t="n">
        <v>8.82787474</v>
      </c>
      <c r="R74" s="20" t="n">
        <v>1.14321264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47.04196362</v>
      </c>
      <c r="F78" s="20" t="n">
        <v>1.84092819</v>
      </c>
      <c r="G78" s="18" t="n">
        <v>52.86815637</v>
      </c>
      <c r="H78" s="20" t="n">
        <v>1.85166404</v>
      </c>
      <c r="I78" s="18" t="s">
        <v>349</v>
      </c>
      <c r="J78" s="20" t="s">
        <v>349</v>
      </c>
      <c r="K78" s="18" t="n">
        <v>0</v>
      </c>
      <c r="L78" s="20" t="n">
        <v>0</v>
      </c>
      <c r="M78" s="18" t="n">
        <v>0</v>
      </c>
      <c r="N78" s="20" t="n">
        <v>0</v>
      </c>
      <c r="O78" s="18" t="n">
        <v>0</v>
      </c>
      <c r="P78" s="20" t="n">
        <v>0</v>
      </c>
      <c r="Q78" s="18" t="n">
        <v>0.08988</v>
      </c>
      <c r="R78" s="20" t="n">
        <v>0.0902718</v>
      </c>
    </row>
    <row customHeight="1" ht="25" r="79" spans="1:18">
      <c r="A79" s="15" t="s">
        <v>421</v>
      </c>
      <c r="B79" s="17" t="n">
        <v>1657</v>
      </c>
      <c r="C79" s="18">
        <f>(1385.0/B79*100)</f>
        <v/>
      </c>
      <c r="D79" s="19" t="n">
        <v>272</v>
      </c>
      <c r="E79" s="18" t="n">
        <v>43.20192981</v>
      </c>
      <c r="F79" s="20" t="n">
        <v>3.26272389</v>
      </c>
      <c r="G79" s="18" t="n">
        <v>33.95993581</v>
      </c>
      <c r="H79" s="20" t="n">
        <v>2.82170411</v>
      </c>
      <c r="I79" s="18" t="s">
        <v>349</v>
      </c>
      <c r="J79" s="20" t="s">
        <v>349</v>
      </c>
      <c r="K79" s="18" t="n">
        <v>12.27585679</v>
      </c>
      <c r="L79" s="20" t="n">
        <v>2.23609218</v>
      </c>
      <c r="M79" s="18" t="n">
        <v>0</v>
      </c>
      <c r="N79" s="20" t="n">
        <v>0</v>
      </c>
      <c r="O79" s="18" t="n">
        <v>0.41411121</v>
      </c>
      <c r="P79" s="20" t="n">
        <v>0.41173943</v>
      </c>
      <c r="Q79" s="18" t="n">
        <v>10.14816638</v>
      </c>
      <c r="R79" s="20" t="n">
        <v>1.64966592</v>
      </c>
    </row>
    <row r="80" spans="1:18">
      <c r="A80" s="15" t="s">
        <v>422</v>
      </c>
      <c r="B80" s="17" t="n">
        <v>7841</v>
      </c>
      <c r="C80" s="18">
        <f>(6548.0/B80*100)</f>
        <v/>
      </c>
      <c r="D80" s="19" t="n">
        <v>1293</v>
      </c>
      <c r="E80" s="18" t="n">
        <v>64.79580943000001</v>
      </c>
      <c r="F80" s="20" t="n">
        <v>2.28509655</v>
      </c>
      <c r="G80" s="18" t="n">
        <v>34.61344244</v>
      </c>
      <c r="H80" s="20" t="n">
        <v>2.31851951</v>
      </c>
      <c r="I80" s="18" t="s">
        <v>349</v>
      </c>
      <c r="J80" s="20" t="s">
        <v>349</v>
      </c>
      <c r="K80" s="18" t="n">
        <v>0.54353538</v>
      </c>
      <c r="L80" s="20" t="n">
        <v>0.27065971</v>
      </c>
      <c r="M80" s="18" t="n">
        <v>0</v>
      </c>
      <c r="N80" s="20" t="n">
        <v>0</v>
      </c>
      <c r="O80" s="18" t="n">
        <v>0</v>
      </c>
      <c r="P80" s="20" t="n">
        <v>0</v>
      </c>
      <c r="Q80" s="18" t="n">
        <v>0.04721275</v>
      </c>
      <c r="R80" s="20" t="n">
        <v>0.03355256</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58.17020839</v>
      </c>
      <c r="F44" s="20" t="n">
        <v>2.23063156</v>
      </c>
      <c r="G44" s="18" t="n">
        <v>31.15544286</v>
      </c>
      <c r="H44" s="20" t="n">
        <v>1.92058259</v>
      </c>
      <c r="I44" s="18" t="s">
        <v>349</v>
      </c>
      <c r="J44" s="20" t="s">
        <v>349</v>
      </c>
      <c r="K44" s="18" t="n">
        <v>9.75413382</v>
      </c>
      <c r="L44" s="20" t="n">
        <v>1.17122751</v>
      </c>
      <c r="M44" s="18" t="n">
        <v>0</v>
      </c>
      <c r="N44" s="20" t="n">
        <v>0</v>
      </c>
      <c r="O44" s="18" t="n">
        <v>0.19538092</v>
      </c>
      <c r="P44" s="20" t="n">
        <v>0.13966365</v>
      </c>
      <c r="Q44" s="18" t="n">
        <v>0.72483402</v>
      </c>
      <c r="R44" s="20" t="n">
        <v>0.32495886</v>
      </c>
    </row>
    <row r="45" spans="1:18">
      <c r="A45" s="15" t="s">
        <v>387</v>
      </c>
      <c r="B45" s="17" t="n">
        <v>5519</v>
      </c>
      <c r="C45" s="18">
        <f>(4594.0/B45*100)</f>
        <v/>
      </c>
      <c r="D45" s="19" t="n">
        <v>925</v>
      </c>
      <c r="E45" s="18" t="n">
        <v>60.33637805</v>
      </c>
      <c r="F45" s="20" t="n">
        <v>1.88270882</v>
      </c>
      <c r="G45" s="18" t="n">
        <v>18.80231703</v>
      </c>
      <c r="H45" s="20" t="n">
        <v>1.3232997</v>
      </c>
      <c r="I45" s="18" t="s">
        <v>349</v>
      </c>
      <c r="J45" s="20" t="s">
        <v>349</v>
      </c>
      <c r="K45" s="18" t="n">
        <v>16.83308278</v>
      </c>
      <c r="L45" s="20" t="n">
        <v>1.69160299</v>
      </c>
      <c r="M45" s="18" t="n">
        <v>0.2590414</v>
      </c>
      <c r="N45" s="20" t="n">
        <v>0.17017548</v>
      </c>
      <c r="O45" s="18" t="n">
        <v>2.26725927</v>
      </c>
      <c r="P45" s="20" t="n">
        <v>0.60104444</v>
      </c>
      <c r="Q45" s="18" t="n">
        <v>1.50192147</v>
      </c>
      <c r="R45" s="20" t="n">
        <v>0.34937426</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56.26042491</v>
      </c>
      <c r="F49" s="20" t="n">
        <v>1.80734848</v>
      </c>
      <c r="G49" s="18" t="n">
        <v>36.92926508</v>
      </c>
      <c r="H49" s="20" t="n">
        <v>1.80451323</v>
      </c>
      <c r="I49" s="18" t="s">
        <v>349</v>
      </c>
      <c r="J49" s="20" t="s">
        <v>349</v>
      </c>
      <c r="K49" s="18" t="n">
        <v>6.4316864</v>
      </c>
      <c r="L49" s="20" t="n">
        <v>0.96416576</v>
      </c>
      <c r="M49" s="18" t="n">
        <v>0</v>
      </c>
      <c r="N49" s="20" t="n">
        <v>0</v>
      </c>
      <c r="O49" s="18" t="n">
        <v>0</v>
      </c>
      <c r="P49" s="20" t="n">
        <v>0</v>
      </c>
      <c r="Q49" s="18" t="n">
        <v>0.37862361</v>
      </c>
      <c r="R49" s="20" t="n">
        <v>0.21469245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59.19101865</v>
      </c>
      <c r="F55" s="20" t="n">
        <v>1.53752865</v>
      </c>
      <c r="G55" s="18" t="n">
        <v>34.49032924</v>
      </c>
      <c r="H55" s="20" t="n">
        <v>1.56851998</v>
      </c>
      <c r="I55" s="18" t="s">
        <v>349</v>
      </c>
      <c r="J55" s="20" t="s">
        <v>349</v>
      </c>
      <c r="K55" s="18" t="n">
        <v>5.65933001</v>
      </c>
      <c r="L55" s="20" t="n">
        <v>0.88919762</v>
      </c>
      <c r="M55" s="18" t="n">
        <v>0</v>
      </c>
      <c r="N55" s="20" t="n">
        <v>0</v>
      </c>
      <c r="O55" s="18" t="n">
        <v>0.26893364</v>
      </c>
      <c r="P55" s="20" t="n">
        <v>0.15541948</v>
      </c>
      <c r="Q55" s="18" t="n">
        <v>0.39038845</v>
      </c>
      <c r="R55" s="20" t="n">
        <v>0.23671316</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68.69789442</v>
      </c>
      <c r="F57" s="20" t="n">
        <v>1.61846646</v>
      </c>
      <c r="G57" s="18" t="n">
        <v>26.90530505</v>
      </c>
      <c r="H57" s="20" t="n">
        <v>1.5864009</v>
      </c>
      <c r="I57" s="18" t="s">
        <v>349</v>
      </c>
      <c r="J57" s="20" t="s">
        <v>349</v>
      </c>
      <c r="K57" s="18" t="n">
        <v>3.57843609</v>
      </c>
      <c r="L57" s="20" t="n">
        <v>0.64287734</v>
      </c>
      <c r="M57" s="18" t="n">
        <v>0</v>
      </c>
      <c r="N57" s="20" t="n">
        <v>0</v>
      </c>
      <c r="O57" s="18" t="n">
        <v>0</v>
      </c>
      <c r="P57" s="20" t="n">
        <v>0</v>
      </c>
      <c r="Q57" s="18" t="n">
        <v>0.81836444</v>
      </c>
      <c r="R57" s="20" t="n">
        <v>0.27390496</v>
      </c>
    </row>
    <row r="58" spans="1:18">
      <c r="A58" s="15" t="s">
        <v>400</v>
      </c>
      <c r="B58" s="17" t="n">
        <v>7267</v>
      </c>
      <c r="C58" s="18">
        <f>(6028.0/B58*100)</f>
        <v/>
      </c>
      <c r="D58" s="19" t="n">
        <v>1239</v>
      </c>
      <c r="E58" s="18" t="n">
        <v>66.29564497</v>
      </c>
      <c r="F58" s="20" t="n">
        <v>1.7519412</v>
      </c>
      <c r="G58" s="18" t="n">
        <v>26.85294035</v>
      </c>
      <c r="H58" s="20" t="n">
        <v>1.6679066</v>
      </c>
      <c r="I58" s="18" t="s">
        <v>349</v>
      </c>
      <c r="J58" s="20" t="s">
        <v>349</v>
      </c>
      <c r="K58" s="18" t="n">
        <v>5.37764555</v>
      </c>
      <c r="L58" s="20" t="n">
        <v>0.72420197</v>
      </c>
      <c r="M58" s="18" t="n">
        <v>0</v>
      </c>
      <c r="N58" s="20" t="n">
        <v>0</v>
      </c>
      <c r="O58" s="18" t="n">
        <v>0.43791552</v>
      </c>
      <c r="P58" s="20" t="n">
        <v>0.30569925</v>
      </c>
      <c r="Q58" s="18" t="n">
        <v>1.03585362</v>
      </c>
      <c r="R58" s="20" t="n">
        <v>0.37634759</v>
      </c>
    </row>
    <row r="59" spans="1:18">
      <c r="A59" s="15" t="s">
        <v>401</v>
      </c>
      <c r="B59" s="17" t="n">
        <v>4826</v>
      </c>
      <c r="C59" s="18">
        <f>(4040.0/B59*100)</f>
        <v/>
      </c>
      <c r="D59" s="19" t="n">
        <v>786</v>
      </c>
      <c r="E59" s="18" t="n">
        <v>66.2521486</v>
      </c>
      <c r="F59" s="20" t="n">
        <v>2.35088678</v>
      </c>
      <c r="G59" s="18" t="n">
        <v>29.43212516</v>
      </c>
      <c r="H59" s="20" t="n">
        <v>2.30538688</v>
      </c>
      <c r="I59" s="18" t="s">
        <v>349</v>
      </c>
      <c r="J59" s="20" t="s">
        <v>349</v>
      </c>
      <c r="K59" s="18" t="n">
        <v>2.99536162</v>
      </c>
      <c r="L59" s="20" t="n">
        <v>0.71079019</v>
      </c>
      <c r="M59" s="18" t="n">
        <v>0</v>
      </c>
      <c r="N59" s="20" t="n">
        <v>0</v>
      </c>
      <c r="O59" s="18" t="n">
        <v>0.27533641</v>
      </c>
      <c r="P59" s="20" t="n">
        <v>0.16075842</v>
      </c>
      <c r="Q59" s="18" t="n">
        <v>1.04502821</v>
      </c>
      <c r="R59" s="20" t="n">
        <v>0.43593891</v>
      </c>
    </row>
    <row r="60" spans="1:18">
      <c r="A60" s="15" t="s">
        <v>402</v>
      </c>
      <c r="B60" s="17" t="n">
        <v>4546</v>
      </c>
      <c r="C60" s="18">
        <f>(3788.0/B60*100)</f>
        <v/>
      </c>
      <c r="D60" s="19" t="n">
        <v>758</v>
      </c>
      <c r="E60" s="18" t="n">
        <v>53.94525917</v>
      </c>
      <c r="F60" s="20" t="n">
        <v>2.06081372</v>
      </c>
      <c r="G60" s="18" t="n">
        <v>33.99299511</v>
      </c>
      <c r="H60" s="20" t="n">
        <v>2.00631806</v>
      </c>
      <c r="I60" s="18" t="s">
        <v>349</v>
      </c>
      <c r="J60" s="20" t="s">
        <v>349</v>
      </c>
      <c r="K60" s="18" t="n">
        <v>10.57797993</v>
      </c>
      <c r="L60" s="20" t="n">
        <v>1.256056</v>
      </c>
      <c r="M60" s="18" t="n">
        <v>0</v>
      </c>
      <c r="N60" s="20" t="n">
        <v>0</v>
      </c>
      <c r="O60" s="18" t="n">
        <v>0.80665687</v>
      </c>
      <c r="P60" s="20" t="n">
        <v>0.40223411</v>
      </c>
      <c r="Q60" s="18" t="n">
        <v>0.67710892</v>
      </c>
      <c r="R60" s="20" t="n">
        <v>0.36654341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62.08768782</v>
      </c>
      <c r="F63" s="20" t="n">
        <v>1.5737997</v>
      </c>
      <c r="G63" s="18" t="n">
        <v>29.79176424</v>
      </c>
      <c r="H63" s="20" t="n">
        <v>1.52670915</v>
      </c>
      <c r="I63" s="18" t="s">
        <v>349</v>
      </c>
      <c r="J63" s="20" t="s">
        <v>349</v>
      </c>
      <c r="K63" s="18" t="n">
        <v>5.97266704</v>
      </c>
      <c r="L63" s="20" t="n">
        <v>0.73161775</v>
      </c>
      <c r="M63" s="18" t="n">
        <v>0</v>
      </c>
      <c r="N63" s="20" t="n">
        <v>0</v>
      </c>
      <c r="O63" s="18" t="n">
        <v>0.38331164</v>
      </c>
      <c r="P63" s="20" t="n">
        <v>0.25150737</v>
      </c>
      <c r="Q63" s="18" t="n">
        <v>1.76456926</v>
      </c>
      <c r="R63" s="20" t="n">
        <v>0.4322597</v>
      </c>
    </row>
    <row r="64" spans="1:18">
      <c r="A64" s="15" t="s">
        <v>406</v>
      </c>
      <c r="B64" s="17" t="n">
        <v>3634</v>
      </c>
      <c r="C64" s="18">
        <f>(3031.0/B64*100)</f>
        <v/>
      </c>
      <c r="D64" s="19" t="n">
        <v>603</v>
      </c>
      <c r="E64" s="18" t="n">
        <v>58.26090223</v>
      </c>
      <c r="F64" s="20" t="n">
        <v>1.93254059</v>
      </c>
      <c r="G64" s="18" t="n">
        <v>36.64412605</v>
      </c>
      <c r="H64" s="20" t="n">
        <v>2.13071436</v>
      </c>
      <c r="I64" s="18" t="s">
        <v>349</v>
      </c>
      <c r="J64" s="20" t="s">
        <v>349</v>
      </c>
      <c r="K64" s="18" t="n">
        <v>4.75858763</v>
      </c>
      <c r="L64" s="20" t="n">
        <v>0.87938902</v>
      </c>
      <c r="M64" s="18" t="n">
        <v>0</v>
      </c>
      <c r="N64" s="20" t="n">
        <v>0</v>
      </c>
      <c r="O64" s="18" t="n">
        <v>0.33638408</v>
      </c>
      <c r="P64" s="20" t="n">
        <v>0.2343396</v>
      </c>
      <c r="Q64" s="18" t="n">
        <v>0</v>
      </c>
      <c r="R64" s="20" t="n">
        <v>0</v>
      </c>
    </row>
    <row r="65" spans="1:18">
      <c r="A65" s="15" t="s">
        <v>407</v>
      </c>
      <c r="B65" s="17" t="n">
        <v>5325</v>
      </c>
      <c r="C65" s="18">
        <f>(4432.0/B65*100)</f>
        <v/>
      </c>
      <c r="D65" s="19" t="n">
        <v>893</v>
      </c>
      <c r="E65" s="18" t="n">
        <v>55.29201347</v>
      </c>
      <c r="F65" s="20" t="n">
        <v>1.80932217</v>
      </c>
      <c r="G65" s="18" t="n">
        <v>32.21432039</v>
      </c>
      <c r="H65" s="20" t="n">
        <v>1.80621173</v>
      </c>
      <c r="I65" s="18" t="s">
        <v>349</v>
      </c>
      <c r="J65" s="20" t="s">
        <v>349</v>
      </c>
      <c r="K65" s="18" t="n">
        <v>10.90438713</v>
      </c>
      <c r="L65" s="20" t="n">
        <v>1.20930271</v>
      </c>
      <c r="M65" s="18" t="n">
        <v>0.63809415</v>
      </c>
      <c r="N65" s="20" t="n">
        <v>0.30013348</v>
      </c>
      <c r="O65" s="18" t="n">
        <v>0</v>
      </c>
      <c r="P65" s="20" t="n">
        <v>0</v>
      </c>
      <c r="Q65" s="18" t="n">
        <v>0.95118485</v>
      </c>
      <c r="R65" s="20" t="n">
        <v>0.37800243</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62.34397224</v>
      </c>
      <c r="F69" s="20" t="n">
        <v>1.76379759</v>
      </c>
      <c r="G69" s="18" t="n">
        <v>37.53592999</v>
      </c>
      <c r="H69" s="20" t="n">
        <v>1.75168604</v>
      </c>
      <c r="I69" s="18" t="s">
        <v>349</v>
      </c>
      <c r="J69" s="20" t="s">
        <v>349</v>
      </c>
      <c r="K69" s="18" t="n">
        <v>0</v>
      </c>
      <c r="L69" s="20" t="n">
        <v>0</v>
      </c>
      <c r="M69" s="18" t="n">
        <v>0</v>
      </c>
      <c r="N69" s="20" t="n">
        <v>0</v>
      </c>
      <c r="O69" s="18" t="n">
        <v>0</v>
      </c>
      <c r="P69" s="20" t="n">
        <v>0</v>
      </c>
      <c r="Q69" s="18" t="n">
        <v>0.12009777</v>
      </c>
      <c r="R69" s="20" t="n">
        <v>0.12012932</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58.46024198</v>
      </c>
      <c r="F74" s="20" t="n">
        <v>1.89437625</v>
      </c>
      <c r="G74" s="18" t="n">
        <v>31.47474796</v>
      </c>
      <c r="H74" s="20" t="n">
        <v>1.77277875</v>
      </c>
      <c r="I74" s="18" t="s">
        <v>349</v>
      </c>
      <c r="J74" s="20" t="s">
        <v>349</v>
      </c>
      <c r="K74" s="18" t="n">
        <v>9.826283220000001</v>
      </c>
      <c r="L74" s="20" t="n">
        <v>1.11004202</v>
      </c>
      <c r="M74" s="18" t="n">
        <v>0</v>
      </c>
      <c r="N74" s="20" t="n">
        <v>0</v>
      </c>
      <c r="O74" s="18" t="n">
        <v>0</v>
      </c>
      <c r="P74" s="20" t="n">
        <v>0</v>
      </c>
      <c r="Q74" s="18" t="n">
        <v>0.23872684</v>
      </c>
      <c r="R74" s="20" t="n">
        <v>0.18289346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35.76198231</v>
      </c>
      <c r="F78" s="20" t="n">
        <v>1.86368172</v>
      </c>
      <c r="G78" s="18" t="n">
        <v>64.23801769000001</v>
      </c>
      <c r="H78" s="20" t="n">
        <v>1.86368172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(1385.0/B79*100)</f>
        <v/>
      </c>
      <c r="D79" s="19" t="n">
        <v>272</v>
      </c>
      <c r="E79" s="18" t="n">
        <v>43.6539143</v>
      </c>
      <c r="F79" s="20" t="n">
        <v>3.01134901</v>
      </c>
      <c r="G79" s="18" t="n">
        <v>43.54667312</v>
      </c>
      <c r="H79" s="20" t="n">
        <v>2.65044095</v>
      </c>
      <c r="I79" s="18" t="s">
        <v>349</v>
      </c>
      <c r="J79" s="20" t="s">
        <v>349</v>
      </c>
      <c r="K79" s="18" t="n">
        <v>12.4545174</v>
      </c>
      <c r="L79" s="20" t="n">
        <v>2.23849829</v>
      </c>
      <c r="M79" s="18" t="n">
        <v>0</v>
      </c>
      <c r="N79" s="20" t="n">
        <v>0</v>
      </c>
      <c r="O79" s="18" t="n">
        <v>0</v>
      </c>
      <c r="P79" s="20" t="n">
        <v>0</v>
      </c>
      <c r="Q79" s="18" t="n">
        <v>0.34489518</v>
      </c>
      <c r="R79" s="20" t="n">
        <v>0.37748697</v>
      </c>
    </row>
    <row r="80" spans="1:18">
      <c r="A80" s="15" t="s">
        <v>422</v>
      </c>
      <c r="B80" s="17" t="n">
        <v>7841</v>
      </c>
      <c r="C80" s="18">
        <f>(6548.0/B80*100)</f>
        <v/>
      </c>
      <c r="D80" s="19" t="n">
        <v>1293</v>
      </c>
      <c r="E80" s="18" t="n">
        <v>44.27958144</v>
      </c>
      <c r="F80" s="20" t="n">
        <v>1.84698644</v>
      </c>
      <c r="G80" s="18" t="n">
        <v>55.10071549</v>
      </c>
      <c r="H80" s="20" t="n">
        <v>1.90227613</v>
      </c>
      <c r="I80" s="18" t="s">
        <v>349</v>
      </c>
      <c r="J80" s="20" t="s">
        <v>349</v>
      </c>
      <c r="K80" s="18" t="n">
        <v>0.61970307</v>
      </c>
      <c r="L80" s="20" t="n">
        <v>0.28079697</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(4372.0/B44*100)</f>
        <v/>
      </c>
      <c r="D44" s="19" t="n">
        <v>843</v>
      </c>
      <c r="E44" s="18" t="n">
        <v>53.55584318</v>
      </c>
      <c r="F44" s="20" t="n">
        <v>2.17835618</v>
      </c>
      <c r="G44" s="18" t="n">
        <v>28.05844417</v>
      </c>
      <c r="H44" s="20" t="n">
        <v>2.08631646</v>
      </c>
      <c r="I44" s="18" t="s">
        <v>349</v>
      </c>
      <c r="J44" s="20" t="s">
        <v>349</v>
      </c>
      <c r="K44" s="18" t="n">
        <v>18.11645502</v>
      </c>
      <c r="L44" s="20" t="n">
        <v>1.69331611</v>
      </c>
      <c r="M44" s="18" t="n">
        <v>0</v>
      </c>
      <c r="N44" s="20" t="n">
        <v>0</v>
      </c>
      <c r="O44" s="18" t="n">
        <v>0.26925763</v>
      </c>
      <c r="P44" s="20" t="n">
        <v>0.16052448</v>
      </c>
      <c r="Q44" s="18" t="n">
        <v>0</v>
      </c>
      <c r="R44" s="20" t="n">
        <v>0</v>
      </c>
    </row>
    <row r="45" spans="1:18">
      <c r="A45" s="15" t="s">
        <v>387</v>
      </c>
      <c r="B45" s="17" t="n">
        <v>5519</v>
      </c>
      <c r="C45" s="18">
        <f>(4594.0/B45*100)</f>
        <v/>
      </c>
      <c r="D45" s="19" t="n">
        <v>925</v>
      </c>
      <c r="E45" s="18" t="n">
        <v>60.19089988</v>
      </c>
      <c r="F45" s="20" t="n">
        <v>2.14057963</v>
      </c>
      <c r="G45" s="18" t="n">
        <v>16.69543434</v>
      </c>
      <c r="H45" s="20" t="n">
        <v>1.23261674</v>
      </c>
      <c r="I45" s="18" t="s">
        <v>349</v>
      </c>
      <c r="J45" s="20" t="s">
        <v>349</v>
      </c>
      <c r="K45" s="18" t="n">
        <v>19.89521683</v>
      </c>
      <c r="L45" s="20" t="n">
        <v>1.83839154</v>
      </c>
      <c r="M45" s="18" t="n">
        <v>0.70962588</v>
      </c>
      <c r="N45" s="20" t="n">
        <v>0.29525523</v>
      </c>
      <c r="O45" s="18" t="n">
        <v>2.50882307</v>
      </c>
      <c r="P45" s="20" t="n">
        <v>0.6144712</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(5320.0/B49*100)</f>
        <v/>
      </c>
      <c r="D49" s="19" t="n">
        <v>1029</v>
      </c>
      <c r="E49" s="18" t="n">
        <v>56.17781697</v>
      </c>
      <c r="F49" s="20" t="n">
        <v>1.73923055</v>
      </c>
      <c r="G49" s="18" t="n">
        <v>34.2882833</v>
      </c>
      <c r="H49" s="20" t="n">
        <v>1.57975433</v>
      </c>
      <c r="I49" s="18" t="s">
        <v>349</v>
      </c>
      <c r="J49" s="20" t="s">
        <v>349</v>
      </c>
      <c r="K49" s="18" t="n">
        <v>9.14240949</v>
      </c>
      <c r="L49" s="20" t="n">
        <v>1.11976872</v>
      </c>
      <c r="M49" s="18" t="n">
        <v>0</v>
      </c>
      <c r="N49" s="20" t="n">
        <v>0</v>
      </c>
      <c r="O49" s="18" t="n">
        <v>0.39149024</v>
      </c>
      <c r="P49" s="20" t="n">
        <v>0.22780601</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(4442.0/B55*100)</f>
        <v/>
      </c>
      <c r="D55" s="19" t="n">
        <v>874</v>
      </c>
      <c r="E55" s="18" t="n">
        <v>53.79701598</v>
      </c>
      <c r="F55" s="20" t="n">
        <v>1.83232378</v>
      </c>
      <c r="G55" s="18" t="n">
        <v>35.49017866</v>
      </c>
      <c r="H55" s="20" t="n">
        <v>1.74689642</v>
      </c>
      <c r="I55" s="18" t="s">
        <v>349</v>
      </c>
      <c r="J55" s="20" t="s">
        <v>349</v>
      </c>
      <c r="K55" s="18" t="n">
        <v>10.32297071</v>
      </c>
      <c r="L55" s="20" t="n">
        <v>1.15292235</v>
      </c>
      <c r="M55" s="18" t="n">
        <v>0</v>
      </c>
      <c r="N55" s="20" t="n">
        <v>0</v>
      </c>
      <c r="O55" s="18" t="n">
        <v>0.38983465</v>
      </c>
      <c r="P55" s="20" t="n">
        <v>0.19538434</v>
      </c>
      <c r="Q55" s="18" t="n">
        <v>0</v>
      </c>
      <c r="R55" s="20" t="n">
        <v>0</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(5432.0/B57*100)</f>
        <v/>
      </c>
      <c r="D57" s="19" t="n">
        <v>1081</v>
      </c>
      <c r="E57" s="18" t="n">
        <v>68.23292639</v>
      </c>
      <c r="F57" s="20" t="n">
        <v>1.51070265</v>
      </c>
      <c r="G57" s="18" t="n">
        <v>26.25760646</v>
      </c>
      <c r="H57" s="20" t="n">
        <v>1.39746233</v>
      </c>
      <c r="I57" s="18" t="s">
        <v>349</v>
      </c>
      <c r="J57" s="20" t="s">
        <v>349</v>
      </c>
      <c r="K57" s="18" t="n">
        <v>5.50946715</v>
      </c>
      <c r="L57" s="20" t="n">
        <v>0.88225067</v>
      </c>
      <c r="M57" s="18" t="n">
        <v>0</v>
      </c>
      <c r="N57" s="20" t="n">
        <v>0</v>
      </c>
      <c r="O57" s="18" t="n">
        <v>0</v>
      </c>
      <c r="P57" s="20" t="n">
        <v>0</v>
      </c>
      <c r="Q57" s="18" t="n">
        <v>0</v>
      </c>
      <c r="R57" s="20" t="n">
        <v>0</v>
      </c>
    </row>
    <row r="58" spans="1:18">
      <c r="A58" s="15" t="s">
        <v>400</v>
      </c>
      <c r="B58" s="17" t="n">
        <v>7267</v>
      </c>
      <c r="C58" s="18">
        <f>(6028.0/B58*100)</f>
        <v/>
      </c>
      <c r="D58" s="19" t="n">
        <v>1239</v>
      </c>
      <c r="E58" s="18" t="n">
        <v>66.49727616</v>
      </c>
      <c r="F58" s="20" t="n">
        <v>1.56638529</v>
      </c>
      <c r="G58" s="18" t="n">
        <v>25.88490959</v>
      </c>
      <c r="H58" s="20" t="n">
        <v>1.52766829</v>
      </c>
      <c r="I58" s="18" t="s">
        <v>349</v>
      </c>
      <c r="J58" s="20" t="s">
        <v>349</v>
      </c>
      <c r="K58" s="18" t="n">
        <v>6.55658647</v>
      </c>
      <c r="L58" s="20" t="n">
        <v>0.79643876</v>
      </c>
      <c r="M58" s="18" t="n">
        <v>0</v>
      </c>
      <c r="N58" s="20" t="n">
        <v>0</v>
      </c>
      <c r="O58" s="18" t="n">
        <v>1.06122779</v>
      </c>
      <c r="P58" s="20" t="n">
        <v>0.42893228</v>
      </c>
      <c r="Q58" s="18" t="n">
        <v>0</v>
      </c>
      <c r="R58" s="20" t="n">
        <v>0</v>
      </c>
    </row>
    <row r="59" spans="1:18">
      <c r="A59" s="15" t="s">
        <v>401</v>
      </c>
      <c r="B59" s="17" t="n">
        <v>4826</v>
      </c>
      <c r="C59" s="18">
        <f>(4040.0/B59*100)</f>
        <v/>
      </c>
      <c r="D59" s="19" t="n">
        <v>786</v>
      </c>
      <c r="E59" s="18" t="n">
        <v>68.41115444</v>
      </c>
      <c r="F59" s="20" t="n">
        <v>1.88876711</v>
      </c>
      <c r="G59" s="18" t="n">
        <v>27.59020149</v>
      </c>
      <c r="H59" s="20" t="n">
        <v>1.80446783</v>
      </c>
      <c r="I59" s="18" t="s">
        <v>349</v>
      </c>
      <c r="J59" s="20" t="s">
        <v>349</v>
      </c>
      <c r="K59" s="18" t="n">
        <v>3.8404059</v>
      </c>
      <c r="L59" s="20" t="n">
        <v>0.82640309</v>
      </c>
      <c r="M59" s="18" t="n">
        <v>0</v>
      </c>
      <c r="N59" s="20" t="n">
        <v>0</v>
      </c>
      <c r="O59" s="18" t="n">
        <v>0.15823817</v>
      </c>
      <c r="P59" s="20" t="n">
        <v>0.09574721999999999</v>
      </c>
      <c r="Q59" s="18" t="n">
        <v>0</v>
      </c>
      <c r="R59" s="20" t="n">
        <v>0</v>
      </c>
    </row>
    <row r="60" spans="1:18">
      <c r="A60" s="15" t="s">
        <v>402</v>
      </c>
      <c r="B60" s="17" t="n">
        <v>4546</v>
      </c>
      <c r="C60" s="18">
        <f>(3788.0/B60*100)</f>
        <v/>
      </c>
      <c r="D60" s="19" t="n">
        <v>758</v>
      </c>
      <c r="E60" s="18" t="n">
        <v>59.37560788</v>
      </c>
      <c r="F60" s="20" t="n">
        <v>1.94732886</v>
      </c>
      <c r="G60" s="18" t="n">
        <v>25.74955219</v>
      </c>
      <c r="H60" s="20" t="n">
        <v>1.6144258</v>
      </c>
      <c r="I60" s="18" t="s">
        <v>349</v>
      </c>
      <c r="J60" s="20" t="s">
        <v>349</v>
      </c>
      <c r="K60" s="18" t="n">
        <v>13.52232454</v>
      </c>
      <c r="L60" s="20" t="n">
        <v>1.45548159</v>
      </c>
      <c r="M60" s="18" t="n">
        <v>0</v>
      </c>
      <c r="N60" s="20" t="n">
        <v>0</v>
      </c>
      <c r="O60" s="18" t="n">
        <v>1.35251539</v>
      </c>
      <c r="P60" s="20" t="n">
        <v>0.43969519</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(4417.0/B63*100)</f>
        <v/>
      </c>
      <c r="D63" s="19" t="n">
        <v>907</v>
      </c>
      <c r="E63" s="18" t="n">
        <v>57.14262942</v>
      </c>
      <c r="F63" s="20" t="n">
        <v>1.71871486</v>
      </c>
      <c r="G63" s="18" t="n">
        <v>33.92841</v>
      </c>
      <c r="H63" s="20" t="n">
        <v>1.54670861</v>
      </c>
      <c r="I63" s="18" t="s">
        <v>349</v>
      </c>
      <c r="J63" s="20" t="s">
        <v>349</v>
      </c>
      <c r="K63" s="18" t="n">
        <v>8.79930308</v>
      </c>
      <c r="L63" s="20" t="n">
        <v>0.91225572</v>
      </c>
      <c r="M63" s="18" t="n">
        <v>0</v>
      </c>
      <c r="N63" s="20" t="n">
        <v>0</v>
      </c>
      <c r="O63" s="18" t="n">
        <v>0.1296575</v>
      </c>
      <c r="P63" s="20" t="n">
        <v>0.12914061</v>
      </c>
      <c r="Q63" s="18" t="n">
        <v>0</v>
      </c>
      <c r="R63" s="20" t="n">
        <v>0</v>
      </c>
    </row>
    <row r="64" spans="1:18">
      <c r="A64" s="15" t="s">
        <v>406</v>
      </c>
      <c r="B64" s="17" t="n">
        <v>3634</v>
      </c>
      <c r="C64" s="18">
        <f>(3031.0/B64*100)</f>
        <v/>
      </c>
      <c r="D64" s="19" t="n">
        <v>603</v>
      </c>
      <c r="E64" s="18" t="n">
        <v>50.22742343</v>
      </c>
      <c r="F64" s="20" t="n">
        <v>1.81652213</v>
      </c>
      <c r="G64" s="18" t="n">
        <v>43.23715101</v>
      </c>
      <c r="H64" s="20" t="n">
        <v>1.6913727</v>
      </c>
      <c r="I64" s="18" t="s">
        <v>349</v>
      </c>
      <c r="J64" s="20" t="s">
        <v>349</v>
      </c>
      <c r="K64" s="18" t="n">
        <v>6.37525347</v>
      </c>
      <c r="L64" s="20" t="n">
        <v>1.00276256</v>
      </c>
      <c r="M64" s="18" t="n">
        <v>0</v>
      </c>
      <c r="N64" s="20" t="n">
        <v>0</v>
      </c>
      <c r="O64" s="18" t="n">
        <v>0.16017209</v>
      </c>
      <c r="P64" s="20" t="n">
        <v>0.15831383</v>
      </c>
      <c r="Q64" s="18" t="n">
        <v>0</v>
      </c>
      <c r="R64" s="20" t="n">
        <v>0</v>
      </c>
    </row>
    <row r="65" spans="1:18">
      <c r="A65" s="15" t="s">
        <v>407</v>
      </c>
      <c r="B65" s="17" t="n">
        <v>5325</v>
      </c>
      <c r="C65" s="18">
        <f>(4432.0/B65*100)</f>
        <v/>
      </c>
      <c r="D65" s="19" t="n">
        <v>893</v>
      </c>
      <c r="E65" s="18" t="n">
        <v>52.12733282</v>
      </c>
      <c r="F65" s="20" t="n">
        <v>1.7802824</v>
      </c>
      <c r="G65" s="18" t="n">
        <v>32.69752045</v>
      </c>
      <c r="H65" s="20" t="n">
        <v>1.8915419</v>
      </c>
      <c r="I65" s="18" t="s">
        <v>349</v>
      </c>
      <c r="J65" s="20" t="s">
        <v>349</v>
      </c>
      <c r="K65" s="18" t="n">
        <v>15.08376004</v>
      </c>
      <c r="L65" s="20" t="n">
        <v>1.41283082</v>
      </c>
      <c r="M65" s="18" t="n">
        <v>0.09138669000000001</v>
      </c>
      <c r="N65" s="20" t="n">
        <v>0.09130017999999999</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(4072.0/B69*100)</f>
        <v/>
      </c>
      <c r="D69" s="19" t="n">
        <v>804</v>
      </c>
      <c r="E69" s="18" t="n">
        <v>66.03923347</v>
      </c>
      <c r="F69" s="20" t="n">
        <v>1.72443796</v>
      </c>
      <c r="G69" s="18" t="n">
        <v>33.61761164</v>
      </c>
      <c r="H69" s="20" t="n">
        <v>1.74295783</v>
      </c>
      <c r="I69" s="18" t="s">
        <v>349</v>
      </c>
      <c r="J69" s="20" t="s">
        <v>349</v>
      </c>
      <c r="K69" s="18" t="n">
        <v>0.34315488</v>
      </c>
      <c r="L69" s="20" t="n">
        <v>0.19826194</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(3922.0/B74*100)</f>
        <v/>
      </c>
      <c r="D74" s="19" t="n">
        <v>770</v>
      </c>
      <c r="E74" s="18" t="n">
        <v>56.99441576</v>
      </c>
      <c r="F74" s="20" t="n">
        <v>1.70817435</v>
      </c>
      <c r="G74" s="18" t="n">
        <v>30.45899975</v>
      </c>
      <c r="H74" s="20" t="n">
        <v>1.52078693</v>
      </c>
      <c r="I74" s="18" t="s">
        <v>349</v>
      </c>
      <c r="J74" s="20" t="s">
        <v>349</v>
      </c>
      <c r="K74" s="18" t="n">
        <v>12.54658449</v>
      </c>
      <c r="L74" s="20" t="n">
        <v>1.23672935</v>
      </c>
      <c r="M74" s="18" t="n">
        <v>0</v>
      </c>
      <c r="N74" s="20" t="n">
        <v>0</v>
      </c>
      <c r="O74" s="18" t="n">
        <v>0</v>
      </c>
      <c r="P74" s="20" t="n">
        <v>0</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(4857.0/B78*100)</f>
        <v/>
      </c>
      <c r="D78" s="19" t="n">
        <v>969</v>
      </c>
      <c r="E78" s="18" t="n">
        <v>20.97375442</v>
      </c>
      <c r="F78" s="20" t="n">
        <v>1.38155129</v>
      </c>
      <c r="G78" s="18" t="n">
        <v>79.02624557999999</v>
      </c>
      <c r="H78" s="20" t="n">
        <v>1.38155129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(1385.0/B79*100)</f>
        <v/>
      </c>
      <c r="D79" s="19" t="n">
        <v>272</v>
      </c>
      <c r="E79" s="18" t="n">
        <v>42.90915044</v>
      </c>
      <c r="F79" s="20" t="n">
        <v>2.48099271</v>
      </c>
      <c r="G79" s="18" t="n">
        <v>38.28328187</v>
      </c>
      <c r="H79" s="20" t="n">
        <v>3.21196201</v>
      </c>
      <c r="I79" s="18" t="s">
        <v>349</v>
      </c>
      <c r="J79" s="20" t="s">
        <v>349</v>
      </c>
      <c r="K79" s="18" t="n">
        <v>18.80756769</v>
      </c>
      <c r="L79" s="20" t="n">
        <v>2.69889529</v>
      </c>
      <c r="M79" s="18" t="n">
        <v>0</v>
      </c>
      <c r="N79" s="20" t="n">
        <v>0</v>
      </c>
      <c r="O79" s="18" t="n">
        <v>0</v>
      </c>
      <c r="P79" s="20" t="n">
        <v>0</v>
      </c>
      <c r="Q79" s="18" t="n">
        <v>0</v>
      </c>
      <c r="R79" s="20" t="n">
        <v>0</v>
      </c>
    </row>
    <row r="80" spans="1:18">
      <c r="A80" s="15" t="s">
        <v>422</v>
      </c>
      <c r="B80" s="17" t="n">
        <v>7841</v>
      </c>
      <c r="C80" s="18">
        <f>(6548.0/B80*100)</f>
        <v/>
      </c>
      <c r="D80" s="19" t="n">
        <v>1293</v>
      </c>
      <c r="E80" s="18" t="n">
        <v>45.96009071</v>
      </c>
      <c r="F80" s="20" t="n">
        <v>2.37125427</v>
      </c>
      <c r="G80" s="18" t="n">
        <v>53.42020623</v>
      </c>
      <c r="H80" s="20" t="n">
        <v>2.38402973</v>
      </c>
      <c r="I80" s="18" t="s">
        <v>349</v>
      </c>
      <c r="J80" s="20" t="s">
        <v>349</v>
      </c>
      <c r="K80" s="18" t="n">
        <v>0.61970307</v>
      </c>
      <c r="L80" s="20" t="n">
        <v>0.28079697</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51.73844194</v>
      </c>
      <c r="F44" s="20" t="n">
        <v>2.33696157</v>
      </c>
      <c r="G44" s="18" t="n">
        <v>34.17007286</v>
      </c>
      <c r="H44" s="20" t="n">
        <v>2.35610948</v>
      </c>
      <c r="I44" s="18" t="s">
        <v>349</v>
      </c>
      <c r="J44" s="20" t="s">
        <v>349</v>
      </c>
      <c r="K44" s="18" t="n">
        <v>1.85438545</v>
      </c>
      <c r="L44" s="20" t="n">
        <v>0.47446554</v>
      </c>
      <c r="M44" s="18" t="n">
        <v>0</v>
      </c>
      <c r="N44" s="20" t="n">
        <v>0</v>
      </c>
      <c r="O44" s="18" t="n">
        <v>2.10465381</v>
      </c>
      <c r="P44" s="20" t="n">
        <v>0.5746273</v>
      </c>
      <c r="Q44" s="18" t="n">
        <v>10.13244595</v>
      </c>
      <c r="R44" s="20" t="n">
        <v>1.28472042</v>
      </c>
    </row>
    <row r="45" spans="1:18">
      <c r="A45" s="15" t="s">
        <v>387</v>
      </c>
      <c r="B45" s="17" t="n">
        <v>5519</v>
      </c>
      <c r="C45" s="18">
        <f>(4596.0/B45*100)</f>
        <v/>
      </c>
      <c r="D45" s="19" t="n">
        <v>923</v>
      </c>
      <c r="E45" s="18" t="n">
        <v>54.48409382</v>
      </c>
      <c r="F45" s="20" t="n">
        <v>1.78300902</v>
      </c>
      <c r="G45" s="18" t="n">
        <v>15.8105249</v>
      </c>
      <c r="H45" s="20" t="n">
        <v>1.33821262</v>
      </c>
      <c r="I45" s="18" t="s">
        <v>349</v>
      </c>
      <c r="J45" s="20" t="s">
        <v>349</v>
      </c>
      <c r="K45" s="18" t="n">
        <v>3.01523299</v>
      </c>
      <c r="L45" s="20" t="n">
        <v>0.6900741</v>
      </c>
      <c r="M45" s="18" t="n">
        <v>0</v>
      </c>
      <c r="N45" s="20" t="n">
        <v>0</v>
      </c>
      <c r="O45" s="18" t="n">
        <v>8.21797061</v>
      </c>
      <c r="P45" s="20" t="n">
        <v>0.85831767</v>
      </c>
      <c r="Q45" s="18" t="n">
        <v>18.47217768</v>
      </c>
      <c r="R45" s="20" t="n">
        <v>1.26961077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(5290.0/B49*100)</f>
        <v/>
      </c>
      <c r="D49" s="19" t="n">
        <v>1059</v>
      </c>
      <c r="E49" s="18" t="n">
        <v>43.08435322</v>
      </c>
      <c r="F49" s="20" t="n">
        <v>1.76608574</v>
      </c>
      <c r="G49" s="18" t="n">
        <v>49.75726882</v>
      </c>
      <c r="H49" s="20" t="n">
        <v>1.71275976</v>
      </c>
      <c r="I49" s="18" t="s">
        <v>349</v>
      </c>
      <c r="J49" s="20" t="s">
        <v>349</v>
      </c>
      <c r="K49" s="18" t="n">
        <v>1.90110305</v>
      </c>
      <c r="L49" s="20" t="n">
        <v>0.4825768</v>
      </c>
      <c r="M49" s="18" t="n">
        <v>0</v>
      </c>
      <c r="N49" s="20" t="n">
        <v>0</v>
      </c>
      <c r="O49" s="18" t="n">
        <v>1.63478329</v>
      </c>
      <c r="P49" s="20" t="n">
        <v>0.45996249</v>
      </c>
      <c r="Q49" s="18" t="n">
        <v>3.62249162</v>
      </c>
      <c r="R49" s="20" t="n">
        <v>0.6440504500000001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45.32207072</v>
      </c>
      <c r="F55" s="20" t="n">
        <v>1.59687994</v>
      </c>
      <c r="G55" s="18" t="n">
        <v>42.61437077</v>
      </c>
      <c r="H55" s="20" t="n">
        <v>1.93057936</v>
      </c>
      <c r="I55" s="18" t="s">
        <v>349</v>
      </c>
      <c r="J55" s="20" t="s">
        <v>349</v>
      </c>
      <c r="K55" s="18" t="n">
        <v>1.16463232</v>
      </c>
      <c r="L55" s="20" t="n">
        <v>0.29356166</v>
      </c>
      <c r="M55" s="18" t="n">
        <v>0</v>
      </c>
      <c r="N55" s="20" t="n">
        <v>0</v>
      </c>
      <c r="O55" s="18" t="n">
        <v>0.64817172</v>
      </c>
      <c r="P55" s="20" t="n">
        <v>0.2714736</v>
      </c>
      <c r="Q55" s="18" t="n">
        <v>10.25075446</v>
      </c>
      <c r="R55" s="20" t="n">
        <v>1.09437056</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65.37145005000001</v>
      </c>
      <c r="F57" s="20" t="n">
        <v>1.61633548</v>
      </c>
      <c r="G57" s="18" t="n">
        <v>30.59627085</v>
      </c>
      <c r="H57" s="20" t="n">
        <v>1.73994714</v>
      </c>
      <c r="I57" s="18" t="s">
        <v>349</v>
      </c>
      <c r="J57" s="20" t="s">
        <v>349</v>
      </c>
      <c r="K57" s="18" t="n">
        <v>0.42699957</v>
      </c>
      <c r="L57" s="20" t="n">
        <v>0.19781502</v>
      </c>
      <c r="M57" s="18" t="n">
        <v>0.11234525</v>
      </c>
      <c r="N57" s="20" t="n">
        <v>0.11237598</v>
      </c>
      <c r="O57" s="18" t="n">
        <v>0.58927905</v>
      </c>
      <c r="P57" s="20" t="n">
        <v>0.22919752</v>
      </c>
      <c r="Q57" s="18" t="n">
        <v>2.90365521</v>
      </c>
      <c r="R57" s="20" t="n">
        <v>0.56644542</v>
      </c>
    </row>
    <row r="58" spans="1:18">
      <c r="A58" s="15" t="s">
        <v>400</v>
      </c>
      <c r="B58" s="17" t="n">
        <v>7267</v>
      </c>
      <c r="C58" s="18">
        <f>(6067.0/B58*100)</f>
        <v/>
      </c>
      <c r="D58" s="19" t="n">
        <v>1200</v>
      </c>
      <c r="E58" s="18" t="n">
        <v>52.86604122</v>
      </c>
      <c r="F58" s="20" t="n">
        <v>1.83610557</v>
      </c>
      <c r="G58" s="18" t="n">
        <v>38.50308681</v>
      </c>
      <c r="H58" s="20" t="n">
        <v>1.70501453</v>
      </c>
      <c r="I58" s="18" t="s">
        <v>349</v>
      </c>
      <c r="J58" s="20" t="s">
        <v>349</v>
      </c>
      <c r="K58" s="18" t="n">
        <v>1.86930712</v>
      </c>
      <c r="L58" s="20" t="n">
        <v>0.55948558</v>
      </c>
      <c r="M58" s="18" t="n">
        <v>0</v>
      </c>
      <c r="N58" s="20" t="n">
        <v>0</v>
      </c>
      <c r="O58" s="18" t="n">
        <v>0.69561037</v>
      </c>
      <c r="P58" s="20" t="n">
        <v>0.28136367</v>
      </c>
      <c r="Q58" s="18" t="n">
        <v>6.06595449</v>
      </c>
      <c r="R58" s="20" t="n">
        <v>0.70119393</v>
      </c>
    </row>
    <row r="59" spans="1:18">
      <c r="A59" s="15" t="s">
        <v>401</v>
      </c>
      <c r="B59" s="17" t="n">
        <v>4826</v>
      </c>
      <c r="C59" s="18">
        <f>(4030.0/B59*100)</f>
        <v/>
      </c>
      <c r="D59" s="19" t="n">
        <v>796</v>
      </c>
      <c r="E59" s="18" t="n">
        <v>54.05930379</v>
      </c>
      <c r="F59" s="20" t="n">
        <v>2.07856666</v>
      </c>
      <c r="G59" s="18" t="n">
        <v>30.1009437</v>
      </c>
      <c r="H59" s="20" t="n">
        <v>1.97961798</v>
      </c>
      <c r="I59" s="18" t="s">
        <v>349</v>
      </c>
      <c r="J59" s="20" t="s">
        <v>349</v>
      </c>
      <c r="K59" s="18" t="n">
        <v>0.25023071</v>
      </c>
      <c r="L59" s="20" t="n">
        <v>0.13250521</v>
      </c>
      <c r="M59" s="18" t="n">
        <v>0</v>
      </c>
      <c r="N59" s="20" t="n">
        <v>0</v>
      </c>
      <c r="O59" s="18" t="n">
        <v>3.34851461</v>
      </c>
      <c r="P59" s="20" t="n">
        <v>0.90156906</v>
      </c>
      <c r="Q59" s="18" t="n">
        <v>12.24100718</v>
      </c>
      <c r="R59" s="20" t="n">
        <v>1.12972948</v>
      </c>
    </row>
    <row r="60" spans="1:18">
      <c r="A60" s="15" t="s">
        <v>402</v>
      </c>
      <c r="B60" s="17" t="n">
        <v>4546</v>
      </c>
      <c r="C60" s="18">
        <f>(3787.0/B60*100)</f>
        <v/>
      </c>
      <c r="D60" s="19" t="n">
        <v>759</v>
      </c>
      <c r="E60" s="18" t="n">
        <v>43.15582171</v>
      </c>
      <c r="F60" s="20" t="n">
        <v>2.21433133</v>
      </c>
      <c r="G60" s="18" t="n">
        <v>33.03134992</v>
      </c>
      <c r="H60" s="20" t="n">
        <v>2.01764181</v>
      </c>
      <c r="I60" s="18" t="s">
        <v>349</v>
      </c>
      <c r="J60" s="20" t="s">
        <v>349</v>
      </c>
      <c r="K60" s="18" t="n">
        <v>3.18560033</v>
      </c>
      <c r="L60" s="20" t="n">
        <v>0.71509137</v>
      </c>
      <c r="M60" s="18" t="n">
        <v>0.15215251</v>
      </c>
      <c r="N60" s="20" t="n">
        <v>0.15166029</v>
      </c>
      <c r="O60" s="18" t="n">
        <v>3.78610014</v>
      </c>
      <c r="P60" s="20" t="n">
        <v>0.86135843</v>
      </c>
      <c r="Q60" s="18" t="n">
        <v>16.68897541</v>
      </c>
      <c r="R60" s="20" t="n">
        <v>1.58092686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52.76166616</v>
      </c>
      <c r="F63" s="20" t="n">
        <v>1.69518294</v>
      </c>
      <c r="G63" s="18" t="n">
        <v>32.00098566</v>
      </c>
      <c r="H63" s="20" t="n">
        <v>1.6002366</v>
      </c>
      <c r="I63" s="18" t="s">
        <v>349</v>
      </c>
      <c r="J63" s="20" t="s">
        <v>349</v>
      </c>
      <c r="K63" s="18" t="n">
        <v>1.57451154</v>
      </c>
      <c r="L63" s="20" t="n">
        <v>0.35048154</v>
      </c>
      <c r="M63" s="18" t="n">
        <v>0</v>
      </c>
      <c r="N63" s="20" t="n">
        <v>0</v>
      </c>
      <c r="O63" s="18" t="n">
        <v>0.43934137</v>
      </c>
      <c r="P63" s="20" t="n">
        <v>0.19138903</v>
      </c>
      <c r="Q63" s="18" t="n">
        <v>13.22349526</v>
      </c>
      <c r="R63" s="20" t="n">
        <v>1.3851787</v>
      </c>
    </row>
    <row r="64" spans="1:18">
      <c r="A64" s="15" t="s">
        <v>406</v>
      </c>
      <c r="B64" s="17" t="n">
        <v>3634</v>
      </c>
      <c r="C64" s="18">
        <f>(3041.0/B64*100)</f>
        <v/>
      </c>
      <c r="D64" s="19" t="n">
        <v>593</v>
      </c>
      <c r="E64" s="18" t="n">
        <v>40.97498567</v>
      </c>
      <c r="F64" s="20" t="n">
        <v>2.25634555</v>
      </c>
      <c r="G64" s="18" t="n">
        <v>50.80450193</v>
      </c>
      <c r="H64" s="20" t="n">
        <v>2.2948932</v>
      </c>
      <c r="I64" s="18" t="s">
        <v>349</v>
      </c>
      <c r="J64" s="20" t="s">
        <v>349</v>
      </c>
      <c r="K64" s="18" t="n">
        <v>1.17097482</v>
      </c>
      <c r="L64" s="20" t="n">
        <v>0.5052137799999999</v>
      </c>
      <c r="M64" s="18" t="n">
        <v>0</v>
      </c>
      <c r="N64" s="20" t="n">
        <v>0</v>
      </c>
      <c r="O64" s="18" t="n">
        <v>1.40984214</v>
      </c>
      <c r="P64" s="20" t="n">
        <v>0.49943587</v>
      </c>
      <c r="Q64" s="18" t="n">
        <v>5.63969543</v>
      </c>
      <c r="R64" s="20" t="n">
        <v>0.89797587</v>
      </c>
    </row>
    <row r="65" spans="1:18">
      <c r="A65" s="15" t="s">
        <v>407</v>
      </c>
      <c r="B65" s="17" t="n">
        <v>5325</v>
      </c>
      <c r="C65" s="18">
        <f>(4451.0/B65*100)</f>
        <v/>
      </c>
      <c r="D65" s="19" t="n">
        <v>874</v>
      </c>
      <c r="E65" s="18" t="n">
        <v>36.96476254</v>
      </c>
      <c r="F65" s="20" t="n">
        <v>1.86896317</v>
      </c>
      <c r="G65" s="18" t="n">
        <v>45.31079315</v>
      </c>
      <c r="H65" s="20" t="n">
        <v>1.98414853</v>
      </c>
      <c r="I65" s="18" t="s">
        <v>349</v>
      </c>
      <c r="J65" s="20" t="s">
        <v>349</v>
      </c>
      <c r="K65" s="18" t="n">
        <v>2.82135278</v>
      </c>
      <c r="L65" s="20" t="n">
        <v>0.60785357</v>
      </c>
      <c r="M65" s="18" t="n">
        <v>3.10541766</v>
      </c>
      <c r="N65" s="20" t="n">
        <v>0.64572129</v>
      </c>
      <c r="O65" s="18" t="n">
        <v>0</v>
      </c>
      <c r="P65" s="20" t="n">
        <v>0</v>
      </c>
      <c r="Q65" s="18" t="n">
        <v>11.79767387</v>
      </c>
      <c r="R65" s="20" t="n">
        <v>1.09641626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51.30759731</v>
      </c>
      <c r="F69" s="20" t="n">
        <v>1.77662356</v>
      </c>
      <c r="G69" s="18" t="n">
        <v>48.34156211</v>
      </c>
      <c r="H69" s="20" t="n">
        <v>1.78854356</v>
      </c>
      <c r="I69" s="18" t="s">
        <v>349</v>
      </c>
      <c r="J69" s="20" t="s">
        <v>349</v>
      </c>
      <c r="K69" s="18" t="n">
        <v>0</v>
      </c>
      <c r="L69" s="20" t="n">
        <v>0</v>
      </c>
      <c r="M69" s="18" t="n">
        <v>0</v>
      </c>
      <c r="N69" s="20" t="n">
        <v>0</v>
      </c>
      <c r="O69" s="18" t="n">
        <v>0</v>
      </c>
      <c r="P69" s="20" t="n">
        <v>0</v>
      </c>
      <c r="Q69" s="18" t="n">
        <v>0.35084058</v>
      </c>
      <c r="R69" s="20" t="n">
        <v>0.26008206</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46.57866902</v>
      </c>
      <c r="F74" s="20" t="n">
        <v>2.19064979</v>
      </c>
      <c r="G74" s="18" t="n">
        <v>43.57750141</v>
      </c>
      <c r="H74" s="20" t="n">
        <v>1.86905765</v>
      </c>
      <c r="I74" s="18" t="s">
        <v>349</v>
      </c>
      <c r="J74" s="20" t="s">
        <v>349</v>
      </c>
      <c r="K74" s="18" t="n">
        <v>3.031089</v>
      </c>
      <c r="L74" s="20" t="n">
        <v>0.71675438</v>
      </c>
      <c r="M74" s="18" t="n">
        <v>0</v>
      </c>
      <c r="N74" s="20" t="n">
        <v>0</v>
      </c>
      <c r="O74" s="18" t="n">
        <v>0.18984796</v>
      </c>
      <c r="P74" s="20" t="n">
        <v>0.1932362</v>
      </c>
      <c r="Q74" s="18" t="n">
        <v>6.62289261</v>
      </c>
      <c r="R74" s="20" t="n">
        <v>1.10721385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26.87624561</v>
      </c>
      <c r="F78" s="20" t="n">
        <v>1.67912999</v>
      </c>
      <c r="G78" s="18" t="n">
        <v>72.79437964</v>
      </c>
      <c r="H78" s="20" t="n">
        <v>1.7223734</v>
      </c>
      <c r="I78" s="18" t="s">
        <v>349</v>
      </c>
      <c r="J78" s="20" t="s">
        <v>349</v>
      </c>
      <c r="K78" s="18" t="n">
        <v>0</v>
      </c>
      <c r="L78" s="20" t="n">
        <v>0</v>
      </c>
      <c r="M78" s="18" t="n">
        <v>0</v>
      </c>
      <c r="N78" s="20" t="n">
        <v>0</v>
      </c>
      <c r="O78" s="18" t="n">
        <v>0.22271591</v>
      </c>
      <c r="P78" s="20" t="n">
        <v>0.22361564</v>
      </c>
      <c r="Q78" s="18" t="n">
        <v>0.10665884</v>
      </c>
      <c r="R78" s="20" t="n">
        <v>0.07538796</v>
      </c>
    </row>
    <row customHeight="1" ht="25" r="79" spans="1:18">
      <c r="A79" s="15" t="s">
        <v>421</v>
      </c>
      <c r="B79" s="17" t="n">
        <v>1657</v>
      </c>
      <c r="C79" s="18">
        <f>(1376.0/B79*100)</f>
        <v/>
      </c>
      <c r="D79" s="19" t="n">
        <v>281</v>
      </c>
      <c r="E79" s="18" t="n">
        <v>32.92314745</v>
      </c>
      <c r="F79" s="20" t="n">
        <v>2.87287181</v>
      </c>
      <c r="G79" s="18" t="n">
        <v>58.24506052</v>
      </c>
      <c r="H79" s="20" t="n">
        <v>2.61540051</v>
      </c>
      <c r="I79" s="18" t="s">
        <v>349</v>
      </c>
      <c r="J79" s="20" t="s">
        <v>349</v>
      </c>
      <c r="K79" s="18" t="n">
        <v>1.56192224</v>
      </c>
      <c r="L79" s="20" t="n">
        <v>1.1529221</v>
      </c>
      <c r="M79" s="18" t="n">
        <v>0</v>
      </c>
      <c r="N79" s="20" t="n">
        <v>0</v>
      </c>
      <c r="O79" s="18" t="n">
        <v>1.52298029</v>
      </c>
      <c r="P79" s="20" t="n">
        <v>1.17332179</v>
      </c>
      <c r="Q79" s="18" t="n">
        <v>5.74688951</v>
      </c>
      <c r="R79" s="20" t="n">
        <v>1.54350277</v>
      </c>
    </row>
    <row r="80" spans="1:18">
      <c r="A80" s="15" t="s">
        <v>422</v>
      </c>
      <c r="B80" s="17" t="n">
        <v>7841</v>
      </c>
      <c r="C80" s="18">
        <f>(6533.0/B80*100)</f>
        <v/>
      </c>
      <c r="D80" s="19" t="n">
        <v>1308</v>
      </c>
      <c r="E80" s="18" t="n">
        <v>42.91580911</v>
      </c>
      <c r="F80" s="20" t="n">
        <v>2.16977957</v>
      </c>
      <c r="G80" s="18" t="n">
        <v>56.93639429</v>
      </c>
      <c r="H80" s="20" t="n">
        <v>2.15443849</v>
      </c>
      <c r="I80" s="18" t="s">
        <v>349</v>
      </c>
      <c r="J80" s="20" t="s">
        <v>349</v>
      </c>
      <c r="K80" s="18" t="n">
        <v>0</v>
      </c>
      <c r="L80" s="20" t="n">
        <v>0</v>
      </c>
      <c r="M80" s="18" t="n">
        <v>0</v>
      </c>
      <c r="N80" s="20" t="n">
        <v>0</v>
      </c>
      <c r="O80" s="18" t="n">
        <v>0</v>
      </c>
      <c r="P80" s="20" t="n">
        <v>0</v>
      </c>
      <c r="Q80" s="18" t="n">
        <v>0.1477966</v>
      </c>
      <c r="R80" s="20" t="n">
        <v>0.10665255</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52.48115368</v>
      </c>
      <c r="F44" s="20" t="n">
        <v>1.90923215</v>
      </c>
      <c r="G44" s="18" t="n">
        <v>33.68322002</v>
      </c>
      <c r="H44" s="20" t="n">
        <v>1.87956974</v>
      </c>
      <c r="I44" s="18" t="s">
        <v>349</v>
      </c>
      <c r="J44" s="20" t="s">
        <v>349</v>
      </c>
      <c r="K44" s="18" t="n">
        <v>2.3662668</v>
      </c>
      <c r="L44" s="20" t="n">
        <v>0.54278754</v>
      </c>
      <c r="M44" s="18" t="n">
        <v>0</v>
      </c>
      <c r="N44" s="20" t="n">
        <v>0</v>
      </c>
      <c r="O44" s="18" t="n">
        <v>0.47646918</v>
      </c>
      <c r="P44" s="20" t="n">
        <v>0.29524784</v>
      </c>
      <c r="Q44" s="18" t="n">
        <v>10.99289032</v>
      </c>
      <c r="R44" s="20" t="n">
        <v>1.14629158</v>
      </c>
    </row>
    <row r="45" spans="1:18">
      <c r="A45" s="15" t="s">
        <v>387</v>
      </c>
      <c r="B45" s="17" t="n">
        <v>5519</v>
      </c>
      <c r="C45" s="18">
        <f>(4596.0/B45*100)</f>
        <v/>
      </c>
      <c r="D45" s="19" t="n">
        <v>923</v>
      </c>
      <c r="E45" s="18" t="n">
        <v>56.78739057</v>
      </c>
      <c r="F45" s="20" t="n">
        <v>2.07087586</v>
      </c>
      <c r="G45" s="18" t="n">
        <v>20.89828811</v>
      </c>
      <c r="H45" s="20" t="n">
        <v>1.65582367</v>
      </c>
      <c r="I45" s="18" t="s">
        <v>349</v>
      </c>
      <c r="J45" s="20" t="s">
        <v>349</v>
      </c>
      <c r="K45" s="18" t="n">
        <v>3.90927601</v>
      </c>
      <c r="L45" s="20" t="n">
        <v>0.80090904</v>
      </c>
      <c r="M45" s="18" t="n">
        <v>0</v>
      </c>
      <c r="N45" s="20" t="n">
        <v>0</v>
      </c>
      <c r="O45" s="18" t="n">
        <v>0.9484845200000001</v>
      </c>
      <c r="P45" s="20" t="n">
        <v>0.32334741</v>
      </c>
      <c r="Q45" s="18" t="n">
        <v>17.45656079</v>
      </c>
      <c r="R45" s="20" t="n">
        <v>1.66783447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54.08329933</v>
      </c>
      <c r="F49" s="20" t="n">
        <v>1.65011614</v>
      </c>
      <c r="G49" s="18" t="n">
        <v>37.37388042</v>
      </c>
      <c r="H49" s="20" t="n">
        <v>1.52335668</v>
      </c>
      <c r="I49" s="18" t="s">
        <v>349</v>
      </c>
      <c r="J49" s="20" t="s">
        <v>349</v>
      </c>
      <c r="K49" s="18" t="n">
        <v>1.97806486</v>
      </c>
      <c r="L49" s="20" t="n">
        <v>0.48833077</v>
      </c>
      <c r="M49" s="18" t="n">
        <v>0</v>
      </c>
      <c r="N49" s="20" t="n">
        <v>0</v>
      </c>
      <c r="O49" s="18" t="n">
        <v>0.33780843</v>
      </c>
      <c r="P49" s="20" t="n">
        <v>0.1934712</v>
      </c>
      <c r="Q49" s="18" t="n">
        <v>6.22694696</v>
      </c>
      <c r="R49" s="20" t="n">
        <v>0.92371981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50.38107589</v>
      </c>
      <c r="F55" s="20" t="n">
        <v>1.75736262</v>
      </c>
      <c r="G55" s="18" t="n">
        <v>39.21759052</v>
      </c>
      <c r="H55" s="20" t="n">
        <v>1.70466359</v>
      </c>
      <c r="I55" s="18" t="s">
        <v>349</v>
      </c>
      <c r="J55" s="20" t="s">
        <v>349</v>
      </c>
      <c r="K55" s="18" t="n">
        <v>1.36743259</v>
      </c>
      <c r="L55" s="20" t="n">
        <v>0.3260915</v>
      </c>
      <c r="M55" s="18" t="n">
        <v>0</v>
      </c>
      <c r="N55" s="20" t="n">
        <v>0</v>
      </c>
      <c r="O55" s="18" t="n">
        <v>0.38171529</v>
      </c>
      <c r="P55" s="20" t="n">
        <v>0.1868039</v>
      </c>
      <c r="Q55" s="18" t="n">
        <v>8.652185709999999</v>
      </c>
      <c r="R55" s="20" t="n">
        <v>1.04373545</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50.18607221</v>
      </c>
      <c r="F57" s="20" t="n">
        <v>1.75505408</v>
      </c>
      <c r="G57" s="18" t="n">
        <v>41.30688053</v>
      </c>
      <c r="H57" s="20" t="n">
        <v>1.85316336</v>
      </c>
      <c r="I57" s="18" t="s">
        <v>349</v>
      </c>
      <c r="J57" s="20" t="s">
        <v>349</v>
      </c>
      <c r="K57" s="18" t="n">
        <v>0.76355534</v>
      </c>
      <c r="L57" s="20" t="n">
        <v>0.27357509</v>
      </c>
      <c r="M57" s="18" t="n">
        <v>0.27417387</v>
      </c>
      <c r="N57" s="20" t="n">
        <v>0.16205004</v>
      </c>
      <c r="O57" s="18" t="n">
        <v>0.99475515</v>
      </c>
      <c r="P57" s="20" t="n">
        <v>0.34879145</v>
      </c>
      <c r="Q57" s="18" t="n">
        <v>6.4745629</v>
      </c>
      <c r="R57" s="20" t="n">
        <v>0.8121094800000001</v>
      </c>
    </row>
    <row r="58" spans="1:18">
      <c r="A58" s="15" t="s">
        <v>400</v>
      </c>
      <c r="B58" s="17" t="n">
        <v>7267</v>
      </c>
      <c r="C58" s="18">
        <f>(6067.0/B58*100)</f>
        <v/>
      </c>
      <c r="D58" s="19" t="n">
        <v>1200</v>
      </c>
      <c r="E58" s="18" t="n">
        <v>56.67838651</v>
      </c>
      <c r="F58" s="20" t="n">
        <v>1.54682928</v>
      </c>
      <c r="G58" s="18" t="n">
        <v>32.90722081</v>
      </c>
      <c r="H58" s="20" t="n">
        <v>1.42865889</v>
      </c>
      <c r="I58" s="18" t="s">
        <v>349</v>
      </c>
      <c r="J58" s="20" t="s">
        <v>349</v>
      </c>
      <c r="K58" s="18" t="n">
        <v>2.01389852</v>
      </c>
      <c r="L58" s="20" t="n">
        <v>0.58099592</v>
      </c>
      <c r="M58" s="18" t="n">
        <v>0</v>
      </c>
      <c r="N58" s="20" t="n">
        <v>0</v>
      </c>
      <c r="O58" s="18" t="n">
        <v>2.12074838</v>
      </c>
      <c r="P58" s="20" t="n">
        <v>0.4569183</v>
      </c>
      <c r="Q58" s="18" t="n">
        <v>6.27974578</v>
      </c>
      <c r="R58" s="20" t="n">
        <v>0.73956172</v>
      </c>
    </row>
    <row r="59" spans="1:18">
      <c r="A59" s="15" t="s">
        <v>401</v>
      </c>
      <c r="B59" s="17" t="n">
        <v>4826</v>
      </c>
      <c r="C59" s="18">
        <f>(4030.0/B59*100)</f>
        <v/>
      </c>
      <c r="D59" s="19" t="n">
        <v>796</v>
      </c>
      <c r="E59" s="18" t="n">
        <v>63.38485246</v>
      </c>
      <c r="F59" s="20" t="n">
        <v>1.935173</v>
      </c>
      <c r="G59" s="18" t="n">
        <v>24.790549</v>
      </c>
      <c r="H59" s="20" t="n">
        <v>1.80103918</v>
      </c>
      <c r="I59" s="18" t="s">
        <v>349</v>
      </c>
      <c r="J59" s="20" t="s">
        <v>349</v>
      </c>
      <c r="K59" s="18" t="n">
        <v>0.25023071</v>
      </c>
      <c r="L59" s="20" t="n">
        <v>0.13250521</v>
      </c>
      <c r="M59" s="18" t="n">
        <v>0</v>
      </c>
      <c r="N59" s="20" t="n">
        <v>0</v>
      </c>
      <c r="O59" s="18" t="n">
        <v>2.4144366</v>
      </c>
      <c r="P59" s="20" t="n">
        <v>0.73324775</v>
      </c>
      <c r="Q59" s="18" t="n">
        <v>9.15993123</v>
      </c>
      <c r="R59" s="20" t="n">
        <v>1.45109092</v>
      </c>
    </row>
    <row r="60" spans="1:18">
      <c r="A60" s="15" t="s">
        <v>402</v>
      </c>
      <c r="B60" s="17" t="n">
        <v>4546</v>
      </c>
      <c r="C60" s="18">
        <f>(3787.0/B60*100)</f>
        <v/>
      </c>
      <c r="D60" s="19" t="n">
        <v>759</v>
      </c>
      <c r="E60" s="18" t="n">
        <v>48.06198637</v>
      </c>
      <c r="F60" s="20" t="n">
        <v>1.76440681</v>
      </c>
      <c r="G60" s="18" t="n">
        <v>34.54715758</v>
      </c>
      <c r="H60" s="20" t="n">
        <v>1.78561244</v>
      </c>
      <c r="I60" s="18" t="s">
        <v>349</v>
      </c>
      <c r="J60" s="20" t="s">
        <v>349</v>
      </c>
      <c r="K60" s="18" t="n">
        <v>3.32882036</v>
      </c>
      <c r="L60" s="20" t="n">
        <v>0.72670007</v>
      </c>
      <c r="M60" s="18" t="n">
        <v>0</v>
      </c>
      <c r="N60" s="20" t="n">
        <v>0</v>
      </c>
      <c r="O60" s="18" t="n">
        <v>1.12277755</v>
      </c>
      <c r="P60" s="20" t="n">
        <v>0.44713518</v>
      </c>
      <c r="Q60" s="18" t="n">
        <v>12.93925813</v>
      </c>
      <c r="R60" s="20" t="n">
        <v>1.15351566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58.57895192</v>
      </c>
      <c r="F63" s="20" t="n">
        <v>2.07097089</v>
      </c>
      <c r="G63" s="18" t="n">
        <v>25.04678691</v>
      </c>
      <c r="H63" s="20" t="n">
        <v>1.7232709</v>
      </c>
      <c r="I63" s="18" t="s">
        <v>349</v>
      </c>
      <c r="J63" s="20" t="s">
        <v>349</v>
      </c>
      <c r="K63" s="18" t="n">
        <v>1.72590259</v>
      </c>
      <c r="L63" s="20" t="n">
        <v>0.32343689</v>
      </c>
      <c r="M63" s="18" t="n">
        <v>0</v>
      </c>
      <c r="N63" s="20" t="n">
        <v>0</v>
      </c>
      <c r="O63" s="18" t="n">
        <v>0.79881588</v>
      </c>
      <c r="P63" s="20" t="n">
        <v>0.24524207</v>
      </c>
      <c r="Q63" s="18" t="n">
        <v>13.8495427</v>
      </c>
      <c r="R63" s="20" t="n">
        <v>1.19356362</v>
      </c>
    </row>
    <row r="64" spans="1:18">
      <c r="A64" s="15" t="s">
        <v>406</v>
      </c>
      <c r="B64" s="17" t="n">
        <v>3634</v>
      </c>
      <c r="C64" s="18">
        <f>(3041.0/B64*100)</f>
        <v/>
      </c>
      <c r="D64" s="19" t="n">
        <v>593</v>
      </c>
      <c r="E64" s="18" t="n">
        <v>52.97454384</v>
      </c>
      <c r="F64" s="20" t="n">
        <v>2.04434052</v>
      </c>
      <c r="G64" s="18" t="n">
        <v>41.07204666</v>
      </c>
      <c r="H64" s="20" t="n">
        <v>2.06994524</v>
      </c>
      <c r="I64" s="18" t="s">
        <v>349</v>
      </c>
      <c r="J64" s="20" t="s">
        <v>349</v>
      </c>
      <c r="K64" s="18" t="n">
        <v>1.17097482</v>
      </c>
      <c r="L64" s="20" t="n">
        <v>0.5052137799999999</v>
      </c>
      <c r="M64" s="18" t="n">
        <v>0</v>
      </c>
      <c r="N64" s="20" t="n">
        <v>0</v>
      </c>
      <c r="O64" s="18" t="n">
        <v>1.31917967</v>
      </c>
      <c r="P64" s="20" t="n">
        <v>0.51553158</v>
      </c>
      <c r="Q64" s="18" t="n">
        <v>3.46325501</v>
      </c>
      <c r="R64" s="20" t="n">
        <v>0.84833895</v>
      </c>
    </row>
    <row r="65" spans="1:18">
      <c r="A65" s="15" t="s">
        <v>407</v>
      </c>
      <c r="B65" s="17" t="n">
        <v>5325</v>
      </c>
      <c r="C65" s="18">
        <f>(4451.0/B65*100)</f>
        <v/>
      </c>
      <c r="D65" s="19" t="n">
        <v>874</v>
      </c>
      <c r="E65" s="18" t="n">
        <v>43.14016494</v>
      </c>
      <c r="F65" s="20" t="n">
        <v>2.01610615</v>
      </c>
      <c r="G65" s="18" t="n">
        <v>42.78614138</v>
      </c>
      <c r="H65" s="20" t="n">
        <v>2.036302</v>
      </c>
      <c r="I65" s="18" t="s">
        <v>349</v>
      </c>
      <c r="J65" s="20" t="s">
        <v>349</v>
      </c>
      <c r="K65" s="18" t="n">
        <v>3.33854534</v>
      </c>
      <c r="L65" s="20" t="n">
        <v>0.70239766</v>
      </c>
      <c r="M65" s="18" t="n">
        <v>0.32099336</v>
      </c>
      <c r="N65" s="20" t="n">
        <v>0.19295814</v>
      </c>
      <c r="O65" s="18" t="n">
        <v>0.39997825</v>
      </c>
      <c r="P65" s="20" t="n">
        <v>0.20117238</v>
      </c>
      <c r="Q65" s="18" t="n">
        <v>10.01417673</v>
      </c>
      <c r="R65" s="20" t="n">
        <v>1.11585258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54.72444269</v>
      </c>
      <c r="F69" s="20" t="n">
        <v>1.9603664</v>
      </c>
      <c r="G69" s="18" t="n">
        <v>45.06317155</v>
      </c>
      <c r="H69" s="20" t="n">
        <v>1.96610973</v>
      </c>
      <c r="I69" s="18" t="s">
        <v>349</v>
      </c>
      <c r="J69" s="20" t="s">
        <v>349</v>
      </c>
      <c r="K69" s="18" t="n">
        <v>0</v>
      </c>
      <c r="L69" s="20" t="n">
        <v>0</v>
      </c>
      <c r="M69" s="18" t="n">
        <v>0</v>
      </c>
      <c r="N69" s="20" t="n">
        <v>0</v>
      </c>
      <c r="O69" s="18" t="n">
        <v>0</v>
      </c>
      <c r="P69" s="20" t="n">
        <v>0</v>
      </c>
      <c r="Q69" s="18" t="n">
        <v>0.21238575</v>
      </c>
      <c r="R69" s="20" t="n">
        <v>0.14787362</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47.35560123</v>
      </c>
      <c r="F74" s="20" t="n">
        <v>1.93846343</v>
      </c>
      <c r="G74" s="18" t="n">
        <v>39.29225316</v>
      </c>
      <c r="H74" s="20" t="n">
        <v>1.81531251</v>
      </c>
      <c r="I74" s="18" t="s">
        <v>349</v>
      </c>
      <c r="J74" s="20" t="s">
        <v>349</v>
      </c>
      <c r="K74" s="18" t="n">
        <v>3.34851598</v>
      </c>
      <c r="L74" s="20" t="n">
        <v>0.74796104</v>
      </c>
      <c r="M74" s="18" t="n">
        <v>0</v>
      </c>
      <c r="N74" s="20" t="n">
        <v>0</v>
      </c>
      <c r="O74" s="18" t="n">
        <v>0.40925905</v>
      </c>
      <c r="P74" s="20" t="n">
        <v>0.25829583</v>
      </c>
      <c r="Q74" s="18" t="n">
        <v>9.59437059</v>
      </c>
      <c r="R74" s="20" t="n">
        <v>1.33597941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47.73318351</v>
      </c>
      <c r="F78" s="20" t="n">
        <v>1.66015707</v>
      </c>
      <c r="G78" s="18" t="n">
        <v>51.47761697</v>
      </c>
      <c r="H78" s="20" t="n">
        <v>1.66885205</v>
      </c>
      <c r="I78" s="18" t="s">
        <v>349</v>
      </c>
      <c r="J78" s="20" t="s">
        <v>349</v>
      </c>
      <c r="K78" s="18" t="n">
        <v>0</v>
      </c>
      <c r="L78" s="20" t="n">
        <v>0</v>
      </c>
      <c r="M78" s="18" t="n">
        <v>0.10848869</v>
      </c>
      <c r="N78" s="20" t="n">
        <v>0.10840493</v>
      </c>
      <c r="O78" s="18" t="n">
        <v>0.39000432</v>
      </c>
      <c r="P78" s="20" t="n">
        <v>0.20308918</v>
      </c>
      <c r="Q78" s="18" t="n">
        <v>0.2907065</v>
      </c>
      <c r="R78" s="20" t="n">
        <v>0.16990332</v>
      </c>
    </row>
    <row customHeight="1" ht="25" r="79" spans="1:18">
      <c r="A79" s="15" t="s">
        <v>421</v>
      </c>
      <c r="B79" s="17" t="n">
        <v>1657</v>
      </c>
      <c r="C79" s="18">
        <f>(1376.0/B79*100)</f>
        <v/>
      </c>
      <c r="D79" s="19" t="n">
        <v>281</v>
      </c>
      <c r="E79" s="18" t="n">
        <v>48.14474463</v>
      </c>
      <c r="F79" s="20" t="n">
        <v>3.98862731</v>
      </c>
      <c r="G79" s="18" t="n">
        <v>42.56492168</v>
      </c>
      <c r="H79" s="20" t="n">
        <v>2.97479862</v>
      </c>
      <c r="I79" s="18" t="s">
        <v>349</v>
      </c>
      <c r="J79" s="20" t="s">
        <v>349</v>
      </c>
      <c r="K79" s="18" t="n">
        <v>1.56192224</v>
      </c>
      <c r="L79" s="20" t="n">
        <v>1.1529221</v>
      </c>
      <c r="M79" s="18" t="n">
        <v>0</v>
      </c>
      <c r="N79" s="20" t="n">
        <v>0</v>
      </c>
      <c r="O79" s="18" t="n">
        <v>0.20953221</v>
      </c>
      <c r="P79" s="20" t="n">
        <v>0.20216352</v>
      </c>
      <c r="Q79" s="18" t="n">
        <v>7.51887924</v>
      </c>
      <c r="R79" s="20" t="n">
        <v>1.19162741</v>
      </c>
    </row>
    <row r="80" spans="1:18">
      <c r="A80" s="15" t="s">
        <v>422</v>
      </c>
      <c r="B80" s="17" t="n">
        <v>7841</v>
      </c>
      <c r="C80" s="18">
        <f>(6533.0/B80*100)</f>
        <v/>
      </c>
      <c r="D80" s="19" t="n">
        <v>1308</v>
      </c>
      <c r="E80" s="18" t="n">
        <v>49.90388983</v>
      </c>
      <c r="F80" s="20" t="n">
        <v>1.76903468</v>
      </c>
      <c r="G80" s="18" t="n">
        <v>49.24317007</v>
      </c>
      <c r="H80" s="20" t="n">
        <v>1.72483455</v>
      </c>
      <c r="I80" s="18" t="s">
        <v>349</v>
      </c>
      <c r="J80" s="20" t="s">
        <v>349</v>
      </c>
      <c r="K80" s="18" t="n">
        <v>0</v>
      </c>
      <c r="L80" s="20" t="n">
        <v>0</v>
      </c>
      <c r="M80" s="18" t="n">
        <v>0</v>
      </c>
      <c r="N80" s="20" t="n">
        <v>0</v>
      </c>
      <c r="O80" s="18" t="n">
        <v>0</v>
      </c>
      <c r="P80" s="20" t="n">
        <v>0</v>
      </c>
      <c r="Q80" s="18" t="n">
        <v>0.8529401</v>
      </c>
      <c r="R80" s="20" t="n">
        <v>0.35895669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559</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76.07532628</v>
      </c>
      <c r="F44" s="20" t="n">
        <v>1.88714211</v>
      </c>
      <c r="G44" s="18" t="n">
        <v>16.32864918</v>
      </c>
      <c r="H44" s="20" t="n">
        <v>1.71638547</v>
      </c>
      <c r="I44" s="18" t="s">
        <v>349</v>
      </c>
      <c r="J44" s="20" t="s">
        <v>349</v>
      </c>
      <c r="K44" s="18" t="n">
        <v>2.6703629</v>
      </c>
      <c r="L44" s="20" t="n">
        <v>0.56378474</v>
      </c>
      <c r="M44" s="18" t="n">
        <v>0</v>
      </c>
      <c r="N44" s="20" t="n">
        <v>0</v>
      </c>
      <c r="O44" s="18" t="n">
        <v>0</v>
      </c>
      <c r="P44" s="20" t="n">
        <v>0</v>
      </c>
      <c r="Q44" s="18" t="n">
        <v>4.92566165</v>
      </c>
      <c r="R44" s="20" t="n">
        <v>0.77041907</v>
      </c>
    </row>
    <row r="45" spans="1:18">
      <c r="A45" s="15" t="s">
        <v>387</v>
      </c>
      <c r="B45" s="17" t="n">
        <v>5519</v>
      </c>
      <c r="C45" s="18">
        <f>(4596.0/B45*100)</f>
        <v/>
      </c>
      <c r="D45" s="19" t="n">
        <v>923</v>
      </c>
      <c r="E45" s="18" t="n">
        <v>88.56791483000001</v>
      </c>
      <c r="F45" s="20" t="n">
        <v>1.13337786</v>
      </c>
      <c r="G45" s="18" t="n">
        <v>2.13288637</v>
      </c>
      <c r="H45" s="20" t="n">
        <v>0.6860591</v>
      </c>
      <c r="I45" s="18" t="s">
        <v>349</v>
      </c>
      <c r="J45" s="20" t="s">
        <v>349</v>
      </c>
      <c r="K45" s="18" t="n">
        <v>4.02469406</v>
      </c>
      <c r="L45" s="20" t="n">
        <v>0.81148432</v>
      </c>
      <c r="M45" s="18" t="n">
        <v>0</v>
      </c>
      <c r="N45" s="20" t="n">
        <v>0</v>
      </c>
      <c r="O45" s="18" t="n">
        <v>0</v>
      </c>
      <c r="P45" s="20" t="n">
        <v>0</v>
      </c>
      <c r="Q45" s="18" t="n">
        <v>5.27450475</v>
      </c>
      <c r="R45" s="20" t="n">
        <v>0.82621477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70.02576356</v>
      </c>
      <c r="F49" s="20" t="n">
        <v>1.73902984</v>
      </c>
      <c r="G49" s="18" t="n">
        <v>27.0142316</v>
      </c>
      <c r="H49" s="20" t="n">
        <v>1.67335017</v>
      </c>
      <c r="I49" s="18" t="s">
        <v>349</v>
      </c>
      <c r="J49" s="20" t="s">
        <v>349</v>
      </c>
      <c r="K49" s="18" t="n">
        <v>2.1488725</v>
      </c>
      <c r="L49" s="20" t="n">
        <v>0.52772464</v>
      </c>
      <c r="M49" s="18" t="n">
        <v>0</v>
      </c>
      <c r="N49" s="20" t="n">
        <v>0</v>
      </c>
      <c r="O49" s="18" t="n">
        <v>0</v>
      </c>
      <c r="P49" s="20" t="n">
        <v>0</v>
      </c>
      <c r="Q49" s="18" t="n">
        <v>0.81113234</v>
      </c>
      <c r="R49" s="20" t="n">
        <v>0.34080513</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81.07932554999999</v>
      </c>
      <c r="F55" s="20" t="n">
        <v>1.33688728</v>
      </c>
      <c r="G55" s="18" t="n">
        <v>14.54046061</v>
      </c>
      <c r="H55" s="20" t="n">
        <v>1.24081097</v>
      </c>
      <c r="I55" s="18" t="s">
        <v>349</v>
      </c>
      <c r="J55" s="20" t="s">
        <v>349</v>
      </c>
      <c r="K55" s="18" t="n">
        <v>1.51444084</v>
      </c>
      <c r="L55" s="20" t="n">
        <v>0.34304622</v>
      </c>
      <c r="M55" s="18" t="n">
        <v>0</v>
      </c>
      <c r="N55" s="20" t="n">
        <v>0</v>
      </c>
      <c r="O55" s="18" t="n">
        <v>0.09872</v>
      </c>
      <c r="P55" s="20" t="n">
        <v>0.09833256999999999</v>
      </c>
      <c r="Q55" s="18" t="n">
        <v>2.767053</v>
      </c>
      <c r="R55" s="20" t="n">
        <v>0.60619478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90.61451227000001</v>
      </c>
      <c r="F57" s="20" t="n">
        <v>1.03342507</v>
      </c>
      <c r="G57" s="18" t="n">
        <v>6.24686285</v>
      </c>
      <c r="H57" s="20" t="n">
        <v>0.88396887</v>
      </c>
      <c r="I57" s="18" t="s">
        <v>349</v>
      </c>
      <c r="J57" s="20" t="s">
        <v>349</v>
      </c>
      <c r="K57" s="18" t="n">
        <v>0.76355534</v>
      </c>
      <c r="L57" s="20" t="n">
        <v>0.27357509</v>
      </c>
      <c r="M57" s="18" t="n">
        <v>0.08963575999999999</v>
      </c>
      <c r="N57" s="20" t="n">
        <v>0.08932169</v>
      </c>
      <c r="O57" s="18" t="n">
        <v>0</v>
      </c>
      <c r="P57" s="20" t="n">
        <v>0</v>
      </c>
      <c r="Q57" s="18" t="n">
        <v>2.28543379</v>
      </c>
      <c r="R57" s="20" t="n">
        <v>0.55607922</v>
      </c>
    </row>
    <row r="58" spans="1:18">
      <c r="A58" s="15" t="s">
        <v>400</v>
      </c>
      <c r="B58" s="17" t="n">
        <v>7267</v>
      </c>
      <c r="C58" s="18">
        <f>(6067.0/B58*100)</f>
        <v/>
      </c>
      <c r="D58" s="19" t="n">
        <v>1200</v>
      </c>
      <c r="E58" s="18" t="n">
        <v>80.37289602</v>
      </c>
      <c r="F58" s="20" t="n">
        <v>1.34037327</v>
      </c>
      <c r="G58" s="18" t="n">
        <v>15.33374439</v>
      </c>
      <c r="H58" s="20" t="n">
        <v>1.09545951</v>
      </c>
      <c r="I58" s="18" t="s">
        <v>349</v>
      </c>
      <c r="J58" s="20" t="s">
        <v>349</v>
      </c>
      <c r="K58" s="18" t="n">
        <v>2.23854534</v>
      </c>
      <c r="L58" s="20" t="n">
        <v>0.60164</v>
      </c>
      <c r="M58" s="18" t="n">
        <v>0</v>
      </c>
      <c r="N58" s="20" t="n">
        <v>0</v>
      </c>
      <c r="O58" s="18" t="n">
        <v>0</v>
      </c>
      <c r="P58" s="20" t="n">
        <v>0</v>
      </c>
      <c r="Q58" s="18" t="n">
        <v>2.05481425</v>
      </c>
      <c r="R58" s="20" t="n">
        <v>0.51828341</v>
      </c>
    </row>
    <row r="59" spans="1:18">
      <c r="A59" s="15" t="s">
        <v>401</v>
      </c>
      <c r="B59" s="17" t="n">
        <v>4826</v>
      </c>
      <c r="C59" s="18">
        <f>(4030.0/B59*100)</f>
        <v/>
      </c>
      <c r="D59" s="19" t="n">
        <v>796</v>
      </c>
      <c r="E59" s="18" t="n">
        <v>86.35551903</v>
      </c>
      <c r="F59" s="20" t="n">
        <v>1.36012918</v>
      </c>
      <c r="G59" s="18" t="n">
        <v>10.58321672</v>
      </c>
      <c r="H59" s="20" t="n">
        <v>1.19265619</v>
      </c>
      <c r="I59" s="18" t="s">
        <v>349</v>
      </c>
      <c r="J59" s="20" t="s">
        <v>349</v>
      </c>
      <c r="K59" s="18" t="n">
        <v>0.25023071</v>
      </c>
      <c r="L59" s="20" t="n">
        <v>0.13250521</v>
      </c>
      <c r="M59" s="18" t="n">
        <v>0</v>
      </c>
      <c r="N59" s="20" t="n">
        <v>0</v>
      </c>
      <c r="O59" s="18" t="n">
        <v>0</v>
      </c>
      <c r="P59" s="20" t="n">
        <v>0</v>
      </c>
      <c r="Q59" s="18" t="n">
        <v>2.81103354</v>
      </c>
      <c r="R59" s="20" t="n">
        <v>0.70134418</v>
      </c>
    </row>
    <row r="60" spans="1:18">
      <c r="A60" s="15" t="s">
        <v>402</v>
      </c>
      <c r="B60" s="17" t="n">
        <v>4546</v>
      </c>
      <c r="C60" s="18">
        <f>(3787.0/B60*100)</f>
        <v/>
      </c>
      <c r="D60" s="19" t="n">
        <v>759</v>
      </c>
      <c r="E60" s="18" t="n">
        <v>79.09054082999999</v>
      </c>
      <c r="F60" s="20" t="n">
        <v>1.79415356</v>
      </c>
      <c r="G60" s="18" t="n">
        <v>11.49089307</v>
      </c>
      <c r="H60" s="20" t="n">
        <v>1.60657732</v>
      </c>
      <c r="I60" s="18" t="s">
        <v>349</v>
      </c>
      <c r="J60" s="20" t="s">
        <v>349</v>
      </c>
      <c r="K60" s="18" t="n">
        <v>3.6060897</v>
      </c>
      <c r="L60" s="20" t="n">
        <v>0.77597089</v>
      </c>
      <c r="M60" s="18" t="n">
        <v>0</v>
      </c>
      <c r="N60" s="20" t="n">
        <v>0</v>
      </c>
      <c r="O60" s="18" t="n">
        <v>0.11374522</v>
      </c>
      <c r="P60" s="20" t="n">
        <v>0.11179804</v>
      </c>
      <c r="Q60" s="18" t="n">
        <v>5.69873117</v>
      </c>
      <c r="R60" s="20" t="n">
        <v>0.85071171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78.19915109</v>
      </c>
      <c r="F63" s="20" t="n">
        <v>1.61730822</v>
      </c>
      <c r="G63" s="18" t="n">
        <v>14.33905438</v>
      </c>
      <c r="H63" s="20" t="n">
        <v>1.30640646</v>
      </c>
      <c r="I63" s="18" t="s">
        <v>349</v>
      </c>
      <c r="J63" s="20" t="s">
        <v>349</v>
      </c>
      <c r="K63" s="18" t="n">
        <v>1.92121083</v>
      </c>
      <c r="L63" s="20" t="n">
        <v>0.37345857</v>
      </c>
      <c r="M63" s="18" t="n">
        <v>0</v>
      </c>
      <c r="N63" s="20" t="n">
        <v>0</v>
      </c>
      <c r="O63" s="18" t="n">
        <v>0</v>
      </c>
      <c r="P63" s="20" t="n">
        <v>0</v>
      </c>
      <c r="Q63" s="18" t="n">
        <v>5.54058371</v>
      </c>
      <c r="R63" s="20" t="n">
        <v>0.7841344099999999</v>
      </c>
    </row>
    <row r="64" spans="1:18">
      <c r="A64" s="15" t="s">
        <v>406</v>
      </c>
      <c r="B64" s="17" t="n">
        <v>3634</v>
      </c>
      <c r="C64" s="18">
        <f>(3041.0/B64*100)</f>
        <v/>
      </c>
      <c r="D64" s="19" t="n">
        <v>593</v>
      </c>
      <c r="E64" s="18" t="n">
        <v>59.53891919</v>
      </c>
      <c r="F64" s="20" t="n">
        <v>2.08499666</v>
      </c>
      <c r="G64" s="18" t="n">
        <v>37.62826123</v>
      </c>
      <c r="H64" s="20" t="n">
        <v>2.06832328</v>
      </c>
      <c r="I64" s="18" t="s">
        <v>349</v>
      </c>
      <c r="J64" s="20" t="s">
        <v>349</v>
      </c>
      <c r="K64" s="18" t="n">
        <v>1.17097482</v>
      </c>
      <c r="L64" s="20" t="n">
        <v>0.5052137799999999</v>
      </c>
      <c r="M64" s="18" t="n">
        <v>0</v>
      </c>
      <c r="N64" s="20" t="n">
        <v>0</v>
      </c>
      <c r="O64" s="18" t="n">
        <v>0</v>
      </c>
      <c r="P64" s="20" t="n">
        <v>0</v>
      </c>
      <c r="Q64" s="18" t="n">
        <v>1.66184476</v>
      </c>
      <c r="R64" s="20" t="n">
        <v>0.50206625</v>
      </c>
    </row>
    <row r="65" spans="1:18">
      <c r="A65" s="15" t="s">
        <v>407</v>
      </c>
      <c r="B65" s="17" t="n">
        <v>5325</v>
      </c>
      <c r="C65" s="18">
        <f>(4451.0/B65*100)</f>
        <v/>
      </c>
      <c r="D65" s="19" t="n">
        <v>874</v>
      </c>
      <c r="E65" s="18" t="n">
        <v>78.46992638</v>
      </c>
      <c r="F65" s="20" t="n">
        <v>1.55040297</v>
      </c>
      <c r="G65" s="18" t="n">
        <v>14.11852327</v>
      </c>
      <c r="H65" s="20" t="n">
        <v>1.15246736</v>
      </c>
      <c r="I65" s="18" t="s">
        <v>349</v>
      </c>
      <c r="J65" s="20" t="s">
        <v>349</v>
      </c>
      <c r="K65" s="18" t="n">
        <v>3.90775958</v>
      </c>
      <c r="L65" s="20" t="n">
        <v>0.67809166</v>
      </c>
      <c r="M65" s="18" t="n">
        <v>0.12031771</v>
      </c>
      <c r="N65" s="20" t="n">
        <v>0.13029777</v>
      </c>
      <c r="O65" s="18" t="n">
        <v>0</v>
      </c>
      <c r="P65" s="20" t="n">
        <v>0</v>
      </c>
      <c r="Q65" s="18" t="n">
        <v>3.38347306</v>
      </c>
      <c r="R65" s="20" t="n">
        <v>0.5875176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78.70061450999999</v>
      </c>
      <c r="F69" s="20" t="n">
        <v>1.64226923</v>
      </c>
      <c r="G69" s="18" t="n">
        <v>21.29938549</v>
      </c>
      <c r="H69" s="20" t="n">
        <v>1.64226923</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79.00660392</v>
      </c>
      <c r="F74" s="20" t="n">
        <v>1.5892564</v>
      </c>
      <c r="G74" s="18" t="n">
        <v>14.51128624</v>
      </c>
      <c r="H74" s="20" t="n">
        <v>1.31810553</v>
      </c>
      <c r="I74" s="18" t="s">
        <v>349</v>
      </c>
      <c r="J74" s="20" t="s">
        <v>349</v>
      </c>
      <c r="K74" s="18" t="n">
        <v>3.79344902</v>
      </c>
      <c r="L74" s="20" t="n">
        <v>0.77483724</v>
      </c>
      <c r="M74" s="18" t="n">
        <v>0</v>
      </c>
      <c r="N74" s="20" t="n">
        <v>0</v>
      </c>
      <c r="O74" s="18" t="n">
        <v>0</v>
      </c>
      <c r="P74" s="20" t="n">
        <v>0</v>
      </c>
      <c r="Q74" s="18" t="n">
        <v>2.68866082</v>
      </c>
      <c r="R74" s="20" t="n">
        <v>0.66953345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51.35331389</v>
      </c>
      <c r="F78" s="20" t="n">
        <v>2.04180176</v>
      </c>
      <c r="G78" s="18" t="n">
        <v>48.64668611</v>
      </c>
      <c r="H78" s="20" t="n">
        <v>2.04180176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(1376.0/B79*100)</f>
        <v/>
      </c>
      <c r="D79" s="19" t="n">
        <v>281</v>
      </c>
      <c r="E79" s="18" t="n">
        <v>60.30685122</v>
      </c>
      <c r="F79" s="20" t="n">
        <v>3.23346023</v>
      </c>
      <c r="G79" s="18" t="n">
        <v>37.26169422</v>
      </c>
      <c r="H79" s="20" t="n">
        <v>2.99719425</v>
      </c>
      <c r="I79" s="18" t="s">
        <v>349</v>
      </c>
      <c r="J79" s="20" t="s">
        <v>349</v>
      </c>
      <c r="K79" s="18" t="n">
        <v>1.56192224</v>
      </c>
      <c r="L79" s="20" t="n">
        <v>1.1529221</v>
      </c>
      <c r="M79" s="18" t="n">
        <v>0</v>
      </c>
      <c r="N79" s="20" t="n">
        <v>0</v>
      </c>
      <c r="O79" s="18" t="n">
        <v>0</v>
      </c>
      <c r="P79" s="20" t="n">
        <v>0</v>
      </c>
      <c r="Q79" s="18" t="n">
        <v>0.86953232</v>
      </c>
      <c r="R79" s="20" t="n">
        <v>0.46636466</v>
      </c>
    </row>
    <row r="80" spans="1:18">
      <c r="A80" s="15" t="s">
        <v>422</v>
      </c>
      <c r="B80" s="17" t="n">
        <v>7841</v>
      </c>
      <c r="C80" s="18">
        <f>(6533.0/B80*100)</f>
        <v/>
      </c>
      <c r="D80" s="19" t="n">
        <v>1308</v>
      </c>
      <c r="E80" s="18" t="n">
        <v>88.69247464</v>
      </c>
      <c r="F80" s="20" t="n">
        <v>1.40778958</v>
      </c>
      <c r="G80" s="18" t="n">
        <v>11.19024999</v>
      </c>
      <c r="H80" s="20" t="n">
        <v>1.40024802</v>
      </c>
      <c r="I80" s="18" t="s">
        <v>349</v>
      </c>
      <c r="J80" s="20" t="s">
        <v>349</v>
      </c>
      <c r="K80" s="18" t="n">
        <v>0</v>
      </c>
      <c r="L80" s="20" t="n">
        <v>0</v>
      </c>
      <c r="M80" s="18" t="n">
        <v>0</v>
      </c>
      <c r="N80" s="20" t="n">
        <v>0</v>
      </c>
      <c r="O80" s="18" t="n">
        <v>0</v>
      </c>
      <c r="P80" s="20" t="n">
        <v>0</v>
      </c>
      <c r="Q80" s="18" t="n">
        <v>0.11727537</v>
      </c>
      <c r="R80" s="20" t="n">
        <v>0.16161399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67.81230442</v>
      </c>
      <c r="F44" s="20" t="n">
        <v>2.10536253</v>
      </c>
      <c r="G44" s="18" t="n">
        <v>26.77386968</v>
      </c>
      <c r="H44" s="20" t="n">
        <v>1.8518021</v>
      </c>
      <c r="I44" s="18" t="s">
        <v>349</v>
      </c>
      <c r="J44" s="20" t="s">
        <v>349</v>
      </c>
      <c r="K44" s="18" t="n">
        <v>2.6703629</v>
      </c>
      <c r="L44" s="20" t="n">
        <v>0.56378474</v>
      </c>
      <c r="M44" s="18" t="n">
        <v>0</v>
      </c>
      <c r="N44" s="20" t="n">
        <v>0</v>
      </c>
      <c r="O44" s="18" t="n">
        <v>0</v>
      </c>
      <c r="P44" s="20" t="n">
        <v>0</v>
      </c>
      <c r="Q44" s="18" t="n">
        <v>2.74346301</v>
      </c>
      <c r="R44" s="20" t="n">
        <v>0.9177262899999999</v>
      </c>
    </row>
    <row r="45" spans="1:18">
      <c r="A45" s="15" t="s">
        <v>387</v>
      </c>
      <c r="B45" s="17" t="n">
        <v>5519</v>
      </c>
      <c r="C45" s="18">
        <f>(4596.0/B45*100)</f>
        <v/>
      </c>
      <c r="D45" s="19" t="n">
        <v>923</v>
      </c>
      <c r="E45" s="18" t="n">
        <v>73.78983187999999</v>
      </c>
      <c r="F45" s="20" t="n">
        <v>1.87577722</v>
      </c>
      <c r="G45" s="18" t="n">
        <v>18.0433764</v>
      </c>
      <c r="H45" s="20" t="n">
        <v>1.61132728</v>
      </c>
      <c r="I45" s="18" t="s">
        <v>349</v>
      </c>
      <c r="J45" s="20" t="s">
        <v>349</v>
      </c>
      <c r="K45" s="18" t="n">
        <v>4.42063873</v>
      </c>
      <c r="L45" s="20" t="n">
        <v>0.8517608800000001</v>
      </c>
      <c r="M45" s="18" t="n">
        <v>0</v>
      </c>
      <c r="N45" s="20" t="n">
        <v>0</v>
      </c>
      <c r="O45" s="18" t="n">
        <v>0.09703496</v>
      </c>
      <c r="P45" s="20" t="n">
        <v>0.09834137</v>
      </c>
      <c r="Q45" s="18" t="n">
        <v>3.64911804</v>
      </c>
      <c r="R45" s="20" t="n">
        <v>0.69142353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70.00780746</v>
      </c>
      <c r="F49" s="20" t="n">
        <v>1.67812875</v>
      </c>
      <c r="G49" s="18" t="n">
        <v>27.09434655</v>
      </c>
      <c r="H49" s="20" t="n">
        <v>1.60928147</v>
      </c>
      <c r="I49" s="18" t="s">
        <v>349</v>
      </c>
      <c r="J49" s="20" t="s">
        <v>349</v>
      </c>
      <c r="K49" s="18" t="n">
        <v>2.21317557</v>
      </c>
      <c r="L49" s="20" t="n">
        <v>0.53297712</v>
      </c>
      <c r="M49" s="18" t="n">
        <v>0</v>
      </c>
      <c r="N49" s="20" t="n">
        <v>0</v>
      </c>
      <c r="O49" s="18" t="n">
        <v>0</v>
      </c>
      <c r="P49" s="20" t="n">
        <v>0</v>
      </c>
      <c r="Q49" s="18" t="n">
        <v>0.68467042</v>
      </c>
      <c r="R49" s="20" t="n">
        <v>0.31061444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68.43093808</v>
      </c>
      <c r="F55" s="20" t="n">
        <v>1.66345092</v>
      </c>
      <c r="G55" s="18" t="n">
        <v>28.01362695</v>
      </c>
      <c r="H55" s="20" t="n">
        <v>1.61600647</v>
      </c>
      <c r="I55" s="18" t="s">
        <v>349</v>
      </c>
      <c r="J55" s="20" t="s">
        <v>349</v>
      </c>
      <c r="K55" s="18" t="n">
        <v>1.51444084</v>
      </c>
      <c r="L55" s="20" t="n">
        <v>0.34304622</v>
      </c>
      <c r="M55" s="18" t="n">
        <v>0</v>
      </c>
      <c r="N55" s="20" t="n">
        <v>0</v>
      </c>
      <c r="O55" s="18" t="n">
        <v>0.20938969</v>
      </c>
      <c r="P55" s="20" t="n">
        <v>0.14934474</v>
      </c>
      <c r="Q55" s="18" t="n">
        <v>1.83160444</v>
      </c>
      <c r="R55" s="20" t="n">
        <v>0.39520644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78.09897712999999</v>
      </c>
      <c r="F57" s="20" t="n">
        <v>1.43261597</v>
      </c>
      <c r="G57" s="18" t="n">
        <v>19.94885614</v>
      </c>
      <c r="H57" s="20" t="n">
        <v>1.37813332</v>
      </c>
      <c r="I57" s="18" t="s">
        <v>349</v>
      </c>
      <c r="J57" s="20" t="s">
        <v>349</v>
      </c>
      <c r="K57" s="18" t="n">
        <v>0.76355534</v>
      </c>
      <c r="L57" s="20" t="n">
        <v>0.27357509</v>
      </c>
      <c r="M57" s="18" t="n">
        <v>0</v>
      </c>
      <c r="N57" s="20" t="n">
        <v>0</v>
      </c>
      <c r="O57" s="18" t="n">
        <v>0</v>
      </c>
      <c r="P57" s="20" t="n">
        <v>0</v>
      </c>
      <c r="Q57" s="18" t="n">
        <v>1.1886114</v>
      </c>
      <c r="R57" s="20" t="n">
        <v>0.42236637</v>
      </c>
    </row>
    <row r="58" spans="1:18">
      <c r="A58" s="15" t="s">
        <v>400</v>
      </c>
      <c r="B58" s="17" t="n">
        <v>7267</v>
      </c>
      <c r="C58" s="18">
        <f>(6067.0/B58*100)</f>
        <v/>
      </c>
      <c r="D58" s="19" t="n">
        <v>1200</v>
      </c>
      <c r="E58" s="18" t="n">
        <v>71.84697376</v>
      </c>
      <c r="F58" s="20" t="n">
        <v>1.56390609</v>
      </c>
      <c r="G58" s="18" t="n">
        <v>23.84416662</v>
      </c>
      <c r="H58" s="20" t="n">
        <v>1.32645749</v>
      </c>
      <c r="I58" s="18" t="s">
        <v>349</v>
      </c>
      <c r="J58" s="20" t="s">
        <v>349</v>
      </c>
      <c r="K58" s="18" t="n">
        <v>2.88132367</v>
      </c>
      <c r="L58" s="20" t="n">
        <v>0.68992169</v>
      </c>
      <c r="M58" s="18" t="n">
        <v>0</v>
      </c>
      <c r="N58" s="20" t="n">
        <v>0</v>
      </c>
      <c r="O58" s="18" t="n">
        <v>0</v>
      </c>
      <c r="P58" s="20" t="n">
        <v>0</v>
      </c>
      <c r="Q58" s="18" t="n">
        <v>1.42753595</v>
      </c>
      <c r="R58" s="20" t="n">
        <v>0.42592688</v>
      </c>
    </row>
    <row r="59" spans="1:18">
      <c r="A59" s="15" t="s">
        <v>401</v>
      </c>
      <c r="B59" s="17" t="n">
        <v>4826</v>
      </c>
      <c r="C59" s="18">
        <f>(4030.0/B59*100)</f>
        <v/>
      </c>
      <c r="D59" s="19" t="n">
        <v>796</v>
      </c>
      <c r="E59" s="18" t="n">
        <v>79.12340632999999</v>
      </c>
      <c r="F59" s="20" t="n">
        <v>1.69718816</v>
      </c>
      <c r="G59" s="18" t="n">
        <v>19.07903232</v>
      </c>
      <c r="H59" s="20" t="n">
        <v>1.61094663</v>
      </c>
      <c r="I59" s="18" t="s">
        <v>349</v>
      </c>
      <c r="J59" s="20" t="s">
        <v>349</v>
      </c>
      <c r="K59" s="18" t="n">
        <v>0.25023071</v>
      </c>
      <c r="L59" s="20" t="n">
        <v>0.13250521</v>
      </c>
      <c r="M59" s="18" t="n">
        <v>0</v>
      </c>
      <c r="N59" s="20" t="n">
        <v>0</v>
      </c>
      <c r="O59" s="18" t="n">
        <v>0</v>
      </c>
      <c r="P59" s="20" t="n">
        <v>0</v>
      </c>
      <c r="Q59" s="18" t="n">
        <v>1.54733064</v>
      </c>
      <c r="R59" s="20" t="n">
        <v>0.43718679</v>
      </c>
    </row>
    <row r="60" spans="1:18">
      <c r="A60" s="15" t="s">
        <v>402</v>
      </c>
      <c r="B60" s="17" t="n">
        <v>4546</v>
      </c>
      <c r="C60" s="18">
        <f>(3787.0/B60*100)</f>
        <v/>
      </c>
      <c r="D60" s="19" t="n">
        <v>759</v>
      </c>
      <c r="E60" s="18" t="n">
        <v>71.04782529000001</v>
      </c>
      <c r="F60" s="20" t="n">
        <v>1.8244398</v>
      </c>
      <c r="G60" s="18" t="n">
        <v>23.00529654</v>
      </c>
      <c r="H60" s="20" t="n">
        <v>1.75174742</v>
      </c>
      <c r="I60" s="18" t="s">
        <v>349</v>
      </c>
      <c r="J60" s="20" t="s">
        <v>349</v>
      </c>
      <c r="K60" s="18" t="n">
        <v>3.86755387</v>
      </c>
      <c r="L60" s="20" t="n">
        <v>0.83294876</v>
      </c>
      <c r="M60" s="18" t="n">
        <v>0</v>
      </c>
      <c r="N60" s="20" t="n">
        <v>0</v>
      </c>
      <c r="O60" s="18" t="n">
        <v>0</v>
      </c>
      <c r="P60" s="20" t="n">
        <v>0</v>
      </c>
      <c r="Q60" s="18" t="n">
        <v>2.0793243</v>
      </c>
      <c r="R60" s="20" t="n">
        <v>0.58766516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73.05504433</v>
      </c>
      <c r="F63" s="20" t="n">
        <v>1.7358794</v>
      </c>
      <c r="G63" s="18" t="n">
        <v>21.09041481</v>
      </c>
      <c r="H63" s="20" t="n">
        <v>1.48111482</v>
      </c>
      <c r="I63" s="18" t="s">
        <v>349</v>
      </c>
      <c r="J63" s="20" t="s">
        <v>349</v>
      </c>
      <c r="K63" s="18" t="n">
        <v>2.21836159</v>
      </c>
      <c r="L63" s="20" t="n">
        <v>0.42888711</v>
      </c>
      <c r="M63" s="18" t="n">
        <v>0</v>
      </c>
      <c r="N63" s="20" t="n">
        <v>0</v>
      </c>
      <c r="O63" s="18" t="n">
        <v>0</v>
      </c>
      <c r="P63" s="20" t="n">
        <v>0</v>
      </c>
      <c r="Q63" s="18" t="n">
        <v>3.63617927</v>
      </c>
      <c r="R63" s="20" t="n">
        <v>0.64930258</v>
      </c>
    </row>
    <row r="64" spans="1:18">
      <c r="A64" s="15" t="s">
        <v>406</v>
      </c>
      <c r="B64" s="17" t="n">
        <v>3634</v>
      </c>
      <c r="C64" s="18">
        <f>(3041.0/B64*100)</f>
        <v/>
      </c>
      <c r="D64" s="19" t="n">
        <v>593</v>
      </c>
      <c r="E64" s="18" t="n">
        <v>49.39647672</v>
      </c>
      <c r="F64" s="20" t="n">
        <v>1.91700451</v>
      </c>
      <c r="G64" s="18" t="n">
        <v>48.30398822</v>
      </c>
      <c r="H64" s="20" t="n">
        <v>1.88592777</v>
      </c>
      <c r="I64" s="18" t="s">
        <v>349</v>
      </c>
      <c r="J64" s="20" t="s">
        <v>349</v>
      </c>
      <c r="K64" s="18" t="n">
        <v>1.17097482</v>
      </c>
      <c r="L64" s="20" t="n">
        <v>0.5052137799999999</v>
      </c>
      <c r="M64" s="18" t="n">
        <v>0</v>
      </c>
      <c r="N64" s="20" t="n">
        <v>0</v>
      </c>
      <c r="O64" s="18" t="n">
        <v>0</v>
      </c>
      <c r="P64" s="20" t="n">
        <v>0</v>
      </c>
      <c r="Q64" s="18" t="n">
        <v>1.12856024</v>
      </c>
      <c r="R64" s="20" t="n">
        <v>0.45990966</v>
      </c>
    </row>
    <row r="65" spans="1:18">
      <c r="A65" s="15" t="s">
        <v>407</v>
      </c>
      <c r="B65" s="17" t="n">
        <v>5325</v>
      </c>
      <c r="C65" s="18">
        <f>(4451.0/B65*100)</f>
        <v/>
      </c>
      <c r="D65" s="19" t="n">
        <v>874</v>
      </c>
      <c r="E65" s="18" t="n">
        <v>65.26915167999999</v>
      </c>
      <c r="F65" s="20" t="n">
        <v>1.44836631</v>
      </c>
      <c r="G65" s="18" t="n">
        <v>28.55600554</v>
      </c>
      <c r="H65" s="20" t="n">
        <v>1.42361552</v>
      </c>
      <c r="I65" s="18" t="s">
        <v>349</v>
      </c>
      <c r="J65" s="20" t="s">
        <v>349</v>
      </c>
      <c r="K65" s="18" t="n">
        <v>4.2819491</v>
      </c>
      <c r="L65" s="20" t="n">
        <v>0.65794944</v>
      </c>
      <c r="M65" s="18" t="n">
        <v>0.12031771</v>
      </c>
      <c r="N65" s="20" t="n">
        <v>0.13029777</v>
      </c>
      <c r="O65" s="18" t="n">
        <v>0</v>
      </c>
      <c r="P65" s="20" t="n">
        <v>0</v>
      </c>
      <c r="Q65" s="18" t="n">
        <v>1.77257596</v>
      </c>
      <c r="R65" s="20" t="n">
        <v>0.44495225</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68.39886219</v>
      </c>
      <c r="F69" s="20" t="n">
        <v>1.81213555</v>
      </c>
      <c r="G69" s="18" t="n">
        <v>31.60113781</v>
      </c>
      <c r="H69" s="20" t="n">
        <v>1.81213555</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60.70240652</v>
      </c>
      <c r="F74" s="20" t="n">
        <v>1.66987731</v>
      </c>
      <c r="G74" s="18" t="n">
        <v>33.31014947</v>
      </c>
      <c r="H74" s="20" t="n">
        <v>1.72439468</v>
      </c>
      <c r="I74" s="18" t="s">
        <v>349</v>
      </c>
      <c r="J74" s="20" t="s">
        <v>349</v>
      </c>
      <c r="K74" s="18" t="n">
        <v>3.96677741</v>
      </c>
      <c r="L74" s="20" t="n">
        <v>0.7929931</v>
      </c>
      <c r="M74" s="18" t="n">
        <v>0</v>
      </c>
      <c r="N74" s="20" t="n">
        <v>0</v>
      </c>
      <c r="O74" s="18" t="n">
        <v>0</v>
      </c>
      <c r="P74" s="20" t="n">
        <v>0</v>
      </c>
      <c r="Q74" s="18" t="n">
        <v>2.0206666</v>
      </c>
      <c r="R74" s="20" t="n">
        <v>0.61087074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25.57474637</v>
      </c>
      <c r="F78" s="20" t="n">
        <v>1.79686459</v>
      </c>
      <c r="G78" s="18" t="n">
        <v>74.42525363</v>
      </c>
      <c r="H78" s="20" t="n">
        <v>1.79686459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(1376.0/B79*100)</f>
        <v/>
      </c>
      <c r="D79" s="19" t="n">
        <v>281</v>
      </c>
      <c r="E79" s="18" t="n">
        <v>59.55467167</v>
      </c>
      <c r="F79" s="20" t="n">
        <v>3.39099246</v>
      </c>
      <c r="G79" s="18" t="n">
        <v>37.12384777</v>
      </c>
      <c r="H79" s="20" t="n">
        <v>3.17666118</v>
      </c>
      <c r="I79" s="18" t="s">
        <v>349</v>
      </c>
      <c r="J79" s="20" t="s">
        <v>349</v>
      </c>
      <c r="K79" s="18" t="n">
        <v>1.56192224</v>
      </c>
      <c r="L79" s="20" t="n">
        <v>1.1529221</v>
      </c>
      <c r="M79" s="18" t="n">
        <v>0</v>
      </c>
      <c r="N79" s="20" t="n">
        <v>0</v>
      </c>
      <c r="O79" s="18" t="n">
        <v>0</v>
      </c>
      <c r="P79" s="20" t="n">
        <v>0</v>
      </c>
      <c r="Q79" s="18" t="n">
        <v>1.75955833</v>
      </c>
      <c r="R79" s="20" t="n">
        <v>0.75521193</v>
      </c>
    </row>
    <row r="80" spans="1:18">
      <c r="A80" s="15" t="s">
        <v>422</v>
      </c>
      <c r="B80" s="17" t="n">
        <v>7841</v>
      </c>
      <c r="C80" s="18">
        <f>(6533.0/B80*100)</f>
        <v/>
      </c>
      <c r="D80" s="19" t="n">
        <v>1308</v>
      </c>
      <c r="E80" s="18" t="n">
        <v>65.09578642</v>
      </c>
      <c r="F80" s="20" t="n">
        <v>1.73116235</v>
      </c>
      <c r="G80" s="18" t="n">
        <v>34.90421358</v>
      </c>
      <c r="H80" s="20" t="n">
        <v>1.73116235</v>
      </c>
      <c r="I80" s="18" t="s">
        <v>349</v>
      </c>
      <c r="J80" s="20" t="s">
        <v>349</v>
      </c>
      <c r="K80" s="18" t="n">
        <v>0</v>
      </c>
      <c r="L80" s="20" t="n">
        <v>0</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31.95631932</v>
      </c>
      <c r="F44" s="20" t="n">
        <v>1.74776059</v>
      </c>
      <c r="G44" s="18" t="n">
        <v>35.85731107</v>
      </c>
      <c r="H44" s="20" t="n">
        <v>1.91036065</v>
      </c>
      <c r="I44" s="18" t="s">
        <v>349</v>
      </c>
      <c r="J44" s="20" t="s">
        <v>349</v>
      </c>
      <c r="K44" s="18" t="n">
        <v>3.66472466</v>
      </c>
      <c r="L44" s="20" t="n">
        <v>0.63619271</v>
      </c>
      <c r="M44" s="18" t="n">
        <v>0</v>
      </c>
      <c r="N44" s="20" t="n">
        <v>0</v>
      </c>
      <c r="O44" s="18" t="n">
        <v>0</v>
      </c>
      <c r="P44" s="20" t="n">
        <v>0</v>
      </c>
      <c r="Q44" s="18" t="n">
        <v>28.52164496</v>
      </c>
      <c r="R44" s="20" t="n">
        <v>1.72961771</v>
      </c>
    </row>
    <row r="45" spans="1:18">
      <c r="A45" s="15" t="s">
        <v>387</v>
      </c>
      <c r="B45" s="17" t="n">
        <v>5519</v>
      </c>
      <c r="C45" s="18">
        <f>(4596.0/B45*100)</f>
        <v/>
      </c>
      <c r="D45" s="19" t="n">
        <v>923</v>
      </c>
      <c r="E45" s="18" t="n">
        <v>60.35310588</v>
      </c>
      <c r="F45" s="20" t="n">
        <v>1.90959693</v>
      </c>
      <c r="G45" s="18" t="n">
        <v>10.98504613</v>
      </c>
      <c r="H45" s="20" t="n">
        <v>1.38906345</v>
      </c>
      <c r="I45" s="18" t="s">
        <v>349</v>
      </c>
      <c r="J45" s="20" t="s">
        <v>349</v>
      </c>
      <c r="K45" s="18" t="n">
        <v>5.01156585</v>
      </c>
      <c r="L45" s="20" t="n">
        <v>0.8580947799999999</v>
      </c>
      <c r="M45" s="18" t="n">
        <v>0</v>
      </c>
      <c r="N45" s="20" t="n">
        <v>0</v>
      </c>
      <c r="O45" s="18" t="n">
        <v>0.61482782</v>
      </c>
      <c r="P45" s="20" t="n">
        <v>0.25895019</v>
      </c>
      <c r="Q45" s="18" t="n">
        <v>23.03545432</v>
      </c>
      <c r="R45" s="20" t="n">
        <v>1.27965883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34.61858541</v>
      </c>
      <c r="F49" s="20" t="n">
        <v>1.88020496</v>
      </c>
      <c r="G49" s="18" t="n">
        <v>46.20733144</v>
      </c>
      <c r="H49" s="20" t="n">
        <v>2.08809329</v>
      </c>
      <c r="I49" s="18" t="s">
        <v>349</v>
      </c>
      <c r="J49" s="20" t="s">
        <v>349</v>
      </c>
      <c r="K49" s="18" t="n">
        <v>2.87187922</v>
      </c>
      <c r="L49" s="20" t="n">
        <v>0.59672665</v>
      </c>
      <c r="M49" s="18" t="n">
        <v>0</v>
      </c>
      <c r="N49" s="20" t="n">
        <v>0</v>
      </c>
      <c r="O49" s="18" t="n">
        <v>0</v>
      </c>
      <c r="P49" s="20" t="n">
        <v>0</v>
      </c>
      <c r="Q49" s="18" t="n">
        <v>16.30220393</v>
      </c>
      <c r="R49" s="20" t="n">
        <v>1.44164717</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21.94109194</v>
      </c>
      <c r="F55" s="20" t="n">
        <v>1.33625241</v>
      </c>
      <c r="G55" s="18" t="n">
        <v>54.1842989</v>
      </c>
      <c r="H55" s="20" t="n">
        <v>1.98217212</v>
      </c>
      <c r="I55" s="18" t="s">
        <v>349</v>
      </c>
      <c r="J55" s="20" t="s">
        <v>349</v>
      </c>
      <c r="K55" s="18" t="n">
        <v>1.86109563</v>
      </c>
      <c r="L55" s="20" t="n">
        <v>0.41177366</v>
      </c>
      <c r="M55" s="18" t="n">
        <v>0</v>
      </c>
      <c r="N55" s="20" t="n">
        <v>0</v>
      </c>
      <c r="O55" s="18" t="n">
        <v>0.18316587</v>
      </c>
      <c r="P55" s="20" t="n">
        <v>0.1294017</v>
      </c>
      <c r="Q55" s="18" t="n">
        <v>21.83034766</v>
      </c>
      <c r="R55" s="20" t="n">
        <v>1.70094367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71.41947028</v>
      </c>
      <c r="F57" s="20" t="n">
        <v>1.60298814</v>
      </c>
      <c r="G57" s="18" t="n">
        <v>17.21726582</v>
      </c>
      <c r="H57" s="20" t="n">
        <v>1.44139876</v>
      </c>
      <c r="I57" s="18" t="s">
        <v>349</v>
      </c>
      <c r="J57" s="20" t="s">
        <v>349</v>
      </c>
      <c r="K57" s="18" t="n">
        <v>0.76355534</v>
      </c>
      <c r="L57" s="20" t="n">
        <v>0.27357509</v>
      </c>
      <c r="M57" s="18" t="n">
        <v>0</v>
      </c>
      <c r="N57" s="20" t="n">
        <v>0</v>
      </c>
      <c r="O57" s="18" t="n">
        <v>0</v>
      </c>
      <c r="P57" s="20" t="n">
        <v>0</v>
      </c>
      <c r="Q57" s="18" t="n">
        <v>10.59970857</v>
      </c>
      <c r="R57" s="20" t="n">
        <v>1.25737237</v>
      </c>
    </row>
    <row r="58" spans="1:18">
      <c r="A58" s="15" t="s">
        <v>400</v>
      </c>
      <c r="B58" s="17" t="n">
        <v>7267</v>
      </c>
      <c r="C58" s="18">
        <f>(6067.0/B58*100)</f>
        <v/>
      </c>
      <c r="D58" s="19" t="n">
        <v>1200</v>
      </c>
      <c r="E58" s="18" t="n">
        <v>51.72376984</v>
      </c>
      <c r="F58" s="20" t="n">
        <v>1.94471742</v>
      </c>
      <c r="G58" s="18" t="n">
        <v>33.96684437</v>
      </c>
      <c r="H58" s="20" t="n">
        <v>1.7036972</v>
      </c>
      <c r="I58" s="18" t="s">
        <v>349</v>
      </c>
      <c r="J58" s="20" t="s">
        <v>349</v>
      </c>
      <c r="K58" s="18" t="n">
        <v>3.77438131</v>
      </c>
      <c r="L58" s="20" t="n">
        <v>0.80999523</v>
      </c>
      <c r="M58" s="18" t="n">
        <v>0</v>
      </c>
      <c r="N58" s="20" t="n">
        <v>0</v>
      </c>
      <c r="O58" s="18" t="n">
        <v>0</v>
      </c>
      <c r="P58" s="20" t="n">
        <v>0</v>
      </c>
      <c r="Q58" s="18" t="n">
        <v>10.53500447</v>
      </c>
      <c r="R58" s="20" t="n">
        <v>1.09028123</v>
      </c>
    </row>
    <row r="59" spans="1:18">
      <c r="A59" s="15" t="s">
        <v>401</v>
      </c>
      <c r="B59" s="17" t="n">
        <v>4826</v>
      </c>
      <c r="C59" s="18">
        <f>(4030.0/B59*100)</f>
        <v/>
      </c>
      <c r="D59" s="19" t="n">
        <v>796</v>
      </c>
      <c r="E59" s="18" t="n">
        <v>63.78258004</v>
      </c>
      <c r="F59" s="20" t="n">
        <v>1.86683107</v>
      </c>
      <c r="G59" s="18" t="n">
        <v>14.82036248</v>
      </c>
      <c r="H59" s="20" t="n">
        <v>1.56930185</v>
      </c>
      <c r="I59" s="18" t="s">
        <v>349</v>
      </c>
      <c r="J59" s="20" t="s">
        <v>349</v>
      </c>
      <c r="K59" s="18" t="n">
        <v>0.53265799</v>
      </c>
      <c r="L59" s="20" t="n">
        <v>0.21469419</v>
      </c>
      <c r="M59" s="18" t="n">
        <v>0</v>
      </c>
      <c r="N59" s="20" t="n">
        <v>0</v>
      </c>
      <c r="O59" s="18" t="n">
        <v>0</v>
      </c>
      <c r="P59" s="20" t="n">
        <v>0</v>
      </c>
      <c r="Q59" s="18" t="n">
        <v>20.86439949</v>
      </c>
      <c r="R59" s="20" t="n">
        <v>1.66882299</v>
      </c>
    </row>
    <row r="60" spans="1:18">
      <c r="A60" s="15" t="s">
        <v>402</v>
      </c>
      <c r="B60" s="17" t="n">
        <v>4546</v>
      </c>
      <c r="C60" s="18">
        <f>(3787.0/B60*100)</f>
        <v/>
      </c>
      <c r="D60" s="19" t="n">
        <v>759</v>
      </c>
      <c r="E60" s="18" t="n">
        <v>41.812583</v>
      </c>
      <c r="F60" s="20" t="n">
        <v>2.43040863</v>
      </c>
      <c r="G60" s="18" t="n">
        <v>28.68988421</v>
      </c>
      <c r="H60" s="20" t="n">
        <v>1.88296873</v>
      </c>
      <c r="I60" s="18" t="s">
        <v>349</v>
      </c>
      <c r="J60" s="20" t="s">
        <v>349</v>
      </c>
      <c r="K60" s="18" t="n">
        <v>5.11658748</v>
      </c>
      <c r="L60" s="20" t="n">
        <v>0.84358476</v>
      </c>
      <c r="M60" s="18" t="n">
        <v>0</v>
      </c>
      <c r="N60" s="20" t="n">
        <v>0</v>
      </c>
      <c r="O60" s="18" t="n">
        <v>0.1499929</v>
      </c>
      <c r="P60" s="20" t="n">
        <v>0.15141952</v>
      </c>
      <c r="Q60" s="18" t="n">
        <v>24.23095241</v>
      </c>
      <c r="R60" s="20" t="n">
        <v>1.98895332</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33.94780384</v>
      </c>
      <c r="F63" s="20" t="n">
        <v>1.98323224</v>
      </c>
      <c r="G63" s="18" t="n">
        <v>23.69110063</v>
      </c>
      <c r="H63" s="20" t="n">
        <v>1.8551866</v>
      </c>
      <c r="I63" s="18" t="s">
        <v>349</v>
      </c>
      <c r="J63" s="20" t="s">
        <v>349</v>
      </c>
      <c r="K63" s="18" t="n">
        <v>2.68375076</v>
      </c>
      <c r="L63" s="20" t="n">
        <v>0.47490689</v>
      </c>
      <c r="M63" s="18" t="n">
        <v>0</v>
      </c>
      <c r="N63" s="20" t="n">
        <v>0</v>
      </c>
      <c r="O63" s="18" t="n">
        <v>0</v>
      </c>
      <c r="P63" s="20" t="n">
        <v>0</v>
      </c>
      <c r="Q63" s="18" t="n">
        <v>39.67734477</v>
      </c>
      <c r="R63" s="20" t="n">
        <v>1.80593817</v>
      </c>
    </row>
    <row r="64" spans="1:18">
      <c r="A64" s="15" t="s">
        <v>406</v>
      </c>
      <c r="B64" s="17" t="n">
        <v>3634</v>
      </c>
      <c r="C64" s="18">
        <f>(3041.0/B64*100)</f>
        <v/>
      </c>
      <c r="D64" s="19" t="n">
        <v>593</v>
      </c>
      <c r="E64" s="18" t="n">
        <v>32.21087378</v>
      </c>
      <c r="F64" s="20" t="n">
        <v>1.9891633</v>
      </c>
      <c r="G64" s="18" t="n">
        <v>54.8396509</v>
      </c>
      <c r="H64" s="20" t="n">
        <v>2.00480381</v>
      </c>
      <c r="I64" s="18" t="s">
        <v>349</v>
      </c>
      <c r="J64" s="20" t="s">
        <v>349</v>
      </c>
      <c r="K64" s="18" t="n">
        <v>1.33231924</v>
      </c>
      <c r="L64" s="20" t="n">
        <v>0.53032399</v>
      </c>
      <c r="M64" s="18" t="n">
        <v>0</v>
      </c>
      <c r="N64" s="20" t="n">
        <v>0</v>
      </c>
      <c r="O64" s="18" t="n">
        <v>0</v>
      </c>
      <c r="P64" s="20" t="n">
        <v>0</v>
      </c>
      <c r="Q64" s="18" t="n">
        <v>11.61715608</v>
      </c>
      <c r="R64" s="20" t="n">
        <v>1.25654459</v>
      </c>
    </row>
    <row r="65" spans="1:18">
      <c r="A65" s="15" t="s">
        <v>407</v>
      </c>
      <c r="B65" s="17" t="n">
        <v>5325</v>
      </c>
      <c r="C65" s="18">
        <f>(4451.0/B65*100)</f>
        <v/>
      </c>
      <c r="D65" s="19" t="n">
        <v>874</v>
      </c>
      <c r="E65" s="18" t="n">
        <v>32.53247786</v>
      </c>
      <c r="F65" s="20" t="n">
        <v>1.69464691</v>
      </c>
      <c r="G65" s="18" t="n">
        <v>41.56727683</v>
      </c>
      <c r="H65" s="20" t="n">
        <v>1.79101775</v>
      </c>
      <c r="I65" s="18" t="s">
        <v>349</v>
      </c>
      <c r="J65" s="20" t="s">
        <v>349</v>
      </c>
      <c r="K65" s="18" t="n">
        <v>5.12604721</v>
      </c>
      <c r="L65" s="20" t="n">
        <v>0.71962733</v>
      </c>
      <c r="M65" s="18" t="n">
        <v>0.43075159</v>
      </c>
      <c r="N65" s="20" t="n">
        <v>0.21479897</v>
      </c>
      <c r="O65" s="18" t="n">
        <v>0</v>
      </c>
      <c r="P65" s="20" t="n">
        <v>0</v>
      </c>
      <c r="Q65" s="18" t="n">
        <v>20.34344651</v>
      </c>
      <c r="R65" s="20" t="n">
        <v>1.43156787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51.74833391</v>
      </c>
      <c r="F69" s="20" t="n">
        <v>2.10354331</v>
      </c>
      <c r="G69" s="18" t="n">
        <v>48.25166609</v>
      </c>
      <c r="H69" s="20" t="n">
        <v>2.10354331</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32.04918636</v>
      </c>
      <c r="F74" s="20" t="n">
        <v>1.7216066</v>
      </c>
      <c r="G74" s="18" t="n">
        <v>46.36429077</v>
      </c>
      <c r="H74" s="20" t="n">
        <v>1.82856444</v>
      </c>
      <c r="I74" s="18" t="s">
        <v>349</v>
      </c>
      <c r="J74" s="20" t="s">
        <v>349</v>
      </c>
      <c r="K74" s="18" t="n">
        <v>4.9283927</v>
      </c>
      <c r="L74" s="20" t="n">
        <v>0.87103766</v>
      </c>
      <c r="M74" s="18" t="n">
        <v>0</v>
      </c>
      <c r="N74" s="20" t="n">
        <v>0</v>
      </c>
      <c r="O74" s="18" t="n">
        <v>0</v>
      </c>
      <c r="P74" s="20" t="n">
        <v>0</v>
      </c>
      <c r="Q74" s="18" t="n">
        <v>16.65813017</v>
      </c>
      <c r="R74" s="20" t="n">
        <v>1.37447644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41.88738424</v>
      </c>
      <c r="F78" s="20" t="n">
        <v>2.29616599</v>
      </c>
      <c r="G78" s="18" t="n">
        <v>56.71353242</v>
      </c>
      <c r="H78" s="20" t="n">
        <v>2.2433543</v>
      </c>
      <c r="I78" s="18" t="s">
        <v>349</v>
      </c>
      <c r="J78" s="20" t="s">
        <v>349</v>
      </c>
      <c r="K78" s="18" t="n">
        <v>0</v>
      </c>
      <c r="L78" s="20" t="n">
        <v>0</v>
      </c>
      <c r="M78" s="18" t="n">
        <v>0</v>
      </c>
      <c r="N78" s="20" t="n">
        <v>0</v>
      </c>
      <c r="O78" s="18" t="n">
        <v>0</v>
      </c>
      <c r="P78" s="20" t="n">
        <v>0</v>
      </c>
      <c r="Q78" s="18" t="n">
        <v>1.39908335</v>
      </c>
      <c r="R78" s="20" t="n">
        <v>0.38017929</v>
      </c>
    </row>
    <row customHeight="1" ht="25" r="79" spans="1:18">
      <c r="A79" s="15" t="s">
        <v>421</v>
      </c>
      <c r="B79" s="17" t="n">
        <v>1657</v>
      </c>
      <c r="C79" s="18">
        <f>(1376.0/B79*100)</f>
        <v/>
      </c>
      <c r="D79" s="19" t="n">
        <v>281</v>
      </c>
      <c r="E79" s="18" t="n">
        <v>25.35660238</v>
      </c>
      <c r="F79" s="20" t="n">
        <v>3.17122456</v>
      </c>
      <c r="G79" s="18" t="n">
        <v>61.14217402</v>
      </c>
      <c r="H79" s="20" t="n">
        <v>2.78725443</v>
      </c>
      <c r="I79" s="18" t="s">
        <v>349</v>
      </c>
      <c r="J79" s="20" t="s">
        <v>349</v>
      </c>
      <c r="K79" s="18" t="n">
        <v>3.79845192</v>
      </c>
      <c r="L79" s="20" t="n">
        <v>1.53796517</v>
      </c>
      <c r="M79" s="18" t="n">
        <v>0</v>
      </c>
      <c r="N79" s="20" t="n">
        <v>0</v>
      </c>
      <c r="O79" s="18" t="n">
        <v>0</v>
      </c>
      <c r="P79" s="20" t="n">
        <v>0</v>
      </c>
      <c r="Q79" s="18" t="n">
        <v>9.702771690000001</v>
      </c>
      <c r="R79" s="20" t="n">
        <v>2.14847459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43.57531063</v>
      </c>
      <c r="F44" s="20" t="n">
        <v>2.18487741</v>
      </c>
      <c r="G44" s="18" t="n">
        <v>2.14593893</v>
      </c>
      <c r="H44" s="20" t="n">
        <v>0.89474634</v>
      </c>
      <c r="I44" s="18" t="s">
        <v>349</v>
      </c>
      <c r="J44" s="20" t="s">
        <v>349</v>
      </c>
      <c r="K44" s="18" t="n">
        <v>3.77409505</v>
      </c>
      <c r="L44" s="20" t="n">
        <v>0.62556713</v>
      </c>
      <c r="M44" s="18" t="n">
        <v>0</v>
      </c>
      <c r="N44" s="20" t="n">
        <v>0</v>
      </c>
      <c r="O44" s="18" t="n">
        <v>0</v>
      </c>
      <c r="P44" s="20" t="n">
        <v>0</v>
      </c>
      <c r="Q44" s="18" t="n">
        <v>50.50465539</v>
      </c>
      <c r="R44" s="20" t="n">
        <v>2.02936498</v>
      </c>
    </row>
    <row r="45" spans="1:18">
      <c r="A45" s="15" t="s">
        <v>387</v>
      </c>
      <c r="B45" s="17" t="n">
        <v>5519</v>
      </c>
      <c r="C45" s="18">
        <f>(4596.0/B45*100)</f>
        <v/>
      </c>
      <c r="D45" s="19" t="n">
        <v>923</v>
      </c>
      <c r="E45" s="18" t="n">
        <v>46.30891737</v>
      </c>
      <c r="F45" s="20" t="n">
        <v>1.9246748</v>
      </c>
      <c r="G45" s="18" t="n">
        <v>0.08740178</v>
      </c>
      <c r="H45" s="20" t="n">
        <v>0.08946676000000001</v>
      </c>
      <c r="I45" s="18" t="s">
        <v>349</v>
      </c>
      <c r="J45" s="20" t="s">
        <v>349</v>
      </c>
      <c r="K45" s="18" t="n">
        <v>5.24535529</v>
      </c>
      <c r="L45" s="20" t="n">
        <v>0.8126952</v>
      </c>
      <c r="M45" s="18" t="n">
        <v>0.11459345</v>
      </c>
      <c r="N45" s="20" t="n">
        <v>0.11622032</v>
      </c>
      <c r="O45" s="18" t="n">
        <v>0.32019768</v>
      </c>
      <c r="P45" s="20" t="n">
        <v>0.20141736</v>
      </c>
      <c r="Q45" s="18" t="n">
        <v>47.92353443</v>
      </c>
      <c r="R45" s="20" t="n">
        <v>1.89345397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43.47528789</v>
      </c>
      <c r="F49" s="20" t="n">
        <v>2.11372716</v>
      </c>
      <c r="G49" s="18" t="n">
        <v>1.66995797</v>
      </c>
      <c r="H49" s="20" t="n">
        <v>0.67919765</v>
      </c>
      <c r="I49" s="18" t="s">
        <v>349</v>
      </c>
      <c r="J49" s="20" t="s">
        <v>349</v>
      </c>
      <c r="K49" s="18" t="n">
        <v>2.93116984</v>
      </c>
      <c r="L49" s="20" t="n">
        <v>0.5984745299999999</v>
      </c>
      <c r="M49" s="18" t="n">
        <v>0</v>
      </c>
      <c r="N49" s="20" t="n">
        <v>0</v>
      </c>
      <c r="O49" s="18" t="n">
        <v>0</v>
      </c>
      <c r="P49" s="20" t="n">
        <v>0</v>
      </c>
      <c r="Q49" s="18" t="n">
        <v>51.9235843</v>
      </c>
      <c r="R49" s="20" t="n">
        <v>2.1040754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43.97171796</v>
      </c>
      <c r="F55" s="20" t="n">
        <v>1.91768213</v>
      </c>
      <c r="G55" s="18" t="n">
        <v>2.73529678</v>
      </c>
      <c r="H55" s="20" t="n">
        <v>0.54676161</v>
      </c>
      <c r="I55" s="18" t="s">
        <v>349</v>
      </c>
      <c r="J55" s="20" t="s">
        <v>349</v>
      </c>
      <c r="K55" s="18" t="n">
        <v>1.94961021</v>
      </c>
      <c r="L55" s="20" t="n">
        <v>0.39634858</v>
      </c>
      <c r="M55" s="18" t="n">
        <v>0</v>
      </c>
      <c r="N55" s="20" t="n">
        <v>0</v>
      </c>
      <c r="O55" s="18" t="n">
        <v>0</v>
      </c>
      <c r="P55" s="20" t="n">
        <v>0</v>
      </c>
      <c r="Q55" s="18" t="n">
        <v>51.34337506</v>
      </c>
      <c r="R55" s="20" t="n">
        <v>1.92076998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72.75344871</v>
      </c>
      <c r="F57" s="20" t="n">
        <v>1.63486519</v>
      </c>
      <c r="G57" s="18" t="n">
        <v>0.96331556</v>
      </c>
      <c r="H57" s="20" t="n">
        <v>0.20368216</v>
      </c>
      <c r="I57" s="18" t="s">
        <v>349</v>
      </c>
      <c r="J57" s="20" t="s">
        <v>349</v>
      </c>
      <c r="K57" s="18" t="n">
        <v>0.76355534</v>
      </c>
      <c r="L57" s="20" t="n">
        <v>0.27357509</v>
      </c>
      <c r="M57" s="18" t="n">
        <v>0</v>
      </c>
      <c r="N57" s="20" t="n">
        <v>0</v>
      </c>
      <c r="O57" s="18" t="n">
        <v>0</v>
      </c>
      <c r="P57" s="20" t="n">
        <v>0</v>
      </c>
      <c r="Q57" s="18" t="n">
        <v>25.51968039</v>
      </c>
      <c r="R57" s="20" t="n">
        <v>1.59529535</v>
      </c>
    </row>
    <row r="58" spans="1:18">
      <c r="A58" s="15" t="s">
        <v>400</v>
      </c>
      <c r="B58" s="17" t="n">
        <v>7267</v>
      </c>
      <c r="C58" s="18">
        <f>(6067.0/B58*100)</f>
        <v/>
      </c>
      <c r="D58" s="19" t="n">
        <v>1200</v>
      </c>
      <c r="E58" s="18" t="n">
        <v>65.03627686</v>
      </c>
      <c r="F58" s="20" t="n">
        <v>1.72609982</v>
      </c>
      <c r="G58" s="18" t="n">
        <v>1.03808678</v>
      </c>
      <c r="H58" s="20" t="n">
        <v>0.33498663</v>
      </c>
      <c r="I58" s="18" t="s">
        <v>349</v>
      </c>
      <c r="J58" s="20" t="s">
        <v>349</v>
      </c>
      <c r="K58" s="18" t="n">
        <v>4.18338512</v>
      </c>
      <c r="L58" s="20" t="n">
        <v>0.81615551</v>
      </c>
      <c r="M58" s="18" t="n">
        <v>0</v>
      </c>
      <c r="N58" s="20" t="n">
        <v>0</v>
      </c>
      <c r="O58" s="18" t="n">
        <v>0</v>
      </c>
      <c r="P58" s="20" t="n">
        <v>0</v>
      </c>
      <c r="Q58" s="18" t="n">
        <v>29.74225125</v>
      </c>
      <c r="R58" s="20" t="n">
        <v>1.6343537</v>
      </c>
    </row>
    <row r="59" spans="1:18">
      <c r="A59" s="15" t="s">
        <v>401</v>
      </c>
      <c r="B59" s="17" t="n">
        <v>4826</v>
      </c>
      <c r="C59" s="18">
        <f>(4030.0/B59*100)</f>
        <v/>
      </c>
      <c r="D59" s="19" t="n">
        <v>796</v>
      </c>
      <c r="E59" s="18" t="n">
        <v>58.54871883</v>
      </c>
      <c r="F59" s="20" t="n">
        <v>1.99562027</v>
      </c>
      <c r="G59" s="18" t="n">
        <v>0.48844525</v>
      </c>
      <c r="H59" s="20" t="n">
        <v>0.28372583</v>
      </c>
      <c r="I59" s="18" t="s">
        <v>349</v>
      </c>
      <c r="J59" s="20" t="s">
        <v>349</v>
      </c>
      <c r="K59" s="18" t="n">
        <v>0.53265799</v>
      </c>
      <c r="L59" s="20" t="n">
        <v>0.21469419</v>
      </c>
      <c r="M59" s="18" t="n">
        <v>0</v>
      </c>
      <c r="N59" s="20" t="n">
        <v>0</v>
      </c>
      <c r="O59" s="18" t="n">
        <v>0</v>
      </c>
      <c r="P59" s="20" t="n">
        <v>0</v>
      </c>
      <c r="Q59" s="18" t="n">
        <v>40.43017793</v>
      </c>
      <c r="R59" s="20" t="n">
        <v>1.98044893</v>
      </c>
    </row>
    <row r="60" spans="1:18">
      <c r="A60" s="15" t="s">
        <v>402</v>
      </c>
      <c r="B60" s="17" t="n">
        <v>4546</v>
      </c>
      <c r="C60" s="18">
        <f>(3787.0/B60*100)</f>
        <v/>
      </c>
      <c r="D60" s="19" t="n">
        <v>759</v>
      </c>
      <c r="E60" s="18" t="n">
        <v>49.45319035</v>
      </c>
      <c r="F60" s="20" t="n">
        <v>1.90980269</v>
      </c>
      <c r="G60" s="18" t="n">
        <v>4.20526046</v>
      </c>
      <c r="H60" s="20" t="n">
        <v>0.85677409</v>
      </c>
      <c r="I60" s="18" t="s">
        <v>349</v>
      </c>
      <c r="J60" s="20" t="s">
        <v>349</v>
      </c>
      <c r="K60" s="18" t="n">
        <v>5.59285185</v>
      </c>
      <c r="L60" s="20" t="n">
        <v>0.82541055</v>
      </c>
      <c r="M60" s="18" t="n">
        <v>0</v>
      </c>
      <c r="N60" s="20" t="n">
        <v>0</v>
      </c>
      <c r="O60" s="18" t="n">
        <v>0.1499929</v>
      </c>
      <c r="P60" s="20" t="n">
        <v>0.15141952</v>
      </c>
      <c r="Q60" s="18" t="n">
        <v>40.59870444</v>
      </c>
      <c r="R60" s="20" t="n">
        <v>2.10885887</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33.5870539</v>
      </c>
      <c r="F63" s="20" t="n">
        <v>1.65656349</v>
      </c>
      <c r="G63" s="18" t="n">
        <v>1.76061554</v>
      </c>
      <c r="H63" s="20" t="n">
        <v>0.53945119</v>
      </c>
      <c r="I63" s="18" t="s">
        <v>349</v>
      </c>
      <c r="J63" s="20" t="s">
        <v>349</v>
      </c>
      <c r="K63" s="18" t="n">
        <v>2.68375076</v>
      </c>
      <c r="L63" s="20" t="n">
        <v>0.47490689</v>
      </c>
      <c r="M63" s="18" t="n">
        <v>0</v>
      </c>
      <c r="N63" s="20" t="n">
        <v>0</v>
      </c>
      <c r="O63" s="18" t="n">
        <v>0.21851608</v>
      </c>
      <c r="P63" s="20" t="n">
        <v>0.21870945</v>
      </c>
      <c r="Q63" s="18" t="n">
        <v>61.75006372</v>
      </c>
      <c r="R63" s="20" t="n">
        <v>1.67209619</v>
      </c>
    </row>
    <row r="64" spans="1:18">
      <c r="A64" s="15" t="s">
        <v>406</v>
      </c>
      <c r="B64" s="17" t="n">
        <v>3634</v>
      </c>
      <c r="C64" s="18">
        <f>(3041.0/B64*100)</f>
        <v/>
      </c>
      <c r="D64" s="19" t="n">
        <v>593</v>
      </c>
      <c r="E64" s="18" t="n">
        <v>65.74692039</v>
      </c>
      <c r="F64" s="20" t="n">
        <v>2.01176467</v>
      </c>
      <c r="G64" s="18" t="n">
        <v>6.54315878</v>
      </c>
      <c r="H64" s="20" t="n">
        <v>1.07599132</v>
      </c>
      <c r="I64" s="18" t="s">
        <v>349</v>
      </c>
      <c r="J64" s="20" t="s">
        <v>349</v>
      </c>
      <c r="K64" s="18" t="n">
        <v>1.33231924</v>
      </c>
      <c r="L64" s="20" t="n">
        <v>0.53032399</v>
      </c>
      <c r="M64" s="18" t="n">
        <v>0</v>
      </c>
      <c r="N64" s="20" t="n">
        <v>0</v>
      </c>
      <c r="O64" s="18" t="n">
        <v>0</v>
      </c>
      <c r="P64" s="20" t="n">
        <v>0</v>
      </c>
      <c r="Q64" s="18" t="n">
        <v>26.37760159</v>
      </c>
      <c r="R64" s="20" t="n">
        <v>1.823971</v>
      </c>
    </row>
    <row r="65" spans="1:18">
      <c r="A65" s="15" t="s">
        <v>407</v>
      </c>
      <c r="B65" s="17" t="n">
        <v>5325</v>
      </c>
      <c r="C65" s="18">
        <f>(4451.0/B65*100)</f>
        <v/>
      </c>
      <c r="D65" s="19" t="n">
        <v>874</v>
      </c>
      <c r="E65" s="18" t="n">
        <v>47.09647903</v>
      </c>
      <c r="F65" s="20" t="n">
        <v>1.69713575</v>
      </c>
      <c r="G65" s="18" t="n">
        <v>1.0494175</v>
      </c>
      <c r="H65" s="20" t="n">
        <v>0.29981171</v>
      </c>
      <c r="I65" s="18" t="s">
        <v>349</v>
      </c>
      <c r="J65" s="20" t="s">
        <v>349</v>
      </c>
      <c r="K65" s="18" t="n">
        <v>5.35121772</v>
      </c>
      <c r="L65" s="20" t="n">
        <v>0.74876938</v>
      </c>
      <c r="M65" s="18" t="n">
        <v>0.33601343</v>
      </c>
      <c r="N65" s="20" t="n">
        <v>0.19224108</v>
      </c>
      <c r="O65" s="18" t="n">
        <v>0</v>
      </c>
      <c r="P65" s="20" t="n">
        <v>0</v>
      </c>
      <c r="Q65" s="18" t="n">
        <v>46.16687232</v>
      </c>
      <c r="R65" s="20" t="n">
        <v>1.7285188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93.71569261</v>
      </c>
      <c r="F69" s="20" t="n">
        <v>0.9161310499999999</v>
      </c>
      <c r="G69" s="18" t="n">
        <v>6.0445793</v>
      </c>
      <c r="H69" s="20" t="n">
        <v>0.86744827</v>
      </c>
      <c r="I69" s="18" t="s">
        <v>349</v>
      </c>
      <c r="J69" s="20" t="s">
        <v>349</v>
      </c>
      <c r="K69" s="18" t="n">
        <v>0</v>
      </c>
      <c r="L69" s="20" t="n">
        <v>0</v>
      </c>
      <c r="M69" s="18" t="n">
        <v>0</v>
      </c>
      <c r="N69" s="20" t="n">
        <v>0</v>
      </c>
      <c r="O69" s="18" t="n">
        <v>0</v>
      </c>
      <c r="P69" s="20" t="n">
        <v>0</v>
      </c>
      <c r="Q69" s="18" t="n">
        <v>0.23972809</v>
      </c>
      <c r="R69" s="20" t="n">
        <v>0.16927358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54.1070664</v>
      </c>
      <c r="F74" s="20" t="n">
        <v>2.06926753</v>
      </c>
      <c r="G74" s="18" t="n">
        <v>1.55139486</v>
      </c>
      <c r="H74" s="20" t="n">
        <v>0.39621009</v>
      </c>
      <c r="I74" s="18" t="s">
        <v>349</v>
      </c>
      <c r="J74" s="20" t="s">
        <v>349</v>
      </c>
      <c r="K74" s="18" t="n">
        <v>5.14027461</v>
      </c>
      <c r="L74" s="20" t="n">
        <v>0.8566275</v>
      </c>
      <c r="M74" s="18" t="n">
        <v>0</v>
      </c>
      <c r="N74" s="20" t="n">
        <v>0</v>
      </c>
      <c r="O74" s="18" t="n">
        <v>0</v>
      </c>
      <c r="P74" s="20" t="n">
        <v>0</v>
      </c>
      <c r="Q74" s="18" t="n">
        <v>39.20126413</v>
      </c>
      <c r="R74" s="20" t="n">
        <v>2.11372355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84.58708202</v>
      </c>
      <c r="F78" s="20" t="n">
        <v>1.26412244</v>
      </c>
      <c r="G78" s="18" t="n">
        <v>6.93392488</v>
      </c>
      <c r="H78" s="20" t="n">
        <v>0.96318459</v>
      </c>
      <c r="I78" s="18" t="s">
        <v>349</v>
      </c>
      <c r="J78" s="20" t="s">
        <v>349</v>
      </c>
      <c r="K78" s="18" t="n">
        <v>0</v>
      </c>
      <c r="L78" s="20" t="n">
        <v>0</v>
      </c>
      <c r="M78" s="18" t="n">
        <v>0</v>
      </c>
      <c r="N78" s="20" t="n">
        <v>0</v>
      </c>
      <c r="O78" s="18" t="n">
        <v>0</v>
      </c>
      <c r="P78" s="20" t="n">
        <v>0</v>
      </c>
      <c r="Q78" s="18" t="n">
        <v>8.4789931</v>
      </c>
      <c r="R78" s="20" t="n">
        <v>0.98738231</v>
      </c>
    </row>
    <row customHeight="1" ht="25" r="79" spans="1:18">
      <c r="A79" s="15" t="s">
        <v>421</v>
      </c>
      <c r="B79" s="17" t="n">
        <v>1657</v>
      </c>
      <c r="C79" s="18">
        <f>(1376.0/B79*100)</f>
        <v/>
      </c>
      <c r="D79" s="19" t="n">
        <v>281</v>
      </c>
      <c r="E79" s="18" t="n">
        <v>48.99043139</v>
      </c>
      <c r="F79" s="20" t="n">
        <v>2.60087473</v>
      </c>
      <c r="G79" s="18" t="n">
        <v>3.20665372</v>
      </c>
      <c r="H79" s="20" t="n">
        <v>1.14472248</v>
      </c>
      <c r="I79" s="18" t="s">
        <v>349</v>
      </c>
      <c r="J79" s="20" t="s">
        <v>349</v>
      </c>
      <c r="K79" s="18" t="n">
        <v>4.51075017</v>
      </c>
      <c r="L79" s="20" t="n">
        <v>1.63537896</v>
      </c>
      <c r="M79" s="18" t="n">
        <v>0</v>
      </c>
      <c r="N79" s="20" t="n">
        <v>0</v>
      </c>
      <c r="O79" s="18" t="n">
        <v>0</v>
      </c>
      <c r="P79" s="20" t="n">
        <v>0</v>
      </c>
      <c r="Q79" s="18" t="n">
        <v>43.29216471</v>
      </c>
      <c r="R79" s="20" t="n">
        <v>3.50585275</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39.40212827</v>
      </c>
      <c r="F44" s="20" t="n">
        <v>1.62051253</v>
      </c>
      <c r="G44" s="18" t="n">
        <v>46.56318931</v>
      </c>
      <c r="H44" s="20" t="n">
        <v>1.981676</v>
      </c>
      <c r="I44" s="18" t="s">
        <v>349</v>
      </c>
      <c r="J44" s="20" t="s">
        <v>349</v>
      </c>
      <c r="K44" s="18" t="n">
        <v>3.77409505</v>
      </c>
      <c r="L44" s="20" t="n">
        <v>0.62556713</v>
      </c>
      <c r="M44" s="18" t="n">
        <v>0</v>
      </c>
      <c r="N44" s="20" t="n">
        <v>0</v>
      </c>
      <c r="O44" s="18" t="n">
        <v>4.03500612</v>
      </c>
      <c r="P44" s="20" t="n">
        <v>0.82370964</v>
      </c>
      <c r="Q44" s="18" t="n">
        <v>6.22558124</v>
      </c>
      <c r="R44" s="20" t="n">
        <v>0.98094177</v>
      </c>
    </row>
    <row r="45" spans="1:18">
      <c r="A45" s="15" t="s">
        <v>387</v>
      </c>
      <c r="B45" s="17" t="n">
        <v>5519</v>
      </c>
      <c r="C45" s="18">
        <f>(4596.0/B45*100)</f>
        <v/>
      </c>
      <c r="D45" s="19" t="n">
        <v>923</v>
      </c>
      <c r="E45" s="18" t="n">
        <v>41.17938691</v>
      </c>
      <c r="F45" s="20" t="n">
        <v>1.66144769</v>
      </c>
      <c r="G45" s="18" t="n">
        <v>41.02620598</v>
      </c>
      <c r="H45" s="20" t="n">
        <v>1.85509542</v>
      </c>
      <c r="I45" s="18" t="s">
        <v>349</v>
      </c>
      <c r="J45" s="20" t="s">
        <v>349</v>
      </c>
      <c r="K45" s="18" t="n">
        <v>5.41863511</v>
      </c>
      <c r="L45" s="20" t="n">
        <v>0.8020338</v>
      </c>
      <c r="M45" s="18" t="n">
        <v>0</v>
      </c>
      <c r="N45" s="20" t="n">
        <v>0</v>
      </c>
      <c r="O45" s="18" t="n">
        <v>4.36581812</v>
      </c>
      <c r="P45" s="20" t="n">
        <v>0.77753362</v>
      </c>
      <c r="Q45" s="18" t="n">
        <v>8.009953879999999</v>
      </c>
      <c r="R45" s="20" t="n">
        <v>1.07705404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40.56537972</v>
      </c>
      <c r="F49" s="20" t="n">
        <v>1.90469121</v>
      </c>
      <c r="G49" s="18" t="n">
        <v>53.32201729</v>
      </c>
      <c r="H49" s="20" t="n">
        <v>1.87408766</v>
      </c>
      <c r="I49" s="18" t="s">
        <v>349</v>
      </c>
      <c r="J49" s="20" t="s">
        <v>349</v>
      </c>
      <c r="K49" s="18" t="n">
        <v>3.10152404</v>
      </c>
      <c r="L49" s="20" t="n">
        <v>0.64028895</v>
      </c>
      <c r="M49" s="18" t="n">
        <v>0</v>
      </c>
      <c r="N49" s="20" t="n">
        <v>0</v>
      </c>
      <c r="O49" s="18" t="n">
        <v>0.59551975</v>
      </c>
      <c r="P49" s="20" t="n">
        <v>0.31711012</v>
      </c>
      <c r="Q49" s="18" t="n">
        <v>2.4155592</v>
      </c>
      <c r="R49" s="20" t="n">
        <v>0.60291995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52.91419447</v>
      </c>
      <c r="F55" s="20" t="n">
        <v>1.86111376</v>
      </c>
      <c r="G55" s="18" t="n">
        <v>40.8783174</v>
      </c>
      <c r="H55" s="20" t="n">
        <v>1.89130086</v>
      </c>
      <c r="I55" s="18" t="s">
        <v>349</v>
      </c>
      <c r="J55" s="20" t="s">
        <v>349</v>
      </c>
      <c r="K55" s="18" t="n">
        <v>1.94961021</v>
      </c>
      <c r="L55" s="20" t="n">
        <v>0.39634858</v>
      </c>
      <c r="M55" s="18" t="n">
        <v>0</v>
      </c>
      <c r="N55" s="20" t="n">
        <v>0</v>
      </c>
      <c r="O55" s="18" t="n">
        <v>0.99465531</v>
      </c>
      <c r="P55" s="20" t="n">
        <v>0.3664664</v>
      </c>
      <c r="Q55" s="18" t="n">
        <v>3.26322261</v>
      </c>
      <c r="R55" s="20" t="n">
        <v>0.67607494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53.36680359</v>
      </c>
      <c r="F57" s="20" t="n">
        <v>1.61643086</v>
      </c>
      <c r="G57" s="18" t="n">
        <v>44.51998982</v>
      </c>
      <c r="H57" s="20" t="n">
        <v>1.55439327</v>
      </c>
      <c r="I57" s="18" t="s">
        <v>349</v>
      </c>
      <c r="J57" s="20" t="s">
        <v>349</v>
      </c>
      <c r="K57" s="18" t="n">
        <v>0.80605906</v>
      </c>
      <c r="L57" s="20" t="n">
        <v>0.2894429</v>
      </c>
      <c r="M57" s="18" t="n">
        <v>0</v>
      </c>
      <c r="N57" s="20" t="n">
        <v>0</v>
      </c>
      <c r="O57" s="18" t="n">
        <v>0</v>
      </c>
      <c r="P57" s="20" t="n">
        <v>0</v>
      </c>
      <c r="Q57" s="18" t="n">
        <v>1.30714753</v>
      </c>
      <c r="R57" s="20" t="n">
        <v>0.34839992</v>
      </c>
    </row>
    <row r="58" spans="1:18">
      <c r="A58" s="15" t="s">
        <v>400</v>
      </c>
      <c r="B58" s="17" t="n">
        <v>7267</v>
      </c>
      <c r="C58" s="18">
        <f>(6067.0/B58*100)</f>
        <v/>
      </c>
      <c r="D58" s="19" t="n">
        <v>1200</v>
      </c>
      <c r="E58" s="18" t="n">
        <v>45.22290059</v>
      </c>
      <c r="F58" s="20" t="n">
        <v>1.77056478</v>
      </c>
      <c r="G58" s="18" t="n">
        <v>44.90785901</v>
      </c>
      <c r="H58" s="20" t="n">
        <v>1.60034158</v>
      </c>
      <c r="I58" s="18" t="s">
        <v>349</v>
      </c>
      <c r="J58" s="20" t="s">
        <v>349</v>
      </c>
      <c r="K58" s="18" t="n">
        <v>4.38912843</v>
      </c>
      <c r="L58" s="20" t="n">
        <v>0.82178654</v>
      </c>
      <c r="M58" s="18" t="n">
        <v>0</v>
      </c>
      <c r="N58" s="20" t="n">
        <v>0</v>
      </c>
      <c r="O58" s="18" t="n">
        <v>1.12808838</v>
      </c>
      <c r="P58" s="20" t="n">
        <v>0.35094637</v>
      </c>
      <c r="Q58" s="18" t="n">
        <v>4.3520236</v>
      </c>
      <c r="R58" s="20" t="n">
        <v>0.7811032</v>
      </c>
    </row>
    <row r="59" spans="1:18">
      <c r="A59" s="15" t="s">
        <v>401</v>
      </c>
      <c r="B59" s="17" t="n">
        <v>4826</v>
      </c>
      <c r="C59" s="18">
        <f>(4030.0/B59*100)</f>
        <v/>
      </c>
      <c r="D59" s="19" t="n">
        <v>796</v>
      </c>
      <c r="E59" s="18" t="n">
        <v>0</v>
      </c>
      <c r="F59" s="20" t="n">
        <v>0</v>
      </c>
      <c r="G59" s="18" t="n">
        <v>0</v>
      </c>
      <c r="H59" s="20" t="n">
        <v>0</v>
      </c>
      <c r="I59" s="18" t="s">
        <v>349</v>
      </c>
      <c r="J59" s="20" t="s">
        <v>349</v>
      </c>
      <c r="K59" s="18" t="n">
        <v>0</v>
      </c>
      <c r="L59" s="20" t="n">
        <v>0</v>
      </c>
      <c r="M59" s="18" t="n">
        <v>100</v>
      </c>
      <c r="N59" s="20" t="n">
        <v>0</v>
      </c>
      <c r="O59" s="18" t="n">
        <v>0</v>
      </c>
      <c r="P59" s="20" t="n">
        <v>0</v>
      </c>
      <c r="Q59" s="18" t="n">
        <v>0</v>
      </c>
      <c r="R59" s="20" t="n">
        <v>0</v>
      </c>
    </row>
    <row r="60" spans="1:18">
      <c r="A60" s="15" t="s">
        <v>402</v>
      </c>
      <c r="B60" s="17" t="n">
        <v>4546</v>
      </c>
      <c r="C60" s="18">
        <f>(3787.0/B60*100)</f>
        <v/>
      </c>
      <c r="D60" s="19" t="n">
        <v>759</v>
      </c>
      <c r="E60" s="18" t="n">
        <v>44.50378195</v>
      </c>
      <c r="F60" s="20" t="n">
        <v>2.34024797</v>
      </c>
      <c r="G60" s="18" t="n">
        <v>38.84401247</v>
      </c>
      <c r="H60" s="20" t="n">
        <v>2.30499074</v>
      </c>
      <c r="I60" s="18" t="s">
        <v>349</v>
      </c>
      <c r="J60" s="20" t="s">
        <v>349</v>
      </c>
      <c r="K60" s="18" t="n">
        <v>5.97446572</v>
      </c>
      <c r="L60" s="20" t="n">
        <v>0.83619546</v>
      </c>
      <c r="M60" s="18" t="n">
        <v>0</v>
      </c>
      <c r="N60" s="20" t="n">
        <v>0</v>
      </c>
      <c r="O60" s="18" t="n">
        <v>3.1094607</v>
      </c>
      <c r="P60" s="20" t="n">
        <v>0.73364317</v>
      </c>
      <c r="Q60" s="18" t="n">
        <v>7.56827915</v>
      </c>
      <c r="R60" s="20" t="n">
        <v>1.07186161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45.04043689</v>
      </c>
      <c r="F63" s="20" t="n">
        <v>1.88694256</v>
      </c>
      <c r="G63" s="18" t="n">
        <v>43.36580022</v>
      </c>
      <c r="H63" s="20" t="n">
        <v>1.8555333</v>
      </c>
      <c r="I63" s="18" t="s">
        <v>349</v>
      </c>
      <c r="J63" s="20" t="s">
        <v>349</v>
      </c>
      <c r="K63" s="18" t="n">
        <v>2.68375076</v>
      </c>
      <c r="L63" s="20" t="n">
        <v>0.47490689</v>
      </c>
      <c r="M63" s="18" t="n">
        <v>0</v>
      </c>
      <c r="N63" s="20" t="n">
        <v>0</v>
      </c>
      <c r="O63" s="18" t="n">
        <v>1.58304126</v>
      </c>
      <c r="P63" s="20" t="n">
        <v>0.48526983</v>
      </c>
      <c r="Q63" s="18" t="n">
        <v>7.32697087</v>
      </c>
      <c r="R63" s="20" t="n">
        <v>0.93249407</v>
      </c>
    </row>
    <row r="64" spans="1:18">
      <c r="A64" s="15" t="s">
        <v>406</v>
      </c>
      <c r="B64" s="17" t="n">
        <v>3634</v>
      </c>
      <c r="C64" s="18">
        <f>(3041.0/B64*100)</f>
        <v/>
      </c>
      <c r="D64" s="19" t="n">
        <v>593</v>
      </c>
      <c r="E64" s="18" t="n">
        <v>37.86960632</v>
      </c>
      <c r="F64" s="20" t="n">
        <v>2.12379327</v>
      </c>
      <c r="G64" s="18" t="n">
        <v>55.74001277</v>
      </c>
      <c r="H64" s="20" t="n">
        <v>2.14376407</v>
      </c>
      <c r="I64" s="18" t="s">
        <v>349</v>
      </c>
      <c r="J64" s="20" t="s">
        <v>349</v>
      </c>
      <c r="K64" s="18" t="n">
        <v>1.33231924</v>
      </c>
      <c r="L64" s="20" t="n">
        <v>0.53032399</v>
      </c>
      <c r="M64" s="18" t="n">
        <v>0</v>
      </c>
      <c r="N64" s="20" t="n">
        <v>0</v>
      </c>
      <c r="O64" s="18" t="n">
        <v>1.04071236</v>
      </c>
      <c r="P64" s="20" t="n">
        <v>0.35415953</v>
      </c>
      <c r="Q64" s="18" t="n">
        <v>4.01734932</v>
      </c>
      <c r="R64" s="20" t="n">
        <v>0.80636059</v>
      </c>
    </row>
    <row r="65" spans="1:18">
      <c r="A65" s="15" t="s">
        <v>407</v>
      </c>
      <c r="B65" s="17" t="n">
        <v>5325</v>
      </c>
      <c r="C65" s="18">
        <f>(4451.0/B65*100)</f>
        <v/>
      </c>
      <c r="D65" s="19" t="n">
        <v>874</v>
      </c>
      <c r="E65" s="18" t="n">
        <v>41.30366354</v>
      </c>
      <c r="F65" s="20" t="n">
        <v>1.87836214</v>
      </c>
      <c r="G65" s="18" t="n">
        <v>45.28195706</v>
      </c>
      <c r="H65" s="20" t="n">
        <v>2.06554145</v>
      </c>
      <c r="I65" s="18" t="s">
        <v>349</v>
      </c>
      <c r="J65" s="20" t="s">
        <v>349</v>
      </c>
      <c r="K65" s="18" t="n">
        <v>5.35121772</v>
      </c>
      <c r="L65" s="20" t="n">
        <v>0.74876938</v>
      </c>
      <c r="M65" s="18" t="n">
        <v>2.43618459</v>
      </c>
      <c r="N65" s="20" t="n">
        <v>0.58152635</v>
      </c>
      <c r="O65" s="18" t="n">
        <v>0.1102562</v>
      </c>
      <c r="P65" s="20" t="n">
        <v>0.10861249</v>
      </c>
      <c r="Q65" s="18" t="n">
        <v>5.51672089</v>
      </c>
      <c r="R65" s="20" t="n">
        <v>0.75558214</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52.3496649</v>
      </c>
      <c r="F69" s="20" t="n">
        <v>1.97015297</v>
      </c>
      <c r="G69" s="18" t="n">
        <v>47.53530829</v>
      </c>
      <c r="H69" s="20" t="n">
        <v>1.96349046</v>
      </c>
      <c r="I69" s="18" t="s">
        <v>349</v>
      </c>
      <c r="J69" s="20" t="s">
        <v>349</v>
      </c>
      <c r="K69" s="18" t="n">
        <v>0</v>
      </c>
      <c r="L69" s="20" t="n">
        <v>0</v>
      </c>
      <c r="M69" s="18" t="n">
        <v>0</v>
      </c>
      <c r="N69" s="20" t="n">
        <v>0</v>
      </c>
      <c r="O69" s="18" t="n">
        <v>0</v>
      </c>
      <c r="P69" s="20" t="n">
        <v>0</v>
      </c>
      <c r="Q69" s="18" t="n">
        <v>0.11502681</v>
      </c>
      <c r="R69" s="20" t="n">
        <v>0.11505764</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48.28974576</v>
      </c>
      <c r="F74" s="20" t="n">
        <v>2.1020068</v>
      </c>
      <c r="G74" s="18" t="n">
        <v>42.45863133</v>
      </c>
      <c r="H74" s="20" t="n">
        <v>2.06383826</v>
      </c>
      <c r="I74" s="18" t="s">
        <v>349</v>
      </c>
      <c r="J74" s="20" t="s">
        <v>349</v>
      </c>
      <c r="K74" s="18" t="n">
        <v>5.31004017</v>
      </c>
      <c r="L74" s="20" t="n">
        <v>0.85255861</v>
      </c>
      <c r="M74" s="18" t="n">
        <v>0</v>
      </c>
      <c r="N74" s="20" t="n">
        <v>0</v>
      </c>
      <c r="O74" s="18" t="n">
        <v>0.0707298</v>
      </c>
      <c r="P74" s="20" t="n">
        <v>0.07112062</v>
      </c>
      <c r="Q74" s="18" t="n">
        <v>3.87085295</v>
      </c>
      <c r="R74" s="20" t="n">
        <v>0.63548688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22.44982676</v>
      </c>
      <c r="F78" s="20" t="n">
        <v>1.69317572</v>
      </c>
      <c r="G78" s="18" t="n">
        <v>77.4167336</v>
      </c>
      <c r="H78" s="20" t="n">
        <v>1.7041057</v>
      </c>
      <c r="I78" s="18" t="s">
        <v>349</v>
      </c>
      <c r="J78" s="20" t="s">
        <v>349</v>
      </c>
      <c r="K78" s="18" t="n">
        <v>0</v>
      </c>
      <c r="L78" s="20" t="n">
        <v>0</v>
      </c>
      <c r="M78" s="18" t="n">
        <v>0</v>
      </c>
      <c r="N78" s="20" t="n">
        <v>0</v>
      </c>
      <c r="O78" s="18" t="n">
        <v>0</v>
      </c>
      <c r="P78" s="20" t="n">
        <v>0</v>
      </c>
      <c r="Q78" s="18" t="n">
        <v>0.13343964</v>
      </c>
      <c r="R78" s="20" t="n">
        <v>0.13678037</v>
      </c>
    </row>
    <row customHeight="1" ht="25" r="79" spans="1:18">
      <c r="A79" s="15" t="s">
        <v>421</v>
      </c>
      <c r="B79" s="17" t="n">
        <v>1657</v>
      </c>
      <c r="C79" s="18">
        <f>(1376.0/B79*100)</f>
        <v/>
      </c>
      <c r="D79" s="19" t="n">
        <v>281</v>
      </c>
      <c r="E79" s="18" t="n">
        <v>32.85877118</v>
      </c>
      <c r="F79" s="20" t="n">
        <v>2.9129294</v>
      </c>
      <c r="G79" s="18" t="n">
        <v>58.73791963</v>
      </c>
      <c r="H79" s="20" t="n">
        <v>3.51286407</v>
      </c>
      <c r="I79" s="18" t="s">
        <v>349</v>
      </c>
      <c r="J79" s="20" t="s">
        <v>349</v>
      </c>
      <c r="K79" s="18" t="n">
        <v>4.51075017</v>
      </c>
      <c r="L79" s="20" t="n">
        <v>1.63537896</v>
      </c>
      <c r="M79" s="18" t="n">
        <v>0</v>
      </c>
      <c r="N79" s="20" t="n">
        <v>0</v>
      </c>
      <c r="O79" s="18" t="n">
        <v>1.11158101</v>
      </c>
      <c r="P79" s="20" t="n">
        <v>0.71188493</v>
      </c>
      <c r="Q79" s="18" t="n">
        <v>2.78097801</v>
      </c>
      <c r="R79" s="20" t="n">
        <v>0.83390267</v>
      </c>
    </row>
    <row r="80" spans="1:18">
      <c r="A80" s="15" t="s">
        <v>422</v>
      </c>
      <c r="B80" s="17" t="n">
        <v>7841</v>
      </c>
      <c r="C80" s="18">
        <f>(6533.0/B80*100)</f>
        <v/>
      </c>
      <c r="D80" s="19" t="n">
        <v>1308</v>
      </c>
      <c r="E80" s="18" t="n">
        <v>47.99946581</v>
      </c>
      <c r="F80" s="20" t="n">
        <v>2.03130693</v>
      </c>
      <c r="G80" s="18" t="n">
        <v>51.67387354</v>
      </c>
      <c r="H80" s="20" t="n">
        <v>2.01278565</v>
      </c>
      <c r="I80" s="18" t="s">
        <v>349</v>
      </c>
      <c r="J80" s="20" t="s">
        <v>349</v>
      </c>
      <c r="K80" s="18" t="n">
        <v>0</v>
      </c>
      <c r="L80" s="20" t="n">
        <v>0</v>
      </c>
      <c r="M80" s="18" t="n">
        <v>0</v>
      </c>
      <c r="N80" s="20" t="n">
        <v>0</v>
      </c>
      <c r="O80" s="18" t="n">
        <v>0</v>
      </c>
      <c r="P80" s="20" t="n">
        <v>0</v>
      </c>
      <c r="Q80" s="18" t="n">
        <v>0.32666064</v>
      </c>
      <c r="R80" s="20" t="n">
        <v>0.3376982</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16.99045077</v>
      </c>
      <c r="F44" s="20" t="n">
        <v>1.6784208</v>
      </c>
      <c r="G44" s="18" t="n">
        <v>19.41625414</v>
      </c>
      <c r="H44" s="20" t="n">
        <v>1.40365768</v>
      </c>
      <c r="I44" s="18" t="s">
        <v>349</v>
      </c>
      <c r="J44" s="20" t="s">
        <v>349</v>
      </c>
      <c r="K44" s="18" t="n">
        <v>5.83998959</v>
      </c>
      <c r="L44" s="20" t="n">
        <v>0.82890454</v>
      </c>
      <c r="M44" s="18" t="n">
        <v>0</v>
      </c>
      <c r="N44" s="20" t="n">
        <v>0</v>
      </c>
      <c r="O44" s="18" t="n">
        <v>0</v>
      </c>
      <c r="P44" s="20" t="n">
        <v>0</v>
      </c>
      <c r="Q44" s="18" t="n">
        <v>57.75330549</v>
      </c>
      <c r="R44" s="20" t="n">
        <v>1.88231858</v>
      </c>
    </row>
    <row r="45" spans="1:18">
      <c r="A45" s="15" t="s">
        <v>387</v>
      </c>
      <c r="B45" s="17" t="n">
        <v>5519</v>
      </c>
      <c r="C45" s="18">
        <f>(4596.0/B45*100)</f>
        <v/>
      </c>
      <c r="D45" s="19" t="n">
        <v>923</v>
      </c>
      <c r="E45" s="18" t="n">
        <v>20.9068543</v>
      </c>
      <c r="F45" s="20" t="n">
        <v>1.3049456</v>
      </c>
      <c r="G45" s="18" t="n">
        <v>5.85071073</v>
      </c>
      <c r="H45" s="20" t="n">
        <v>0.99070801</v>
      </c>
      <c r="I45" s="18" t="s">
        <v>349</v>
      </c>
      <c r="J45" s="20" t="s">
        <v>349</v>
      </c>
      <c r="K45" s="18" t="n">
        <v>8.5595076</v>
      </c>
      <c r="L45" s="20" t="n">
        <v>1.048861</v>
      </c>
      <c r="M45" s="18" t="n">
        <v>0</v>
      </c>
      <c r="N45" s="20" t="n">
        <v>0</v>
      </c>
      <c r="O45" s="18" t="n">
        <v>0</v>
      </c>
      <c r="P45" s="20" t="n">
        <v>0</v>
      </c>
      <c r="Q45" s="18" t="n">
        <v>64.68292737</v>
      </c>
      <c r="R45" s="20" t="n">
        <v>1.93524987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34.32417944</v>
      </c>
      <c r="F49" s="20" t="n">
        <v>1.71517285</v>
      </c>
      <c r="G49" s="18" t="n">
        <v>13.74173492</v>
      </c>
      <c r="H49" s="20" t="n">
        <v>1.31158268</v>
      </c>
      <c r="I49" s="18" t="s">
        <v>349</v>
      </c>
      <c r="J49" s="20" t="s">
        <v>349</v>
      </c>
      <c r="K49" s="18" t="n">
        <v>4.08028117</v>
      </c>
      <c r="L49" s="20" t="n">
        <v>0.70601597</v>
      </c>
      <c r="M49" s="18" t="n">
        <v>0</v>
      </c>
      <c r="N49" s="20" t="n">
        <v>0</v>
      </c>
      <c r="O49" s="18" t="n">
        <v>0</v>
      </c>
      <c r="P49" s="20" t="n">
        <v>0</v>
      </c>
      <c r="Q49" s="18" t="n">
        <v>47.85380446</v>
      </c>
      <c r="R49" s="20" t="n">
        <v>1.92514658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33.065559</v>
      </c>
      <c r="F55" s="20" t="n">
        <v>1.69078088</v>
      </c>
      <c r="G55" s="18" t="n">
        <v>18.6563164</v>
      </c>
      <c r="H55" s="20" t="n">
        <v>1.35791408</v>
      </c>
      <c r="I55" s="18" t="s">
        <v>349</v>
      </c>
      <c r="J55" s="20" t="s">
        <v>349</v>
      </c>
      <c r="K55" s="18" t="n">
        <v>2.61899108</v>
      </c>
      <c r="L55" s="20" t="n">
        <v>0.44255364</v>
      </c>
      <c r="M55" s="18" t="n">
        <v>0</v>
      </c>
      <c r="N55" s="20" t="n">
        <v>0</v>
      </c>
      <c r="O55" s="18" t="n">
        <v>0.09208486</v>
      </c>
      <c r="P55" s="20" t="n">
        <v>0.0919579</v>
      </c>
      <c r="Q55" s="18" t="n">
        <v>45.56704867</v>
      </c>
      <c r="R55" s="20" t="n">
        <v>1.99362912</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64.910701</v>
      </c>
      <c r="F57" s="20" t="n">
        <v>1.72924575</v>
      </c>
      <c r="G57" s="18" t="n">
        <v>6.07471203</v>
      </c>
      <c r="H57" s="20" t="n">
        <v>0.81288667</v>
      </c>
      <c r="I57" s="18" t="s">
        <v>349</v>
      </c>
      <c r="J57" s="20" t="s">
        <v>349</v>
      </c>
      <c r="K57" s="18" t="n">
        <v>1.10505566</v>
      </c>
      <c r="L57" s="20" t="n">
        <v>0.33674313</v>
      </c>
      <c r="M57" s="18" t="n">
        <v>0.11609695</v>
      </c>
      <c r="N57" s="20" t="n">
        <v>0.11026165</v>
      </c>
      <c r="O57" s="18" t="n">
        <v>0</v>
      </c>
      <c r="P57" s="20" t="n">
        <v>0</v>
      </c>
      <c r="Q57" s="18" t="n">
        <v>27.79343436</v>
      </c>
      <c r="R57" s="20" t="n">
        <v>1.72772907</v>
      </c>
    </row>
    <row r="58" spans="1:18">
      <c r="A58" s="15" t="s">
        <v>400</v>
      </c>
      <c r="B58" s="17" t="n">
        <v>7267</v>
      </c>
      <c r="C58" s="18">
        <f>(6067.0/B58*100)</f>
        <v/>
      </c>
      <c r="D58" s="19" t="n">
        <v>1200</v>
      </c>
      <c r="E58" s="18" t="n">
        <v>47.4216849</v>
      </c>
      <c r="F58" s="20" t="n">
        <v>1.87503882</v>
      </c>
      <c r="G58" s="18" t="n">
        <v>14.04829</v>
      </c>
      <c r="H58" s="20" t="n">
        <v>1.15356641</v>
      </c>
      <c r="I58" s="18" t="s">
        <v>349</v>
      </c>
      <c r="J58" s="20" t="s">
        <v>349</v>
      </c>
      <c r="K58" s="18" t="n">
        <v>5.07635687</v>
      </c>
      <c r="L58" s="20" t="n">
        <v>0.85977844</v>
      </c>
      <c r="M58" s="18" t="n">
        <v>0</v>
      </c>
      <c r="N58" s="20" t="n">
        <v>0</v>
      </c>
      <c r="O58" s="18" t="n">
        <v>0.07367301</v>
      </c>
      <c r="P58" s="20" t="n">
        <v>0.07364783</v>
      </c>
      <c r="Q58" s="18" t="n">
        <v>33.37999522</v>
      </c>
      <c r="R58" s="20" t="n">
        <v>1.61364555</v>
      </c>
    </row>
    <row r="59" spans="1:18">
      <c r="A59" s="15" t="s">
        <v>401</v>
      </c>
      <c r="B59" s="17" t="n">
        <v>4826</v>
      </c>
      <c r="C59" s="18">
        <f>(4030.0/B59*100)</f>
        <v/>
      </c>
      <c r="D59" s="19" t="n">
        <v>796</v>
      </c>
      <c r="E59" s="18" t="n">
        <v>33.0618477</v>
      </c>
      <c r="F59" s="20" t="n">
        <v>1.99546853</v>
      </c>
      <c r="G59" s="18" t="n">
        <v>7.63307406</v>
      </c>
      <c r="H59" s="20" t="n">
        <v>1.06377579</v>
      </c>
      <c r="I59" s="18" t="s">
        <v>349</v>
      </c>
      <c r="J59" s="20" t="s">
        <v>349</v>
      </c>
      <c r="K59" s="18" t="n">
        <v>1.04422959</v>
      </c>
      <c r="L59" s="20" t="n">
        <v>0.29739758</v>
      </c>
      <c r="M59" s="18" t="n">
        <v>0</v>
      </c>
      <c r="N59" s="20" t="n">
        <v>0</v>
      </c>
      <c r="O59" s="18" t="n">
        <v>0</v>
      </c>
      <c r="P59" s="20" t="n">
        <v>0</v>
      </c>
      <c r="Q59" s="18" t="n">
        <v>58.26084865</v>
      </c>
      <c r="R59" s="20" t="n">
        <v>2.02705881</v>
      </c>
    </row>
    <row r="60" spans="1:18">
      <c r="A60" s="15" t="s">
        <v>402</v>
      </c>
      <c r="B60" s="17" t="n">
        <v>4546</v>
      </c>
      <c r="C60" s="18">
        <f>(3787.0/B60*100)</f>
        <v/>
      </c>
      <c r="D60" s="19" t="n">
        <v>759</v>
      </c>
      <c r="E60" s="18" t="n">
        <v>27.00577386</v>
      </c>
      <c r="F60" s="20" t="n">
        <v>1.79374887</v>
      </c>
      <c r="G60" s="18" t="n">
        <v>14.44205139</v>
      </c>
      <c r="H60" s="20" t="n">
        <v>1.49958862</v>
      </c>
      <c r="I60" s="18" t="s">
        <v>349</v>
      </c>
      <c r="J60" s="20" t="s">
        <v>349</v>
      </c>
      <c r="K60" s="18" t="n">
        <v>7.64843692</v>
      </c>
      <c r="L60" s="20" t="n">
        <v>1.03164114</v>
      </c>
      <c r="M60" s="18" t="n">
        <v>0</v>
      </c>
      <c r="N60" s="20" t="n">
        <v>0</v>
      </c>
      <c r="O60" s="18" t="n">
        <v>0</v>
      </c>
      <c r="P60" s="20" t="n">
        <v>0</v>
      </c>
      <c r="Q60" s="18" t="n">
        <v>50.90373784</v>
      </c>
      <c r="R60" s="20" t="n">
        <v>2.30659118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20.15073687</v>
      </c>
      <c r="F63" s="20" t="n">
        <v>1.70262951</v>
      </c>
      <c r="G63" s="18" t="n">
        <v>5.65194382</v>
      </c>
      <c r="H63" s="20" t="n">
        <v>0.89545881</v>
      </c>
      <c r="I63" s="18" t="s">
        <v>349</v>
      </c>
      <c r="J63" s="20" t="s">
        <v>349</v>
      </c>
      <c r="K63" s="18" t="n">
        <v>3.52762686</v>
      </c>
      <c r="L63" s="20" t="n">
        <v>0.6046175</v>
      </c>
      <c r="M63" s="18" t="n">
        <v>0</v>
      </c>
      <c r="N63" s="20" t="n">
        <v>0</v>
      </c>
      <c r="O63" s="18" t="n">
        <v>0</v>
      </c>
      <c r="P63" s="20" t="n">
        <v>0</v>
      </c>
      <c r="Q63" s="18" t="n">
        <v>70.66969245</v>
      </c>
      <c r="R63" s="20" t="n">
        <v>1.86657531</v>
      </c>
    </row>
    <row r="64" spans="1:18">
      <c r="A64" s="15" t="s">
        <v>406</v>
      </c>
      <c r="B64" s="17" t="n">
        <v>3634</v>
      </c>
      <c r="C64" s="18">
        <f>(3041.0/B64*100)</f>
        <v/>
      </c>
      <c r="D64" s="19" t="n">
        <v>593</v>
      </c>
      <c r="E64" s="18" t="n">
        <v>34.16003928</v>
      </c>
      <c r="F64" s="20" t="n">
        <v>2.15898516</v>
      </c>
      <c r="G64" s="18" t="n">
        <v>32.18516412</v>
      </c>
      <c r="H64" s="20" t="n">
        <v>1.67865956</v>
      </c>
      <c r="I64" s="18" t="s">
        <v>349</v>
      </c>
      <c r="J64" s="20" t="s">
        <v>349</v>
      </c>
      <c r="K64" s="18" t="n">
        <v>1.5173951</v>
      </c>
      <c r="L64" s="20" t="n">
        <v>0.5603013</v>
      </c>
      <c r="M64" s="18" t="n">
        <v>0</v>
      </c>
      <c r="N64" s="20" t="n">
        <v>0</v>
      </c>
      <c r="O64" s="18" t="n">
        <v>0</v>
      </c>
      <c r="P64" s="20" t="n">
        <v>0</v>
      </c>
      <c r="Q64" s="18" t="n">
        <v>32.1374015</v>
      </c>
      <c r="R64" s="20" t="n">
        <v>2.02339322</v>
      </c>
    </row>
    <row r="65" spans="1:18">
      <c r="A65" s="15" t="s">
        <v>407</v>
      </c>
      <c r="B65" s="17" t="n">
        <v>5325</v>
      </c>
      <c r="C65" s="18">
        <f>(4451.0/B65*100)</f>
        <v/>
      </c>
      <c r="D65" s="19" t="n">
        <v>874</v>
      </c>
      <c r="E65" s="18" t="n">
        <v>36.45858115</v>
      </c>
      <c r="F65" s="20" t="n">
        <v>1.64963435</v>
      </c>
      <c r="G65" s="18" t="n">
        <v>12.91632477</v>
      </c>
      <c r="H65" s="20" t="n">
        <v>1.02378071</v>
      </c>
      <c r="I65" s="18" t="s">
        <v>349</v>
      </c>
      <c r="J65" s="20" t="s">
        <v>349</v>
      </c>
      <c r="K65" s="18" t="n">
        <v>7.0991188</v>
      </c>
      <c r="L65" s="20" t="n">
        <v>0.92205827</v>
      </c>
      <c r="M65" s="18" t="n">
        <v>0</v>
      </c>
      <c r="N65" s="20" t="n">
        <v>0</v>
      </c>
      <c r="O65" s="18" t="n">
        <v>0</v>
      </c>
      <c r="P65" s="20" t="n">
        <v>0</v>
      </c>
      <c r="Q65" s="18" t="n">
        <v>43.52597527</v>
      </c>
      <c r="R65" s="20" t="n">
        <v>1.71562952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73.59569695</v>
      </c>
      <c r="F69" s="20" t="n">
        <v>1.7183107</v>
      </c>
      <c r="G69" s="18" t="n">
        <v>25.36826173</v>
      </c>
      <c r="H69" s="20" t="n">
        <v>1.64384444</v>
      </c>
      <c r="I69" s="18" t="s">
        <v>349</v>
      </c>
      <c r="J69" s="20" t="s">
        <v>349</v>
      </c>
      <c r="K69" s="18" t="n">
        <v>0</v>
      </c>
      <c r="L69" s="20" t="n">
        <v>0</v>
      </c>
      <c r="M69" s="18" t="n">
        <v>0</v>
      </c>
      <c r="N69" s="20" t="n">
        <v>0</v>
      </c>
      <c r="O69" s="18" t="n">
        <v>0</v>
      </c>
      <c r="P69" s="20" t="n">
        <v>0</v>
      </c>
      <c r="Q69" s="18" t="n">
        <v>1.03604132</v>
      </c>
      <c r="R69" s="20" t="n">
        <v>0.34444051</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23.08015069</v>
      </c>
      <c r="F74" s="20" t="n">
        <v>1.49263638</v>
      </c>
      <c r="G74" s="18" t="n">
        <v>20.11817743</v>
      </c>
      <c r="H74" s="20" t="n">
        <v>1.67314895</v>
      </c>
      <c r="I74" s="18" t="s">
        <v>349</v>
      </c>
      <c r="J74" s="20" t="s">
        <v>349</v>
      </c>
      <c r="K74" s="18" t="n">
        <v>7.14514648</v>
      </c>
      <c r="L74" s="20" t="n">
        <v>0.98199751</v>
      </c>
      <c r="M74" s="18" t="n">
        <v>0</v>
      </c>
      <c r="N74" s="20" t="n">
        <v>0</v>
      </c>
      <c r="O74" s="18" t="n">
        <v>0</v>
      </c>
      <c r="P74" s="20" t="n">
        <v>0</v>
      </c>
      <c r="Q74" s="18" t="n">
        <v>49.6565254</v>
      </c>
      <c r="R74" s="20" t="n">
        <v>1.9953866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54.19437146</v>
      </c>
      <c r="F78" s="20" t="n">
        <v>1.91559673</v>
      </c>
      <c r="G78" s="18" t="n">
        <v>31.50580191</v>
      </c>
      <c r="H78" s="20" t="n">
        <v>1.73908689</v>
      </c>
      <c r="I78" s="18" t="s">
        <v>349</v>
      </c>
      <c r="J78" s="20" t="s">
        <v>349</v>
      </c>
      <c r="K78" s="18" t="n">
        <v>0</v>
      </c>
      <c r="L78" s="20" t="n">
        <v>0</v>
      </c>
      <c r="M78" s="18" t="n">
        <v>0</v>
      </c>
      <c r="N78" s="20" t="n">
        <v>0</v>
      </c>
      <c r="O78" s="18" t="n">
        <v>0</v>
      </c>
      <c r="P78" s="20" t="n">
        <v>0</v>
      </c>
      <c r="Q78" s="18" t="n">
        <v>14.29982663</v>
      </c>
      <c r="R78" s="20" t="n">
        <v>1.47211871</v>
      </c>
    </row>
    <row customHeight="1" ht="25" r="79" spans="1:18">
      <c r="A79" s="15" t="s">
        <v>421</v>
      </c>
      <c r="B79" s="17" t="n">
        <v>1657</v>
      </c>
      <c r="C79" s="18">
        <f>(1376.0/B79*100)</f>
        <v/>
      </c>
      <c r="D79" s="19" t="n">
        <v>281</v>
      </c>
      <c r="E79" s="18" t="n">
        <v>35.26362291</v>
      </c>
      <c r="F79" s="20" t="n">
        <v>2.70635395</v>
      </c>
      <c r="G79" s="18" t="n">
        <v>25.43552919</v>
      </c>
      <c r="H79" s="20" t="n">
        <v>2.78201949</v>
      </c>
      <c r="I79" s="18" t="s">
        <v>349</v>
      </c>
      <c r="J79" s="20" t="s">
        <v>349</v>
      </c>
      <c r="K79" s="18" t="n">
        <v>5.45959953</v>
      </c>
      <c r="L79" s="20" t="n">
        <v>1.79352793</v>
      </c>
      <c r="M79" s="18" t="n">
        <v>0</v>
      </c>
      <c r="N79" s="20" t="n">
        <v>0</v>
      </c>
      <c r="O79" s="18" t="n">
        <v>0</v>
      </c>
      <c r="P79" s="20" t="n">
        <v>0</v>
      </c>
      <c r="Q79" s="18" t="n">
        <v>33.84124836</v>
      </c>
      <c r="R79" s="20" t="n">
        <v>3.49480914</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26.42306791</v>
      </c>
      <c r="F44" s="20" t="n">
        <v>1.63894561</v>
      </c>
      <c r="G44" s="18" t="n">
        <v>31.1704099</v>
      </c>
      <c r="H44" s="20" t="n">
        <v>2.06588258</v>
      </c>
      <c r="I44" s="18" t="s">
        <v>349</v>
      </c>
      <c r="J44" s="20" t="s">
        <v>349</v>
      </c>
      <c r="K44" s="18" t="n">
        <v>4.96168787</v>
      </c>
      <c r="L44" s="20" t="n">
        <v>0.67444826</v>
      </c>
      <c r="M44" s="18" t="n">
        <v>0</v>
      </c>
      <c r="N44" s="20" t="n">
        <v>0</v>
      </c>
      <c r="O44" s="18" t="n">
        <v>0</v>
      </c>
      <c r="P44" s="20" t="n">
        <v>0</v>
      </c>
      <c r="Q44" s="18" t="n">
        <v>37.44483432</v>
      </c>
      <c r="R44" s="20" t="n">
        <v>2.19261541</v>
      </c>
    </row>
    <row r="45" spans="1:18">
      <c r="A45" s="15" t="s">
        <v>387</v>
      </c>
      <c r="B45" s="17" t="n">
        <v>5519</v>
      </c>
      <c r="C45" s="18">
        <f>(4596.0/B45*100)</f>
        <v/>
      </c>
      <c r="D45" s="19" t="n">
        <v>923</v>
      </c>
      <c r="E45" s="18" t="n">
        <v>31.63143707</v>
      </c>
      <c r="F45" s="20" t="n">
        <v>1.81058798</v>
      </c>
      <c r="G45" s="18" t="n">
        <v>12.40165689</v>
      </c>
      <c r="H45" s="20" t="n">
        <v>1.2157389</v>
      </c>
      <c r="I45" s="18" t="s">
        <v>349</v>
      </c>
      <c r="J45" s="20" t="s">
        <v>349</v>
      </c>
      <c r="K45" s="18" t="n">
        <v>8.234853770000001</v>
      </c>
      <c r="L45" s="20" t="n">
        <v>1.02377019</v>
      </c>
      <c r="M45" s="18" t="n">
        <v>0</v>
      </c>
      <c r="N45" s="20" t="n">
        <v>0</v>
      </c>
      <c r="O45" s="18" t="n">
        <v>0.38906014</v>
      </c>
      <c r="P45" s="20" t="n">
        <v>0.19925775</v>
      </c>
      <c r="Q45" s="18" t="n">
        <v>47.34299212</v>
      </c>
      <c r="R45" s="20" t="n">
        <v>1.91044284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27.08137771</v>
      </c>
      <c r="F49" s="20" t="n">
        <v>1.81357773</v>
      </c>
      <c r="G49" s="18" t="n">
        <v>26.13116876</v>
      </c>
      <c r="H49" s="20" t="n">
        <v>1.66773237</v>
      </c>
      <c r="I49" s="18" t="s">
        <v>349</v>
      </c>
      <c r="J49" s="20" t="s">
        <v>349</v>
      </c>
      <c r="K49" s="18" t="n">
        <v>3.89833768</v>
      </c>
      <c r="L49" s="20" t="n">
        <v>0.6919521</v>
      </c>
      <c r="M49" s="18" t="n">
        <v>0</v>
      </c>
      <c r="N49" s="20" t="n">
        <v>0</v>
      </c>
      <c r="O49" s="18" t="n">
        <v>0</v>
      </c>
      <c r="P49" s="20" t="n">
        <v>0</v>
      </c>
      <c r="Q49" s="18" t="n">
        <v>42.88911585</v>
      </c>
      <c r="R49" s="20" t="n">
        <v>1.96280686</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22.93724512</v>
      </c>
      <c r="F55" s="20" t="n">
        <v>1.67263041</v>
      </c>
      <c r="G55" s="18" t="n">
        <v>37.58669359</v>
      </c>
      <c r="H55" s="20" t="n">
        <v>1.88833068</v>
      </c>
      <c r="I55" s="18" t="s">
        <v>349</v>
      </c>
      <c r="J55" s="20" t="s">
        <v>349</v>
      </c>
      <c r="K55" s="18" t="n">
        <v>2.52436683</v>
      </c>
      <c r="L55" s="20" t="n">
        <v>0.43245306</v>
      </c>
      <c r="M55" s="18" t="n">
        <v>0</v>
      </c>
      <c r="N55" s="20" t="n">
        <v>0</v>
      </c>
      <c r="O55" s="18" t="n">
        <v>0.09208486</v>
      </c>
      <c r="P55" s="20" t="n">
        <v>0.0919579</v>
      </c>
      <c r="Q55" s="18" t="n">
        <v>36.85960961</v>
      </c>
      <c r="R55" s="20" t="n">
        <v>1.91768167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59.06888846</v>
      </c>
      <c r="F57" s="20" t="n">
        <v>2.02292116</v>
      </c>
      <c r="G57" s="18" t="n">
        <v>18.33411903</v>
      </c>
      <c r="H57" s="20" t="n">
        <v>1.45575192</v>
      </c>
      <c r="I57" s="18" t="s">
        <v>349</v>
      </c>
      <c r="J57" s="20" t="s">
        <v>349</v>
      </c>
      <c r="K57" s="18" t="n">
        <v>1.10505566</v>
      </c>
      <c r="L57" s="20" t="n">
        <v>0.33674313</v>
      </c>
      <c r="M57" s="18" t="n">
        <v>0</v>
      </c>
      <c r="N57" s="20" t="n">
        <v>0</v>
      </c>
      <c r="O57" s="18" t="n">
        <v>0</v>
      </c>
      <c r="P57" s="20" t="n">
        <v>0</v>
      </c>
      <c r="Q57" s="18" t="n">
        <v>21.49193685</v>
      </c>
      <c r="R57" s="20" t="n">
        <v>1.93839826</v>
      </c>
    </row>
    <row r="58" spans="1:18">
      <c r="A58" s="15" t="s">
        <v>400</v>
      </c>
      <c r="B58" s="17" t="n">
        <v>7267</v>
      </c>
      <c r="C58" s="18">
        <f>(6067.0/B58*100)</f>
        <v/>
      </c>
      <c r="D58" s="19" t="n">
        <v>1200</v>
      </c>
      <c r="E58" s="18" t="n">
        <v>42.35796372</v>
      </c>
      <c r="F58" s="20" t="n">
        <v>1.69005397</v>
      </c>
      <c r="G58" s="18" t="n">
        <v>29.10133574</v>
      </c>
      <c r="H58" s="20" t="n">
        <v>1.48282606</v>
      </c>
      <c r="I58" s="18" t="s">
        <v>349</v>
      </c>
      <c r="J58" s="20" t="s">
        <v>349</v>
      </c>
      <c r="K58" s="18" t="n">
        <v>5.07635687</v>
      </c>
      <c r="L58" s="20" t="n">
        <v>0.85977844</v>
      </c>
      <c r="M58" s="18" t="n">
        <v>0</v>
      </c>
      <c r="N58" s="20" t="n">
        <v>0</v>
      </c>
      <c r="O58" s="18" t="n">
        <v>0</v>
      </c>
      <c r="P58" s="20" t="n">
        <v>0</v>
      </c>
      <c r="Q58" s="18" t="n">
        <v>23.46434367</v>
      </c>
      <c r="R58" s="20" t="n">
        <v>1.6423097</v>
      </c>
    </row>
    <row r="59" spans="1:18">
      <c r="A59" s="15" t="s">
        <v>401</v>
      </c>
      <c r="B59" s="17" t="n">
        <v>4826</v>
      </c>
      <c r="C59" s="18">
        <f>(4030.0/B59*100)</f>
        <v/>
      </c>
      <c r="D59" s="19" t="n">
        <v>796</v>
      </c>
      <c r="E59" s="18" t="n">
        <v>38.14151928</v>
      </c>
      <c r="F59" s="20" t="n">
        <v>1.81891393</v>
      </c>
      <c r="G59" s="18" t="n">
        <v>20.7146615</v>
      </c>
      <c r="H59" s="20" t="n">
        <v>1.80331864</v>
      </c>
      <c r="I59" s="18" t="s">
        <v>349</v>
      </c>
      <c r="J59" s="20" t="s">
        <v>349</v>
      </c>
      <c r="K59" s="18" t="n">
        <v>1.04422959</v>
      </c>
      <c r="L59" s="20" t="n">
        <v>0.29739758</v>
      </c>
      <c r="M59" s="18" t="n">
        <v>0</v>
      </c>
      <c r="N59" s="20" t="n">
        <v>0</v>
      </c>
      <c r="O59" s="18" t="n">
        <v>0</v>
      </c>
      <c r="P59" s="20" t="n">
        <v>0</v>
      </c>
      <c r="Q59" s="18" t="n">
        <v>40.09958964</v>
      </c>
      <c r="R59" s="20" t="n">
        <v>2.00392665</v>
      </c>
    </row>
    <row r="60" spans="1:18">
      <c r="A60" s="15" t="s">
        <v>402</v>
      </c>
      <c r="B60" s="17" t="n">
        <v>4546</v>
      </c>
      <c r="C60" s="18">
        <f>(3787.0/B60*100)</f>
        <v/>
      </c>
      <c r="D60" s="19" t="n">
        <v>759</v>
      </c>
      <c r="E60" s="18" t="n">
        <v>30.48520926</v>
      </c>
      <c r="F60" s="20" t="n">
        <v>1.9957214</v>
      </c>
      <c r="G60" s="18" t="n">
        <v>29.04644711</v>
      </c>
      <c r="H60" s="20" t="n">
        <v>1.96659193</v>
      </c>
      <c r="I60" s="18" t="s">
        <v>349</v>
      </c>
      <c r="J60" s="20" t="s">
        <v>349</v>
      </c>
      <c r="K60" s="18" t="n">
        <v>6.93922886</v>
      </c>
      <c r="L60" s="20" t="n">
        <v>0.9089657799999999</v>
      </c>
      <c r="M60" s="18" t="n">
        <v>0</v>
      </c>
      <c r="N60" s="20" t="n">
        <v>0</v>
      </c>
      <c r="O60" s="18" t="n">
        <v>0</v>
      </c>
      <c r="P60" s="20" t="n">
        <v>0</v>
      </c>
      <c r="Q60" s="18" t="n">
        <v>33.52911477</v>
      </c>
      <c r="R60" s="20" t="n">
        <v>1.94962713</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22.42256433</v>
      </c>
      <c r="F63" s="20" t="n">
        <v>1.51749054</v>
      </c>
      <c r="G63" s="18" t="n">
        <v>17.35719923</v>
      </c>
      <c r="H63" s="20" t="n">
        <v>1.38434407</v>
      </c>
      <c r="I63" s="18" t="s">
        <v>349</v>
      </c>
      <c r="J63" s="20" t="s">
        <v>349</v>
      </c>
      <c r="K63" s="18" t="n">
        <v>3.52762686</v>
      </c>
      <c r="L63" s="20" t="n">
        <v>0.6046175</v>
      </c>
      <c r="M63" s="18" t="n">
        <v>0</v>
      </c>
      <c r="N63" s="20" t="n">
        <v>0</v>
      </c>
      <c r="O63" s="18" t="n">
        <v>0</v>
      </c>
      <c r="P63" s="20" t="n">
        <v>0</v>
      </c>
      <c r="Q63" s="18" t="n">
        <v>56.69260958</v>
      </c>
      <c r="R63" s="20" t="n">
        <v>1.91704283</v>
      </c>
    </row>
    <row r="64" spans="1:18">
      <c r="A64" s="15" t="s">
        <v>406</v>
      </c>
      <c r="B64" s="17" t="n">
        <v>3634</v>
      </c>
      <c r="C64" s="18">
        <f>(3041.0/B64*100)</f>
        <v/>
      </c>
      <c r="D64" s="19" t="n">
        <v>593</v>
      </c>
      <c r="E64" s="18" t="n">
        <v>23.4029871</v>
      </c>
      <c r="F64" s="20" t="n">
        <v>1.72615708</v>
      </c>
      <c r="G64" s="18" t="n">
        <v>50.49430041</v>
      </c>
      <c r="H64" s="20" t="n">
        <v>1.80551787</v>
      </c>
      <c r="I64" s="18" t="s">
        <v>349</v>
      </c>
      <c r="J64" s="20" t="s">
        <v>349</v>
      </c>
      <c r="K64" s="18" t="n">
        <v>1.5173951</v>
      </c>
      <c r="L64" s="20" t="n">
        <v>0.5603013</v>
      </c>
      <c r="M64" s="18" t="n">
        <v>0</v>
      </c>
      <c r="N64" s="20" t="n">
        <v>0</v>
      </c>
      <c r="O64" s="18" t="n">
        <v>0</v>
      </c>
      <c r="P64" s="20" t="n">
        <v>0</v>
      </c>
      <c r="Q64" s="18" t="n">
        <v>24.58531739</v>
      </c>
      <c r="R64" s="20" t="n">
        <v>1.84929848</v>
      </c>
    </row>
    <row r="65" spans="1:18">
      <c r="A65" s="15" t="s">
        <v>407</v>
      </c>
      <c r="B65" s="17" t="n">
        <v>5325</v>
      </c>
      <c r="C65" s="18">
        <f>(4451.0/B65*100)</f>
        <v/>
      </c>
      <c r="D65" s="19" t="n">
        <v>874</v>
      </c>
      <c r="E65" s="18" t="n">
        <v>19.36596578</v>
      </c>
      <c r="F65" s="20" t="n">
        <v>1.45281742</v>
      </c>
      <c r="G65" s="18" t="n">
        <v>34.10687403</v>
      </c>
      <c r="H65" s="20" t="n">
        <v>1.70400904</v>
      </c>
      <c r="I65" s="18" t="s">
        <v>349</v>
      </c>
      <c r="J65" s="20" t="s">
        <v>349</v>
      </c>
      <c r="K65" s="18" t="n">
        <v>6.87792363</v>
      </c>
      <c r="L65" s="20" t="n">
        <v>0.89347409</v>
      </c>
      <c r="M65" s="18" t="n">
        <v>0</v>
      </c>
      <c r="N65" s="20" t="n">
        <v>0</v>
      </c>
      <c r="O65" s="18" t="n">
        <v>0</v>
      </c>
      <c r="P65" s="20" t="n">
        <v>0</v>
      </c>
      <c r="Q65" s="18" t="n">
        <v>39.64923656</v>
      </c>
      <c r="R65" s="20" t="n">
        <v>1.74692716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54.40185399</v>
      </c>
      <c r="F69" s="20" t="n">
        <v>2.03858322</v>
      </c>
      <c r="G69" s="18" t="n">
        <v>45.2705386</v>
      </c>
      <c r="H69" s="20" t="n">
        <v>2.03734268</v>
      </c>
      <c r="I69" s="18" t="s">
        <v>349</v>
      </c>
      <c r="J69" s="20" t="s">
        <v>349</v>
      </c>
      <c r="K69" s="18" t="n">
        <v>0</v>
      </c>
      <c r="L69" s="20" t="n">
        <v>0</v>
      </c>
      <c r="M69" s="18" t="n">
        <v>0</v>
      </c>
      <c r="N69" s="20" t="n">
        <v>0</v>
      </c>
      <c r="O69" s="18" t="n">
        <v>0</v>
      </c>
      <c r="P69" s="20" t="n">
        <v>0</v>
      </c>
      <c r="Q69" s="18" t="n">
        <v>0.32760741</v>
      </c>
      <c r="R69" s="20" t="n">
        <v>0.18934533</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23.84891244</v>
      </c>
      <c r="F74" s="20" t="n">
        <v>1.47529403</v>
      </c>
      <c r="G74" s="18" t="n">
        <v>28.9599111</v>
      </c>
      <c r="H74" s="20" t="n">
        <v>1.7974331</v>
      </c>
      <c r="I74" s="18" t="s">
        <v>349</v>
      </c>
      <c r="J74" s="20" t="s">
        <v>349</v>
      </c>
      <c r="K74" s="18" t="n">
        <v>6.77155404</v>
      </c>
      <c r="L74" s="20" t="n">
        <v>0.93327565</v>
      </c>
      <c r="M74" s="18" t="n">
        <v>0</v>
      </c>
      <c r="N74" s="20" t="n">
        <v>0</v>
      </c>
      <c r="O74" s="18" t="n">
        <v>0</v>
      </c>
      <c r="P74" s="20" t="n">
        <v>0</v>
      </c>
      <c r="Q74" s="18" t="n">
        <v>40.41962242</v>
      </c>
      <c r="R74" s="20" t="n">
        <v>1.98430694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33.12216488</v>
      </c>
      <c r="F78" s="20" t="n">
        <v>2.18463938</v>
      </c>
      <c r="G78" s="18" t="n">
        <v>61.27353497</v>
      </c>
      <c r="H78" s="20" t="n">
        <v>2.17162463</v>
      </c>
      <c r="I78" s="18" t="s">
        <v>349</v>
      </c>
      <c r="J78" s="20" t="s">
        <v>349</v>
      </c>
      <c r="K78" s="18" t="n">
        <v>0</v>
      </c>
      <c r="L78" s="20" t="n">
        <v>0</v>
      </c>
      <c r="M78" s="18" t="n">
        <v>0</v>
      </c>
      <c r="N78" s="20" t="n">
        <v>0</v>
      </c>
      <c r="O78" s="18" t="n">
        <v>0</v>
      </c>
      <c r="P78" s="20" t="n">
        <v>0</v>
      </c>
      <c r="Q78" s="18" t="n">
        <v>5.60430015</v>
      </c>
      <c r="R78" s="20" t="n">
        <v>0.90785111</v>
      </c>
    </row>
    <row customHeight="1" ht="25" r="79" spans="1:18">
      <c r="A79" s="15" t="s">
        <v>421</v>
      </c>
      <c r="B79" s="17" t="n">
        <v>1657</v>
      </c>
      <c r="C79" s="18">
        <f>(1376.0/B79*100)</f>
        <v/>
      </c>
      <c r="D79" s="19" t="n">
        <v>281</v>
      </c>
      <c r="E79" s="18" t="n">
        <v>25.65325399</v>
      </c>
      <c r="F79" s="20" t="n">
        <v>3.16788837</v>
      </c>
      <c r="G79" s="18" t="n">
        <v>40.05856199</v>
      </c>
      <c r="H79" s="20" t="n">
        <v>3.4993127</v>
      </c>
      <c r="I79" s="18" t="s">
        <v>349</v>
      </c>
      <c r="J79" s="20" t="s">
        <v>349</v>
      </c>
      <c r="K79" s="18" t="n">
        <v>5.21054568</v>
      </c>
      <c r="L79" s="20" t="n">
        <v>1.77609179</v>
      </c>
      <c r="M79" s="18" t="n">
        <v>0</v>
      </c>
      <c r="N79" s="20" t="n">
        <v>0</v>
      </c>
      <c r="O79" s="18" t="n">
        <v>0</v>
      </c>
      <c r="P79" s="20" t="n">
        <v>0</v>
      </c>
      <c r="Q79" s="18" t="n">
        <v>29.07763834</v>
      </c>
      <c r="R79" s="20" t="n">
        <v>2.92585134</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35.70239391</v>
      </c>
      <c r="F44" s="20" t="n">
        <v>2.2541116</v>
      </c>
      <c r="G44" s="18" t="n">
        <v>13.87497993</v>
      </c>
      <c r="H44" s="20" t="n">
        <v>1.51655878</v>
      </c>
      <c r="I44" s="18" t="s">
        <v>349</v>
      </c>
      <c r="J44" s="20" t="s">
        <v>349</v>
      </c>
      <c r="K44" s="18" t="n">
        <v>5.83998959</v>
      </c>
      <c r="L44" s="20" t="n">
        <v>0.82890454</v>
      </c>
      <c r="M44" s="18" t="n">
        <v>0</v>
      </c>
      <c r="N44" s="20" t="n">
        <v>0</v>
      </c>
      <c r="O44" s="18" t="n">
        <v>0</v>
      </c>
      <c r="P44" s="20" t="n">
        <v>0</v>
      </c>
      <c r="Q44" s="18" t="n">
        <v>44.58263657</v>
      </c>
      <c r="R44" s="20" t="n">
        <v>2.5244644</v>
      </c>
    </row>
    <row r="45" spans="1:18">
      <c r="A45" s="15" t="s">
        <v>387</v>
      </c>
      <c r="B45" s="17" t="n">
        <v>5519</v>
      </c>
      <c r="C45" s="18">
        <f>(4596.0/B45*100)</f>
        <v/>
      </c>
      <c r="D45" s="19" t="n">
        <v>923</v>
      </c>
      <c r="E45" s="18" t="n">
        <v>44.77048496</v>
      </c>
      <c r="F45" s="20" t="n">
        <v>1.71426505</v>
      </c>
      <c r="G45" s="18" t="n">
        <v>8.089396929999999</v>
      </c>
      <c r="H45" s="20" t="n">
        <v>1.20279184</v>
      </c>
      <c r="I45" s="18" t="s">
        <v>349</v>
      </c>
      <c r="J45" s="20" t="s">
        <v>349</v>
      </c>
      <c r="K45" s="18" t="n">
        <v>8.69544937</v>
      </c>
      <c r="L45" s="20" t="n">
        <v>1.05511681</v>
      </c>
      <c r="M45" s="18" t="n">
        <v>0</v>
      </c>
      <c r="N45" s="20" t="n">
        <v>0</v>
      </c>
      <c r="O45" s="18" t="n">
        <v>0.56065577</v>
      </c>
      <c r="P45" s="20" t="n">
        <v>0.23184423</v>
      </c>
      <c r="Q45" s="18" t="n">
        <v>37.88401298</v>
      </c>
      <c r="R45" s="20" t="n">
        <v>1.72055685</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38.49685599</v>
      </c>
      <c r="F49" s="20" t="n">
        <v>1.83552289</v>
      </c>
      <c r="G49" s="18" t="n">
        <v>12.41401219</v>
      </c>
      <c r="H49" s="20" t="n">
        <v>1.24664954</v>
      </c>
      <c r="I49" s="18" t="s">
        <v>349</v>
      </c>
      <c r="J49" s="20" t="s">
        <v>349</v>
      </c>
      <c r="K49" s="18" t="n">
        <v>4.18056371</v>
      </c>
      <c r="L49" s="20" t="n">
        <v>0.70927974</v>
      </c>
      <c r="M49" s="18" t="n">
        <v>0</v>
      </c>
      <c r="N49" s="20" t="n">
        <v>0</v>
      </c>
      <c r="O49" s="18" t="n">
        <v>0</v>
      </c>
      <c r="P49" s="20" t="n">
        <v>0</v>
      </c>
      <c r="Q49" s="18" t="n">
        <v>44.90856811</v>
      </c>
      <c r="R49" s="20" t="n">
        <v>1.81538284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40.98113877</v>
      </c>
      <c r="F55" s="20" t="n">
        <v>1.73208118</v>
      </c>
      <c r="G55" s="18" t="n">
        <v>10.12032245</v>
      </c>
      <c r="H55" s="20" t="n">
        <v>1.14757995</v>
      </c>
      <c r="I55" s="18" t="s">
        <v>349</v>
      </c>
      <c r="J55" s="20" t="s">
        <v>349</v>
      </c>
      <c r="K55" s="18" t="n">
        <v>3.1690263</v>
      </c>
      <c r="L55" s="20" t="n">
        <v>0.55954403</v>
      </c>
      <c r="M55" s="18" t="n">
        <v>0</v>
      </c>
      <c r="N55" s="20" t="n">
        <v>0</v>
      </c>
      <c r="O55" s="18" t="n">
        <v>0</v>
      </c>
      <c r="P55" s="20" t="n">
        <v>0</v>
      </c>
      <c r="Q55" s="18" t="n">
        <v>45.72951247</v>
      </c>
      <c r="R55" s="20" t="n">
        <v>1.76540847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73.44717614</v>
      </c>
      <c r="F57" s="20" t="n">
        <v>1.57218454</v>
      </c>
      <c r="G57" s="18" t="n">
        <v>14.06176909</v>
      </c>
      <c r="H57" s="20" t="n">
        <v>1.38116365</v>
      </c>
      <c r="I57" s="18" t="s">
        <v>349</v>
      </c>
      <c r="J57" s="20" t="s">
        <v>349</v>
      </c>
      <c r="K57" s="18" t="n">
        <v>1.23207752</v>
      </c>
      <c r="L57" s="20" t="n">
        <v>0.35058691</v>
      </c>
      <c r="M57" s="18" t="n">
        <v>0</v>
      </c>
      <c r="N57" s="20" t="n">
        <v>0</v>
      </c>
      <c r="O57" s="18" t="n">
        <v>0</v>
      </c>
      <c r="P57" s="20" t="n">
        <v>0</v>
      </c>
      <c r="Q57" s="18" t="n">
        <v>11.25897726</v>
      </c>
      <c r="R57" s="20" t="n">
        <v>1.21282644</v>
      </c>
    </row>
    <row r="58" spans="1:18">
      <c r="A58" s="15" t="s">
        <v>400</v>
      </c>
      <c r="B58" s="17" t="n">
        <v>7267</v>
      </c>
      <c r="C58" s="18">
        <f>(6067.0/B58*100)</f>
        <v/>
      </c>
      <c r="D58" s="19" t="n">
        <v>1200</v>
      </c>
      <c r="E58" s="18" t="n">
        <v>60.35787331</v>
      </c>
      <c r="F58" s="20" t="n">
        <v>1.65947762</v>
      </c>
      <c r="G58" s="18" t="n">
        <v>14.90895284</v>
      </c>
      <c r="H58" s="20" t="n">
        <v>1.31136124</v>
      </c>
      <c r="I58" s="18" t="s">
        <v>349</v>
      </c>
      <c r="J58" s="20" t="s">
        <v>349</v>
      </c>
      <c r="K58" s="18" t="n">
        <v>5.2147927</v>
      </c>
      <c r="L58" s="20" t="n">
        <v>0.8669133999999999</v>
      </c>
      <c r="M58" s="18" t="n">
        <v>0</v>
      </c>
      <c r="N58" s="20" t="n">
        <v>0</v>
      </c>
      <c r="O58" s="18" t="n">
        <v>0.05891797</v>
      </c>
      <c r="P58" s="20" t="n">
        <v>0.05877821</v>
      </c>
      <c r="Q58" s="18" t="n">
        <v>19.45946317</v>
      </c>
      <c r="R58" s="20" t="n">
        <v>1.38526297</v>
      </c>
    </row>
    <row r="59" spans="1:18">
      <c r="A59" s="15" t="s">
        <v>401</v>
      </c>
      <c r="B59" s="17" t="n">
        <v>4826</v>
      </c>
      <c r="C59" s="18">
        <f>(4030.0/B59*100)</f>
        <v/>
      </c>
      <c r="D59" s="19" t="n">
        <v>796</v>
      </c>
      <c r="E59" s="18" t="n">
        <v>59.74198546</v>
      </c>
      <c r="F59" s="20" t="n">
        <v>1.82122223</v>
      </c>
      <c r="G59" s="18" t="n">
        <v>6.49332111</v>
      </c>
      <c r="H59" s="20" t="n">
        <v>0.93468605</v>
      </c>
      <c r="I59" s="18" t="s">
        <v>349</v>
      </c>
      <c r="J59" s="20" t="s">
        <v>349</v>
      </c>
      <c r="K59" s="18" t="n">
        <v>1.04422959</v>
      </c>
      <c r="L59" s="20" t="n">
        <v>0.29739758</v>
      </c>
      <c r="M59" s="18" t="n">
        <v>0</v>
      </c>
      <c r="N59" s="20" t="n">
        <v>0</v>
      </c>
      <c r="O59" s="18" t="n">
        <v>0</v>
      </c>
      <c r="P59" s="20" t="n">
        <v>0</v>
      </c>
      <c r="Q59" s="18" t="n">
        <v>32.72046384</v>
      </c>
      <c r="R59" s="20" t="n">
        <v>1.8417735</v>
      </c>
    </row>
    <row r="60" spans="1:18">
      <c r="A60" s="15" t="s">
        <v>402</v>
      </c>
      <c r="B60" s="17" t="n">
        <v>4546</v>
      </c>
      <c r="C60" s="18">
        <f>(3787.0/B60*100)</f>
        <v/>
      </c>
      <c r="D60" s="19" t="n">
        <v>759</v>
      </c>
      <c r="E60" s="18" t="n">
        <v>34.78156635</v>
      </c>
      <c r="F60" s="20" t="n">
        <v>1.77835242</v>
      </c>
      <c r="G60" s="18" t="n">
        <v>18.67292285</v>
      </c>
      <c r="H60" s="20" t="n">
        <v>1.54741327</v>
      </c>
      <c r="I60" s="18" t="s">
        <v>349</v>
      </c>
      <c r="J60" s="20" t="s">
        <v>349</v>
      </c>
      <c r="K60" s="18" t="n">
        <v>8.284769130000001</v>
      </c>
      <c r="L60" s="20" t="n">
        <v>1.05193013</v>
      </c>
      <c r="M60" s="18" t="n">
        <v>0</v>
      </c>
      <c r="N60" s="20" t="n">
        <v>0</v>
      </c>
      <c r="O60" s="18" t="n">
        <v>0</v>
      </c>
      <c r="P60" s="20" t="n">
        <v>0</v>
      </c>
      <c r="Q60" s="18" t="n">
        <v>38.26074167</v>
      </c>
      <c r="R60" s="20" t="n">
        <v>1.74978515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27.13429796</v>
      </c>
      <c r="F63" s="20" t="n">
        <v>1.63531273</v>
      </c>
      <c r="G63" s="18" t="n">
        <v>2.98654424</v>
      </c>
      <c r="H63" s="20" t="n">
        <v>0.64998331</v>
      </c>
      <c r="I63" s="18" t="s">
        <v>349</v>
      </c>
      <c r="J63" s="20" t="s">
        <v>349</v>
      </c>
      <c r="K63" s="18" t="n">
        <v>3.61709857</v>
      </c>
      <c r="L63" s="20" t="n">
        <v>0.61110905</v>
      </c>
      <c r="M63" s="18" t="n">
        <v>0</v>
      </c>
      <c r="N63" s="20" t="n">
        <v>0</v>
      </c>
      <c r="O63" s="18" t="n">
        <v>0</v>
      </c>
      <c r="P63" s="20" t="n">
        <v>0</v>
      </c>
      <c r="Q63" s="18" t="n">
        <v>66.26205923000001</v>
      </c>
      <c r="R63" s="20" t="n">
        <v>1.62622533</v>
      </c>
    </row>
    <row r="64" spans="1:18">
      <c r="A64" s="15" t="s">
        <v>406</v>
      </c>
      <c r="B64" s="17" t="n">
        <v>3634</v>
      </c>
      <c r="C64" s="18">
        <f>(3041.0/B64*100)</f>
        <v/>
      </c>
      <c r="D64" s="19" t="n">
        <v>593</v>
      </c>
      <c r="E64" s="18" t="n">
        <v>44.28432099</v>
      </c>
      <c r="F64" s="20" t="n">
        <v>2.0282378</v>
      </c>
      <c r="G64" s="18" t="n">
        <v>18.07684161</v>
      </c>
      <c r="H64" s="20" t="n">
        <v>1.61791719</v>
      </c>
      <c r="I64" s="18" t="s">
        <v>349</v>
      </c>
      <c r="J64" s="20" t="s">
        <v>349</v>
      </c>
      <c r="K64" s="18" t="n">
        <v>1.73148763</v>
      </c>
      <c r="L64" s="20" t="n">
        <v>0.59763758</v>
      </c>
      <c r="M64" s="18" t="n">
        <v>0</v>
      </c>
      <c r="N64" s="20" t="n">
        <v>0</v>
      </c>
      <c r="O64" s="18" t="n">
        <v>0</v>
      </c>
      <c r="P64" s="20" t="n">
        <v>0</v>
      </c>
      <c r="Q64" s="18" t="n">
        <v>35.90734977</v>
      </c>
      <c r="R64" s="20" t="n">
        <v>2.02688222</v>
      </c>
    </row>
    <row r="65" spans="1:18">
      <c r="A65" s="15" t="s">
        <v>407</v>
      </c>
      <c r="B65" s="17" t="n">
        <v>5325</v>
      </c>
      <c r="C65" s="18">
        <f>(4451.0/B65*100)</f>
        <v/>
      </c>
      <c r="D65" s="19" t="n">
        <v>874</v>
      </c>
      <c r="E65" s="18" t="n">
        <v>35.0643209</v>
      </c>
      <c r="F65" s="20" t="n">
        <v>1.89161622</v>
      </c>
      <c r="G65" s="18" t="n">
        <v>15.82887498</v>
      </c>
      <c r="H65" s="20" t="n">
        <v>1.45139744</v>
      </c>
      <c r="I65" s="18" t="s">
        <v>349</v>
      </c>
      <c r="J65" s="20" t="s">
        <v>349</v>
      </c>
      <c r="K65" s="18" t="n">
        <v>7.75826474</v>
      </c>
      <c r="L65" s="20" t="n">
        <v>0.90642357</v>
      </c>
      <c r="M65" s="18" t="n">
        <v>0</v>
      </c>
      <c r="N65" s="20" t="n">
        <v>0</v>
      </c>
      <c r="O65" s="18" t="n">
        <v>0</v>
      </c>
      <c r="P65" s="20" t="n">
        <v>0</v>
      </c>
      <c r="Q65" s="18" t="n">
        <v>41.34853938</v>
      </c>
      <c r="R65" s="20" t="n">
        <v>1.93136946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79.95026884000001</v>
      </c>
      <c r="F69" s="20" t="n">
        <v>1.58943467</v>
      </c>
      <c r="G69" s="18" t="n">
        <v>19.46214442</v>
      </c>
      <c r="H69" s="20" t="n">
        <v>1.58459581</v>
      </c>
      <c r="I69" s="18" t="s">
        <v>349</v>
      </c>
      <c r="J69" s="20" t="s">
        <v>349</v>
      </c>
      <c r="K69" s="18" t="n">
        <v>0</v>
      </c>
      <c r="L69" s="20" t="n">
        <v>0</v>
      </c>
      <c r="M69" s="18" t="n">
        <v>0</v>
      </c>
      <c r="N69" s="20" t="n">
        <v>0</v>
      </c>
      <c r="O69" s="18" t="n">
        <v>0</v>
      </c>
      <c r="P69" s="20" t="n">
        <v>0</v>
      </c>
      <c r="Q69" s="18" t="n">
        <v>0.58758675</v>
      </c>
      <c r="R69" s="20" t="n">
        <v>0.26347516</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35.36229011</v>
      </c>
      <c r="F74" s="20" t="n">
        <v>2.08315666</v>
      </c>
      <c r="G74" s="18" t="n">
        <v>11.98797033</v>
      </c>
      <c r="H74" s="20" t="n">
        <v>1.32717254</v>
      </c>
      <c r="I74" s="18" t="s">
        <v>349</v>
      </c>
      <c r="J74" s="20" t="s">
        <v>349</v>
      </c>
      <c r="K74" s="18" t="n">
        <v>7.24032346</v>
      </c>
      <c r="L74" s="20" t="n">
        <v>0.99211321</v>
      </c>
      <c r="M74" s="18" t="n">
        <v>0</v>
      </c>
      <c r="N74" s="20" t="n">
        <v>0</v>
      </c>
      <c r="O74" s="18" t="n">
        <v>0</v>
      </c>
      <c r="P74" s="20" t="n">
        <v>0</v>
      </c>
      <c r="Q74" s="18" t="n">
        <v>45.40941609</v>
      </c>
      <c r="R74" s="20" t="n">
        <v>2.04787188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61.73880102</v>
      </c>
      <c r="F78" s="20" t="n">
        <v>2.03393993</v>
      </c>
      <c r="G78" s="18" t="n">
        <v>34.67755246</v>
      </c>
      <c r="H78" s="20" t="n">
        <v>2.0153905</v>
      </c>
      <c r="I78" s="18" t="s">
        <v>349</v>
      </c>
      <c r="J78" s="20" t="s">
        <v>349</v>
      </c>
      <c r="K78" s="18" t="n">
        <v>0</v>
      </c>
      <c r="L78" s="20" t="n">
        <v>0</v>
      </c>
      <c r="M78" s="18" t="n">
        <v>0</v>
      </c>
      <c r="N78" s="20" t="n">
        <v>0</v>
      </c>
      <c r="O78" s="18" t="n">
        <v>0</v>
      </c>
      <c r="P78" s="20" t="n">
        <v>0</v>
      </c>
      <c r="Q78" s="18" t="n">
        <v>3.58364652</v>
      </c>
      <c r="R78" s="20" t="n">
        <v>0.72700705</v>
      </c>
    </row>
    <row customHeight="1" ht="25" r="79" spans="1:18">
      <c r="A79" s="15" t="s">
        <v>421</v>
      </c>
      <c r="B79" s="17" t="n">
        <v>1657</v>
      </c>
      <c r="C79" s="18">
        <f>(1376.0/B79*100)</f>
        <v/>
      </c>
      <c r="D79" s="19" t="n">
        <v>281</v>
      </c>
      <c r="E79" s="18" t="n">
        <v>33.63076389</v>
      </c>
      <c r="F79" s="20" t="n">
        <v>3.01986563</v>
      </c>
      <c r="G79" s="18" t="n">
        <v>18.62870049</v>
      </c>
      <c r="H79" s="20" t="n">
        <v>2.24136344</v>
      </c>
      <c r="I79" s="18" t="s">
        <v>349</v>
      </c>
      <c r="J79" s="20" t="s">
        <v>349</v>
      </c>
      <c r="K79" s="18" t="n">
        <v>5.88452482</v>
      </c>
      <c r="L79" s="20" t="n">
        <v>1.78987593</v>
      </c>
      <c r="M79" s="18" t="n">
        <v>0</v>
      </c>
      <c r="N79" s="20" t="n">
        <v>0</v>
      </c>
      <c r="O79" s="18" t="n">
        <v>0</v>
      </c>
      <c r="P79" s="20" t="n">
        <v>0</v>
      </c>
      <c r="Q79" s="18" t="n">
        <v>41.8560108</v>
      </c>
      <c r="R79" s="20" t="n">
        <v>4.01380745</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567</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68.35958177000001</v>
      </c>
      <c r="F44" s="20" t="n">
        <v>2.40503454</v>
      </c>
      <c r="G44" s="18" t="n">
        <v>8.915198439999999</v>
      </c>
      <c r="H44" s="20" t="n">
        <v>1.48875117</v>
      </c>
      <c r="I44" s="18" t="s">
        <v>349</v>
      </c>
      <c r="J44" s="20" t="s">
        <v>349</v>
      </c>
      <c r="K44" s="18" t="n">
        <v>6.00902498</v>
      </c>
      <c r="L44" s="20" t="n">
        <v>0.82841974</v>
      </c>
      <c r="M44" s="18" t="n">
        <v>0</v>
      </c>
      <c r="N44" s="20" t="n">
        <v>0</v>
      </c>
      <c r="O44" s="18" t="n">
        <v>0.62142631</v>
      </c>
      <c r="P44" s="20" t="n">
        <v>0.31199636</v>
      </c>
      <c r="Q44" s="18" t="n">
        <v>16.0947685</v>
      </c>
      <c r="R44" s="20" t="n">
        <v>1.6318926</v>
      </c>
    </row>
    <row r="45" spans="1:18">
      <c r="A45" s="15" t="s">
        <v>387</v>
      </c>
      <c r="B45" s="17" t="n">
        <v>5519</v>
      </c>
      <c r="C45" s="18">
        <f>(4596.0/B45*100)</f>
        <v/>
      </c>
      <c r="D45" s="19" t="n">
        <v>923</v>
      </c>
      <c r="E45" s="18" t="n">
        <v>72.2505577</v>
      </c>
      <c r="F45" s="20" t="n">
        <v>1.41894564</v>
      </c>
      <c r="G45" s="18" t="n">
        <v>3.42393341</v>
      </c>
      <c r="H45" s="20" t="n">
        <v>0.69039794</v>
      </c>
      <c r="I45" s="18" t="s">
        <v>349</v>
      </c>
      <c r="J45" s="20" t="s">
        <v>349</v>
      </c>
      <c r="K45" s="18" t="n">
        <v>11.31146632</v>
      </c>
      <c r="L45" s="20" t="n">
        <v>1.02859363</v>
      </c>
      <c r="M45" s="18" t="n">
        <v>0.45858506</v>
      </c>
      <c r="N45" s="20" t="n">
        <v>0.21016898</v>
      </c>
      <c r="O45" s="18" t="n">
        <v>2.76206113</v>
      </c>
      <c r="P45" s="20" t="n">
        <v>0.5940238</v>
      </c>
      <c r="Q45" s="18" t="n">
        <v>9.793396380000001</v>
      </c>
      <c r="R45" s="20" t="n">
        <v>0.90125598</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71.52253914000001</v>
      </c>
      <c r="F49" s="20" t="n">
        <v>1.86941928</v>
      </c>
      <c r="G49" s="18" t="n">
        <v>5.40394804</v>
      </c>
      <c r="H49" s="20" t="n">
        <v>0.90634575</v>
      </c>
      <c r="I49" s="18" t="s">
        <v>349</v>
      </c>
      <c r="J49" s="20" t="s">
        <v>349</v>
      </c>
      <c r="K49" s="18" t="n">
        <v>4.36128276</v>
      </c>
      <c r="L49" s="20" t="n">
        <v>0.74257853</v>
      </c>
      <c r="M49" s="18" t="n">
        <v>0.18611286</v>
      </c>
      <c r="N49" s="20" t="n">
        <v>0.1002665</v>
      </c>
      <c r="O49" s="18" t="n">
        <v>2.1291907</v>
      </c>
      <c r="P49" s="20" t="n">
        <v>0.44970878</v>
      </c>
      <c r="Q49" s="18" t="n">
        <v>16.39692651</v>
      </c>
      <c r="R49" s="20" t="n">
        <v>1.52945178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68.04815680999999</v>
      </c>
      <c r="F55" s="20" t="n">
        <v>1.6229831</v>
      </c>
      <c r="G55" s="18" t="n">
        <v>8.3956055</v>
      </c>
      <c r="H55" s="20" t="n">
        <v>1.05729558</v>
      </c>
      <c r="I55" s="18" t="s">
        <v>349</v>
      </c>
      <c r="J55" s="20" t="s">
        <v>349</v>
      </c>
      <c r="K55" s="18" t="n">
        <v>3.1690263</v>
      </c>
      <c r="L55" s="20" t="n">
        <v>0.55954403</v>
      </c>
      <c r="M55" s="18" t="n">
        <v>0</v>
      </c>
      <c r="N55" s="20" t="n">
        <v>0</v>
      </c>
      <c r="O55" s="18" t="n">
        <v>3.17588962</v>
      </c>
      <c r="P55" s="20" t="n">
        <v>0.60129303</v>
      </c>
      <c r="Q55" s="18" t="n">
        <v>17.21132176</v>
      </c>
      <c r="R55" s="20" t="n">
        <v>1.20838458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(6067.0/B58*100)</f>
        <v/>
      </c>
      <c r="D58" s="19" t="n">
        <v>1200</v>
      </c>
      <c r="E58" s="18" t="n">
        <v>77.73176477</v>
      </c>
      <c r="F58" s="20" t="n">
        <v>1.45633733</v>
      </c>
      <c r="G58" s="18" t="n">
        <v>4.28787414</v>
      </c>
      <c r="H58" s="20" t="n">
        <v>0.90907592</v>
      </c>
      <c r="I58" s="18" t="s">
        <v>349</v>
      </c>
      <c r="J58" s="20" t="s">
        <v>349</v>
      </c>
      <c r="K58" s="18" t="n">
        <v>5.44523684</v>
      </c>
      <c r="L58" s="20" t="n">
        <v>0.89548049</v>
      </c>
      <c r="M58" s="18" t="n">
        <v>0</v>
      </c>
      <c r="N58" s="20" t="n">
        <v>0</v>
      </c>
      <c r="O58" s="18" t="n">
        <v>5.10272935</v>
      </c>
      <c r="P58" s="20" t="n">
        <v>0.79603614</v>
      </c>
      <c r="Q58" s="18" t="n">
        <v>7.43239489</v>
      </c>
      <c r="R58" s="20" t="n">
        <v>0.82582171</v>
      </c>
    </row>
    <row r="59" spans="1:18">
      <c r="A59" s="15" t="s">
        <v>401</v>
      </c>
      <c r="B59" s="17" t="n">
        <v>4826</v>
      </c>
      <c r="C59" s="18">
        <f>(4030.0/B59*100)</f>
        <v/>
      </c>
      <c r="D59" s="19" t="n">
        <v>796</v>
      </c>
      <c r="E59" s="18" t="n">
        <v>81.40232967999999</v>
      </c>
      <c r="F59" s="20" t="n">
        <v>1.59563399</v>
      </c>
      <c r="G59" s="18" t="n">
        <v>1.90834903</v>
      </c>
      <c r="H59" s="20" t="n">
        <v>0.57148708</v>
      </c>
      <c r="I59" s="18" t="s">
        <v>349</v>
      </c>
      <c r="J59" s="20" t="s">
        <v>349</v>
      </c>
      <c r="K59" s="18" t="n">
        <v>1.04422959</v>
      </c>
      <c r="L59" s="20" t="n">
        <v>0.29739758</v>
      </c>
      <c r="M59" s="18" t="n">
        <v>0.04787207</v>
      </c>
      <c r="N59" s="20" t="n">
        <v>0.0478955</v>
      </c>
      <c r="O59" s="18" t="n">
        <v>2.4113052</v>
      </c>
      <c r="P59" s="20" t="n">
        <v>0.60560839</v>
      </c>
      <c r="Q59" s="18" t="n">
        <v>13.18591444</v>
      </c>
      <c r="R59" s="20" t="n">
        <v>1.37635456</v>
      </c>
    </row>
    <row r="60" spans="1:18">
      <c r="A60" s="15" t="s">
        <v>402</v>
      </c>
      <c r="B60" s="17" t="n">
        <v>4546</v>
      </c>
      <c r="C60" s="18">
        <f>(3787.0/B60*100)</f>
        <v/>
      </c>
      <c r="D60" s="19" t="n">
        <v>759</v>
      </c>
      <c r="E60" s="18" t="n">
        <v>48.99195566</v>
      </c>
      <c r="F60" s="20" t="n">
        <v>1.88807776</v>
      </c>
      <c r="G60" s="18" t="n">
        <v>5.92196126</v>
      </c>
      <c r="H60" s="20" t="n">
        <v>1.00363079</v>
      </c>
      <c r="I60" s="18" t="s">
        <v>349</v>
      </c>
      <c r="J60" s="20" t="s">
        <v>349</v>
      </c>
      <c r="K60" s="18" t="n">
        <v>8.521687310000001</v>
      </c>
      <c r="L60" s="20" t="n">
        <v>1.09088708</v>
      </c>
      <c r="M60" s="18" t="n">
        <v>5.92965198</v>
      </c>
      <c r="N60" s="20" t="n">
        <v>0.80260443</v>
      </c>
      <c r="O60" s="18" t="n">
        <v>9.91015756</v>
      </c>
      <c r="P60" s="20" t="n">
        <v>1.17525688</v>
      </c>
      <c r="Q60" s="18" t="n">
        <v>20.72458623</v>
      </c>
      <c r="R60" s="20" t="n">
        <v>1.42783656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66.33165243000001</v>
      </c>
      <c r="F63" s="20" t="n">
        <v>1.61360902</v>
      </c>
      <c r="G63" s="18" t="n">
        <v>4.37448289</v>
      </c>
      <c r="H63" s="20" t="n">
        <v>0.81386422</v>
      </c>
      <c r="I63" s="18" t="s">
        <v>349</v>
      </c>
      <c r="J63" s="20" t="s">
        <v>349</v>
      </c>
      <c r="K63" s="18" t="n">
        <v>3.61709857</v>
      </c>
      <c r="L63" s="20" t="n">
        <v>0.61110905</v>
      </c>
      <c r="M63" s="18" t="n">
        <v>0</v>
      </c>
      <c r="N63" s="20" t="n">
        <v>0</v>
      </c>
      <c r="O63" s="18" t="n">
        <v>1.07123904</v>
      </c>
      <c r="P63" s="20" t="n">
        <v>0.37422874</v>
      </c>
      <c r="Q63" s="18" t="n">
        <v>24.60552707</v>
      </c>
      <c r="R63" s="20" t="n">
        <v>1.48705255</v>
      </c>
    </row>
    <row r="64" spans="1:18">
      <c r="A64" s="15" t="s">
        <v>406</v>
      </c>
      <c r="B64" s="17" t="n">
        <v>3634</v>
      </c>
      <c r="C64" s="18">
        <f>(3041.0/B64*100)</f>
        <v/>
      </c>
      <c r="D64" s="19" t="n">
        <v>593</v>
      </c>
      <c r="E64" s="18" t="n">
        <v>61.03600119</v>
      </c>
      <c r="F64" s="20" t="n">
        <v>1.94881401</v>
      </c>
      <c r="G64" s="18" t="n">
        <v>23.18645391</v>
      </c>
      <c r="H64" s="20" t="n">
        <v>1.67884684</v>
      </c>
      <c r="I64" s="18" t="s">
        <v>349</v>
      </c>
      <c r="J64" s="20" t="s">
        <v>349</v>
      </c>
      <c r="K64" s="18" t="n">
        <v>1.73148763</v>
      </c>
      <c r="L64" s="20" t="n">
        <v>0.59763758</v>
      </c>
      <c r="M64" s="18" t="n">
        <v>0</v>
      </c>
      <c r="N64" s="20" t="n">
        <v>0</v>
      </c>
      <c r="O64" s="18" t="n">
        <v>4.48789188</v>
      </c>
      <c r="P64" s="20" t="n">
        <v>0.78397077</v>
      </c>
      <c r="Q64" s="18" t="n">
        <v>9.558165389999999</v>
      </c>
      <c r="R64" s="20" t="n">
        <v>1.266618</v>
      </c>
    </row>
    <row r="65" spans="1:18">
      <c r="A65" s="15" t="s">
        <v>407</v>
      </c>
      <c r="B65" s="17" t="n">
        <v>5325</v>
      </c>
      <c r="C65" s="18">
        <f>(4451.0/B65*100)</f>
        <v/>
      </c>
      <c r="D65" s="19" t="n">
        <v>874</v>
      </c>
      <c r="E65" s="18" t="n">
        <v>51.02665788</v>
      </c>
      <c r="F65" s="20" t="n">
        <v>1.50108964</v>
      </c>
      <c r="G65" s="18" t="n">
        <v>7.96065157</v>
      </c>
      <c r="H65" s="20" t="n">
        <v>1.0892317</v>
      </c>
      <c r="I65" s="18" t="s">
        <v>349</v>
      </c>
      <c r="J65" s="20" t="s">
        <v>349</v>
      </c>
      <c r="K65" s="18" t="n">
        <v>7.86702789</v>
      </c>
      <c r="L65" s="20" t="n">
        <v>0.87803553</v>
      </c>
      <c r="M65" s="18" t="n">
        <v>12.76803209</v>
      </c>
      <c r="N65" s="20" t="n">
        <v>0.9137664599999999</v>
      </c>
      <c r="O65" s="18" t="n">
        <v>0.94199363</v>
      </c>
      <c r="P65" s="20" t="n">
        <v>0.34858158</v>
      </c>
      <c r="Q65" s="18" t="n">
        <v>19.43563694</v>
      </c>
      <c r="R65" s="20" t="n">
        <v>1.37325213</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87.72970840000001</v>
      </c>
      <c r="F69" s="20" t="n">
        <v>1.23073388</v>
      </c>
      <c r="G69" s="18" t="n">
        <v>8.57102596</v>
      </c>
      <c r="H69" s="20" t="n">
        <v>1.14747095</v>
      </c>
      <c r="I69" s="18" t="s">
        <v>349</v>
      </c>
      <c r="J69" s="20" t="s">
        <v>349</v>
      </c>
      <c r="K69" s="18" t="n">
        <v>0</v>
      </c>
      <c r="L69" s="20" t="n">
        <v>0</v>
      </c>
      <c r="M69" s="18" t="n">
        <v>0</v>
      </c>
      <c r="N69" s="20" t="n">
        <v>0</v>
      </c>
      <c r="O69" s="18" t="n">
        <v>0</v>
      </c>
      <c r="P69" s="20" t="n">
        <v>0</v>
      </c>
      <c r="Q69" s="18" t="n">
        <v>3.69926565</v>
      </c>
      <c r="R69" s="20" t="n">
        <v>0.68848189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68.1562892</v>
      </c>
      <c r="F74" s="20" t="n">
        <v>1.70888108</v>
      </c>
      <c r="G74" s="18" t="n">
        <v>7.67412619</v>
      </c>
      <c r="H74" s="20" t="n">
        <v>1.06658113</v>
      </c>
      <c r="I74" s="18" t="s">
        <v>349</v>
      </c>
      <c r="J74" s="20" t="s">
        <v>349</v>
      </c>
      <c r="K74" s="18" t="n">
        <v>7.53774652</v>
      </c>
      <c r="L74" s="20" t="n">
        <v>0.96088685</v>
      </c>
      <c r="M74" s="18" t="n">
        <v>0</v>
      </c>
      <c r="N74" s="20" t="n">
        <v>0</v>
      </c>
      <c r="O74" s="18" t="n">
        <v>3.28415883</v>
      </c>
      <c r="P74" s="20" t="n">
        <v>0.5956449700000001</v>
      </c>
      <c r="Q74" s="18" t="n">
        <v>13.34767926</v>
      </c>
      <c r="R74" s="20" t="n">
        <v>1.30973606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80.55345779</v>
      </c>
      <c r="F78" s="20" t="n">
        <v>1.5723351</v>
      </c>
      <c r="G78" s="18" t="n">
        <v>17.23659498</v>
      </c>
      <c r="H78" s="20" t="n">
        <v>1.48314036</v>
      </c>
      <c r="I78" s="18" t="s">
        <v>349</v>
      </c>
      <c r="J78" s="20" t="s">
        <v>349</v>
      </c>
      <c r="K78" s="18" t="n">
        <v>0</v>
      </c>
      <c r="L78" s="20" t="n">
        <v>0</v>
      </c>
      <c r="M78" s="18" t="n">
        <v>0.10953641</v>
      </c>
      <c r="N78" s="20" t="n">
        <v>0.1095692</v>
      </c>
      <c r="O78" s="18" t="n">
        <v>1.4788541</v>
      </c>
      <c r="P78" s="20" t="n">
        <v>0.53617359</v>
      </c>
      <c r="Q78" s="18" t="n">
        <v>0.62155673</v>
      </c>
      <c r="R78" s="20" t="n">
        <v>0.29646096</v>
      </c>
    </row>
    <row customHeight="1" ht="25" r="79" spans="1:18">
      <c r="A79" s="15" t="s">
        <v>421</v>
      </c>
      <c r="B79" s="17" t="n">
        <v>1657</v>
      </c>
      <c r="C79" s="18">
        <f>(1376.0/B79*100)</f>
        <v/>
      </c>
      <c r="D79" s="19" t="n">
        <v>281</v>
      </c>
      <c r="E79" s="18" t="n">
        <v>61.55541013</v>
      </c>
      <c r="F79" s="20" t="n">
        <v>2.7073567</v>
      </c>
      <c r="G79" s="18" t="n">
        <v>9.26557334</v>
      </c>
      <c r="H79" s="20" t="n">
        <v>2.22001176</v>
      </c>
      <c r="I79" s="18" t="s">
        <v>349</v>
      </c>
      <c r="J79" s="20" t="s">
        <v>349</v>
      </c>
      <c r="K79" s="18" t="n">
        <v>6.06007956</v>
      </c>
      <c r="L79" s="20" t="n">
        <v>1.81032295</v>
      </c>
      <c r="M79" s="18" t="n">
        <v>0.64209824</v>
      </c>
      <c r="N79" s="20" t="n">
        <v>0.46398169</v>
      </c>
      <c r="O79" s="18" t="n">
        <v>2.76536872</v>
      </c>
      <c r="P79" s="20" t="n">
        <v>0.79541164</v>
      </c>
      <c r="Q79" s="18" t="n">
        <v>19.71147</v>
      </c>
      <c r="R79" s="20" t="n">
        <v>2.58555058</v>
      </c>
    </row>
    <row r="80" spans="1:18">
      <c r="A80" s="15" t="s">
        <v>422</v>
      </c>
      <c r="B80" s="17" t="n">
        <v>7841</v>
      </c>
      <c r="C80" s="18">
        <f>(6533.0/B80*100)</f>
        <v/>
      </c>
      <c r="D80" s="19" t="n">
        <v>1308</v>
      </c>
      <c r="E80" s="18" t="n">
        <v>66.75516558</v>
      </c>
      <c r="F80" s="20" t="n">
        <v>2.6524004</v>
      </c>
      <c r="G80" s="18" t="n">
        <v>32.20620338</v>
      </c>
      <c r="H80" s="20" t="n">
        <v>2.64497104</v>
      </c>
      <c r="I80" s="18" t="s">
        <v>349</v>
      </c>
      <c r="J80" s="20" t="s">
        <v>349</v>
      </c>
      <c r="K80" s="18" t="n">
        <v>0.14205931</v>
      </c>
      <c r="L80" s="20" t="n">
        <v>0.10502625</v>
      </c>
      <c r="M80" s="18" t="n">
        <v>0</v>
      </c>
      <c r="N80" s="20" t="n">
        <v>0</v>
      </c>
      <c r="O80" s="18" t="n">
        <v>0</v>
      </c>
      <c r="P80" s="20" t="n">
        <v>0</v>
      </c>
      <c r="Q80" s="18" t="n">
        <v>0.89657173</v>
      </c>
      <c r="R80" s="20" t="n">
        <v>0.35322972</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9.82356379</v>
      </c>
      <c r="F44" s="20" t="n">
        <v>1.25281661</v>
      </c>
      <c r="G44" s="18" t="n">
        <v>81.34849196</v>
      </c>
      <c r="H44" s="20" t="n">
        <v>1.47989373</v>
      </c>
      <c r="I44" s="18" t="s">
        <v>349</v>
      </c>
      <c r="J44" s="20" t="s">
        <v>349</v>
      </c>
      <c r="K44" s="18" t="n">
        <v>8.46105073</v>
      </c>
      <c r="L44" s="20" t="n">
        <v>0.97238513</v>
      </c>
      <c r="M44" s="18" t="n">
        <v>0</v>
      </c>
      <c r="N44" s="20" t="n">
        <v>0</v>
      </c>
      <c r="O44" s="18" t="n">
        <v>0.36689352</v>
      </c>
      <c r="P44" s="20" t="n">
        <v>0.19217118</v>
      </c>
      <c r="Q44" s="18" t="n">
        <v>0</v>
      </c>
      <c r="R44" s="20" t="n">
        <v>0</v>
      </c>
    </row>
    <row r="45" spans="1:18">
      <c r="A45" s="15" t="s">
        <v>387</v>
      </c>
      <c r="B45" s="17" t="n">
        <v>5519</v>
      </c>
      <c r="C45" s="18">
        <f>(4596.0/B45*100)</f>
        <v/>
      </c>
      <c r="D45" s="19" t="n">
        <v>923</v>
      </c>
      <c r="E45" s="18" t="n">
        <v>0</v>
      </c>
      <c r="F45" s="20" t="n">
        <v>0</v>
      </c>
      <c r="G45" s="18" t="n">
        <v>0</v>
      </c>
      <c r="H45" s="20" t="n">
        <v>0</v>
      </c>
      <c r="I45" s="18" t="s">
        <v>349</v>
      </c>
      <c r="J45" s="20" t="s">
        <v>349</v>
      </c>
      <c r="K45" s="18" t="n">
        <v>0</v>
      </c>
      <c r="L45" s="20" t="n">
        <v>0</v>
      </c>
      <c r="M45" s="18" t="n">
        <v>100</v>
      </c>
      <c r="N45" s="20" t="n">
        <v>0</v>
      </c>
      <c r="O45" s="18" t="n">
        <v>0</v>
      </c>
      <c r="P45" s="20" t="n">
        <v>0</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(5289.0/B49*100)</f>
        <v/>
      </c>
      <c r="D49" s="19" t="n">
        <v>1060</v>
      </c>
      <c r="E49" s="18" t="n">
        <v>7.25367337</v>
      </c>
      <c r="F49" s="20" t="n">
        <v>1.11111078</v>
      </c>
      <c r="G49" s="18" t="n">
        <v>87.93888468999999</v>
      </c>
      <c r="H49" s="20" t="n">
        <v>1.33730937</v>
      </c>
      <c r="I49" s="18" t="s">
        <v>349</v>
      </c>
      <c r="J49" s="20" t="s">
        <v>349</v>
      </c>
      <c r="K49" s="18" t="n">
        <v>4.6472038</v>
      </c>
      <c r="L49" s="20" t="n">
        <v>0.76649877</v>
      </c>
      <c r="M49" s="18" t="n">
        <v>0</v>
      </c>
      <c r="N49" s="20" t="n">
        <v>0</v>
      </c>
      <c r="O49" s="18" t="n">
        <v>0.16023813</v>
      </c>
      <c r="P49" s="20" t="n">
        <v>0.16083382</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(4409.0/B55*100)</f>
        <v/>
      </c>
      <c r="D55" s="19" t="n">
        <v>907</v>
      </c>
      <c r="E55" s="18" t="n">
        <v>15.41469715</v>
      </c>
      <c r="F55" s="20" t="n">
        <v>1.39358749</v>
      </c>
      <c r="G55" s="18" t="n">
        <v>81.00736046999999</v>
      </c>
      <c r="H55" s="20" t="n">
        <v>1.57839206</v>
      </c>
      <c r="I55" s="18" t="s">
        <v>349</v>
      </c>
      <c r="J55" s="20" t="s">
        <v>349</v>
      </c>
      <c r="K55" s="18" t="n">
        <v>3.57794238</v>
      </c>
      <c r="L55" s="20" t="n">
        <v>0.62761245</v>
      </c>
      <c r="M55" s="18" t="n">
        <v>0</v>
      </c>
      <c r="N55" s="20" t="n">
        <v>0</v>
      </c>
      <c r="O55" s="18" t="n">
        <v>0</v>
      </c>
      <c r="P55" s="20" t="n">
        <v>0</v>
      </c>
      <c r="Q55" s="18" t="n">
        <v>0</v>
      </c>
      <c r="R55" s="20" t="n">
        <v>0</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(5429.0/B57*100)</f>
        <v/>
      </c>
      <c r="D57" s="19" t="n">
        <v>1084</v>
      </c>
      <c r="E57" s="18" t="n">
        <v>13.74812709</v>
      </c>
      <c r="F57" s="20" t="n">
        <v>1.21070782</v>
      </c>
      <c r="G57" s="18" t="n">
        <v>82.31885815</v>
      </c>
      <c r="H57" s="20" t="n">
        <v>1.19792073</v>
      </c>
      <c r="I57" s="18" t="s">
        <v>349</v>
      </c>
      <c r="J57" s="20" t="s">
        <v>349</v>
      </c>
      <c r="K57" s="18" t="n">
        <v>3.81691781</v>
      </c>
      <c r="L57" s="20" t="n">
        <v>0.6581885</v>
      </c>
      <c r="M57" s="18" t="n">
        <v>0.11609695</v>
      </c>
      <c r="N57" s="20" t="n">
        <v>0.11026165</v>
      </c>
      <c r="O57" s="18" t="n">
        <v>0</v>
      </c>
      <c r="P57" s="20" t="n">
        <v>0</v>
      </c>
      <c r="Q57" s="18" t="n">
        <v>0</v>
      </c>
      <c r="R57" s="20" t="n">
        <v>0</v>
      </c>
    </row>
    <row r="58" spans="1:18">
      <c r="A58" s="15" t="s">
        <v>400</v>
      </c>
      <c r="B58" s="17" t="n">
        <v>7267</v>
      </c>
      <c r="C58" s="18">
        <f>(6067.0/B58*100)</f>
        <v/>
      </c>
      <c r="D58" s="19" t="n">
        <v>1200</v>
      </c>
      <c r="E58" s="18" t="n">
        <v>20.63443618</v>
      </c>
      <c r="F58" s="20" t="n">
        <v>1.53871155</v>
      </c>
      <c r="G58" s="18" t="n">
        <v>71.80146999999999</v>
      </c>
      <c r="H58" s="20" t="n">
        <v>1.56785767</v>
      </c>
      <c r="I58" s="18" t="s">
        <v>349</v>
      </c>
      <c r="J58" s="20" t="s">
        <v>349</v>
      </c>
      <c r="K58" s="18" t="n">
        <v>7.23057288</v>
      </c>
      <c r="L58" s="20" t="n">
        <v>1.08037995</v>
      </c>
      <c r="M58" s="18" t="n">
        <v>0</v>
      </c>
      <c r="N58" s="20" t="n">
        <v>0</v>
      </c>
      <c r="O58" s="18" t="n">
        <v>0.33352094</v>
      </c>
      <c r="P58" s="20" t="n">
        <v>0.14618513</v>
      </c>
      <c r="Q58" s="18" t="n">
        <v>0</v>
      </c>
      <c r="R58" s="20" t="n">
        <v>0</v>
      </c>
    </row>
    <row r="59" spans="1:18">
      <c r="A59" s="15" t="s">
        <v>401</v>
      </c>
      <c r="B59" s="17" t="n">
        <v>4826</v>
      </c>
      <c r="C59" s="18">
        <f>(4030.0/B59*100)</f>
        <v/>
      </c>
      <c r="D59" s="19" t="n">
        <v>796</v>
      </c>
      <c r="E59" s="18" t="n">
        <v>18.22890663</v>
      </c>
      <c r="F59" s="20" t="n">
        <v>1.63837634</v>
      </c>
      <c r="G59" s="18" t="n">
        <v>80.35636398</v>
      </c>
      <c r="H59" s="20" t="n">
        <v>1.67484392</v>
      </c>
      <c r="I59" s="18" t="s">
        <v>349</v>
      </c>
      <c r="J59" s="20" t="s">
        <v>349</v>
      </c>
      <c r="K59" s="18" t="n">
        <v>1.41472939</v>
      </c>
      <c r="L59" s="20" t="n">
        <v>0.40164041</v>
      </c>
      <c r="M59" s="18" t="n">
        <v>0</v>
      </c>
      <c r="N59" s="20" t="n">
        <v>0</v>
      </c>
      <c r="O59" s="18" t="n">
        <v>0</v>
      </c>
      <c r="P59" s="20" t="n">
        <v>0</v>
      </c>
      <c r="Q59" s="18" t="n">
        <v>0</v>
      </c>
      <c r="R59" s="20" t="n">
        <v>0</v>
      </c>
    </row>
    <row r="60" spans="1:18">
      <c r="A60" s="15" t="s">
        <v>402</v>
      </c>
      <c r="B60" s="17" t="n">
        <v>4546</v>
      </c>
      <c r="C60" s="18">
        <f>(3787.0/B60*100)</f>
        <v/>
      </c>
      <c r="D60" s="19" t="n">
        <v>759</v>
      </c>
      <c r="E60" s="18" t="n">
        <v>19.6709238</v>
      </c>
      <c r="F60" s="20" t="n">
        <v>1.7177448</v>
      </c>
      <c r="G60" s="18" t="n">
        <v>68.93425606</v>
      </c>
      <c r="H60" s="20" t="n">
        <v>1.86360662</v>
      </c>
      <c r="I60" s="18" t="s">
        <v>349</v>
      </c>
      <c r="J60" s="20" t="s">
        <v>349</v>
      </c>
      <c r="K60" s="18" t="n">
        <v>10.27012815</v>
      </c>
      <c r="L60" s="20" t="n">
        <v>1.15793092</v>
      </c>
      <c r="M60" s="18" t="n">
        <v>0</v>
      </c>
      <c r="N60" s="20" t="n">
        <v>0</v>
      </c>
      <c r="O60" s="18" t="n">
        <v>1.124692</v>
      </c>
      <c r="P60" s="20" t="n">
        <v>0.42245024</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(4438.0/B63*100)</f>
        <v/>
      </c>
      <c r="D63" s="19" t="n">
        <v>886</v>
      </c>
      <c r="E63" s="18" t="n">
        <v>19.49034068</v>
      </c>
      <c r="F63" s="20" t="n">
        <v>1.28165939</v>
      </c>
      <c r="G63" s="18" t="n">
        <v>74.87145507</v>
      </c>
      <c r="H63" s="20" t="n">
        <v>1.51237788</v>
      </c>
      <c r="I63" s="18" t="s">
        <v>349</v>
      </c>
      <c r="J63" s="20" t="s">
        <v>349</v>
      </c>
      <c r="K63" s="18" t="n">
        <v>5.48445694</v>
      </c>
      <c r="L63" s="20" t="n">
        <v>0.74731292</v>
      </c>
      <c r="M63" s="18" t="n">
        <v>0</v>
      </c>
      <c r="N63" s="20" t="n">
        <v>0</v>
      </c>
      <c r="O63" s="18" t="n">
        <v>0.15374731</v>
      </c>
      <c r="P63" s="20" t="n">
        <v>0.11075048</v>
      </c>
      <c r="Q63" s="18" t="n">
        <v>0</v>
      </c>
      <c r="R63" s="20" t="n">
        <v>0</v>
      </c>
    </row>
    <row r="64" spans="1:18">
      <c r="A64" s="15" t="s">
        <v>406</v>
      </c>
      <c r="B64" s="17" t="n">
        <v>3634</v>
      </c>
      <c r="C64" s="18">
        <f>(3041.0/B64*100)</f>
        <v/>
      </c>
      <c r="D64" s="19" t="n">
        <v>593</v>
      </c>
      <c r="E64" s="18" t="n">
        <v>16.97147472</v>
      </c>
      <c r="F64" s="20" t="n">
        <v>1.5838602</v>
      </c>
      <c r="G64" s="18" t="n">
        <v>80.19781807</v>
      </c>
      <c r="H64" s="20" t="n">
        <v>1.6517019</v>
      </c>
      <c r="I64" s="18" t="s">
        <v>349</v>
      </c>
      <c r="J64" s="20" t="s">
        <v>349</v>
      </c>
      <c r="K64" s="18" t="n">
        <v>2.30990856</v>
      </c>
      <c r="L64" s="20" t="n">
        <v>0.67903008</v>
      </c>
      <c r="M64" s="18" t="n">
        <v>0</v>
      </c>
      <c r="N64" s="20" t="n">
        <v>0</v>
      </c>
      <c r="O64" s="18" t="n">
        <v>0.52079864</v>
      </c>
      <c r="P64" s="20" t="n">
        <v>0.30094418</v>
      </c>
      <c r="Q64" s="18" t="n">
        <v>0</v>
      </c>
      <c r="R64" s="20" t="n">
        <v>0</v>
      </c>
    </row>
    <row r="65" spans="1:18">
      <c r="A65" s="15" t="s">
        <v>407</v>
      </c>
      <c r="B65" s="17" t="n">
        <v>5325</v>
      </c>
      <c r="C65" s="18">
        <f>(4451.0/B65*100)</f>
        <v/>
      </c>
      <c r="D65" s="19" t="n">
        <v>874</v>
      </c>
      <c r="E65" s="18" t="n">
        <v>11.36992608</v>
      </c>
      <c r="F65" s="20" t="n">
        <v>1.35787865</v>
      </c>
      <c r="G65" s="18" t="n">
        <v>79.62825703999999</v>
      </c>
      <c r="H65" s="20" t="n">
        <v>1.65252711</v>
      </c>
      <c r="I65" s="18" t="s">
        <v>349</v>
      </c>
      <c r="J65" s="20" t="s">
        <v>349</v>
      </c>
      <c r="K65" s="18" t="n">
        <v>8.702084360000001</v>
      </c>
      <c r="L65" s="20" t="n">
        <v>0.92166853</v>
      </c>
      <c r="M65" s="18" t="n">
        <v>0.29973252</v>
      </c>
      <c r="N65" s="20" t="n">
        <v>0.21845963</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(4065.0/B69*100)</f>
        <v/>
      </c>
      <c r="D69" s="19" t="n">
        <v>811</v>
      </c>
      <c r="E69" s="18" t="n">
        <v>16.17784508</v>
      </c>
      <c r="F69" s="20" t="n">
        <v>1.28372717</v>
      </c>
      <c r="G69" s="18" t="n">
        <v>83.82215492</v>
      </c>
      <c r="H69" s="20" t="n">
        <v>1.28372717</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(3917.0/B74*100)</f>
        <v/>
      </c>
      <c r="D74" s="19" t="n">
        <v>775</v>
      </c>
      <c r="E74" s="18" t="n">
        <v>11.60662712</v>
      </c>
      <c r="F74" s="20" t="n">
        <v>1.35571431</v>
      </c>
      <c r="G74" s="18" t="n">
        <v>79.35416605</v>
      </c>
      <c r="H74" s="20" t="n">
        <v>1.55193719</v>
      </c>
      <c r="I74" s="18" t="s">
        <v>349</v>
      </c>
      <c r="J74" s="20" t="s">
        <v>349</v>
      </c>
      <c r="K74" s="18" t="n">
        <v>9.039206829999999</v>
      </c>
      <c r="L74" s="20" t="n">
        <v>1.09350306</v>
      </c>
      <c r="M74" s="18" t="n">
        <v>0</v>
      </c>
      <c r="N74" s="20" t="n">
        <v>0</v>
      </c>
      <c r="O74" s="18" t="n">
        <v>0</v>
      </c>
      <c r="P74" s="20" t="n">
        <v>0</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(4855.0/B78*100)</f>
        <v/>
      </c>
      <c r="D78" s="19" t="n">
        <v>971</v>
      </c>
      <c r="E78" s="18" t="n">
        <v>5.51844913</v>
      </c>
      <c r="F78" s="20" t="n">
        <v>0.77483923</v>
      </c>
      <c r="G78" s="18" t="n">
        <v>94.48155087000001</v>
      </c>
      <c r="H78" s="20" t="n">
        <v>0.77483923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(1376.0/B79*100)</f>
        <v/>
      </c>
      <c r="D79" s="19" t="n">
        <v>281</v>
      </c>
      <c r="E79" s="18" t="n">
        <v>4.04047039</v>
      </c>
      <c r="F79" s="20" t="n">
        <v>0.95638277</v>
      </c>
      <c r="G79" s="18" t="n">
        <v>89.57439099</v>
      </c>
      <c r="H79" s="20" t="n">
        <v>2.33081946</v>
      </c>
      <c r="I79" s="18" t="s">
        <v>349</v>
      </c>
      <c r="J79" s="20" t="s">
        <v>349</v>
      </c>
      <c r="K79" s="18" t="n">
        <v>6.38513862</v>
      </c>
      <c r="L79" s="20" t="n">
        <v>1.8537344</v>
      </c>
      <c r="M79" s="18" t="n">
        <v>0</v>
      </c>
      <c r="N79" s="20" t="n">
        <v>0</v>
      </c>
      <c r="O79" s="18" t="n">
        <v>0</v>
      </c>
      <c r="P79" s="20" t="n">
        <v>0</v>
      </c>
      <c r="Q79" s="18" t="n">
        <v>0</v>
      </c>
      <c r="R79" s="20" t="n">
        <v>0</v>
      </c>
    </row>
    <row r="80" spans="1:18">
      <c r="A80" s="15" t="s">
        <v>422</v>
      </c>
      <c r="B80" s="17" t="n">
        <v>7841</v>
      </c>
      <c r="C80" s="18">
        <f>(6533.0/B80*100)</f>
        <v/>
      </c>
      <c r="D80" s="19" t="n">
        <v>1308</v>
      </c>
      <c r="E80" s="18" t="n">
        <v>10.58744235</v>
      </c>
      <c r="F80" s="20" t="n">
        <v>1.16966531</v>
      </c>
      <c r="G80" s="18" t="n">
        <v>89.04032114</v>
      </c>
      <c r="H80" s="20" t="n">
        <v>1.15278098</v>
      </c>
      <c r="I80" s="18" t="s">
        <v>349</v>
      </c>
      <c r="J80" s="20" t="s">
        <v>349</v>
      </c>
      <c r="K80" s="18" t="n">
        <v>0.37223651</v>
      </c>
      <c r="L80" s="20" t="n">
        <v>0.13377388</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569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21.07011644</v>
      </c>
      <c r="F44" s="20" t="n">
        <v>1.68155833</v>
      </c>
      <c r="G44" s="18" t="n">
        <v>73.47928281999999</v>
      </c>
      <c r="H44" s="20" t="n">
        <v>1.50405571</v>
      </c>
      <c r="I44" s="18" t="s">
        <v>349</v>
      </c>
      <c r="J44" s="20" t="s">
        <v>349</v>
      </c>
      <c r="K44" s="18" t="n">
        <v>0.9768200500000001</v>
      </c>
      <c r="L44" s="20" t="n">
        <v>0.35416525</v>
      </c>
      <c r="M44" s="18" t="n">
        <v>0</v>
      </c>
      <c r="N44" s="20" t="n">
        <v>0</v>
      </c>
      <c r="O44" s="18" t="n">
        <v>0</v>
      </c>
      <c r="P44" s="20" t="n">
        <v>0</v>
      </c>
      <c r="Q44" s="18" t="n">
        <v>4.4737807</v>
      </c>
      <c r="R44" s="20" t="n">
        <v>1.15263589</v>
      </c>
    </row>
    <row r="45" spans="1:18">
      <c r="A45" s="15" t="s">
        <v>387</v>
      </c>
      <c r="B45" s="17" t="n">
        <v>5519</v>
      </c>
      <c r="C45" s="18">
        <f>(4609.0/B45*100)</f>
        <v/>
      </c>
      <c r="D45" s="19" t="n">
        <v>910</v>
      </c>
      <c r="E45" s="18" t="n">
        <v>24.13627234</v>
      </c>
      <c r="F45" s="20" t="n">
        <v>1.60882427</v>
      </c>
      <c r="G45" s="18" t="n">
        <v>67.24952131000001</v>
      </c>
      <c r="H45" s="20" t="n">
        <v>1.64008766</v>
      </c>
      <c r="I45" s="18" t="s">
        <v>349</v>
      </c>
      <c r="J45" s="20" t="s">
        <v>349</v>
      </c>
      <c r="K45" s="18" t="n">
        <v>3.72825307</v>
      </c>
      <c r="L45" s="20" t="n">
        <v>0.66308324</v>
      </c>
      <c r="M45" s="18" t="n">
        <v>0</v>
      </c>
      <c r="N45" s="20" t="n">
        <v>0</v>
      </c>
      <c r="O45" s="18" t="n">
        <v>0.20772799</v>
      </c>
      <c r="P45" s="20" t="n">
        <v>0.15366785</v>
      </c>
      <c r="Q45" s="18" t="n">
        <v>4.6782253</v>
      </c>
      <c r="R45" s="20" t="n">
        <v>0.87432771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19.23844119</v>
      </c>
      <c r="F49" s="20" t="n">
        <v>1.32598885</v>
      </c>
      <c r="G49" s="18" t="n">
        <v>76.13717099</v>
      </c>
      <c r="H49" s="20" t="n">
        <v>1.46930654</v>
      </c>
      <c r="I49" s="18" t="s">
        <v>349</v>
      </c>
      <c r="J49" s="20" t="s">
        <v>349</v>
      </c>
      <c r="K49" s="18" t="n">
        <v>1.05756156</v>
      </c>
      <c r="L49" s="20" t="n">
        <v>0.36458776</v>
      </c>
      <c r="M49" s="18" t="n">
        <v>0</v>
      </c>
      <c r="N49" s="20" t="n">
        <v>0</v>
      </c>
      <c r="O49" s="18" t="n">
        <v>0</v>
      </c>
      <c r="P49" s="20" t="n">
        <v>0</v>
      </c>
      <c r="Q49" s="18" t="n">
        <v>3.56682627</v>
      </c>
      <c r="R49" s="20" t="n">
        <v>0.57297093</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20.14552579</v>
      </c>
      <c r="F55" s="20" t="n">
        <v>1.57295885</v>
      </c>
      <c r="G55" s="18" t="n">
        <v>69.97475672</v>
      </c>
      <c r="H55" s="20" t="n">
        <v>1.9150646</v>
      </c>
      <c r="I55" s="18" t="s">
        <v>349</v>
      </c>
      <c r="J55" s="20" t="s">
        <v>349</v>
      </c>
      <c r="K55" s="18" t="n">
        <v>1.0178591</v>
      </c>
      <c r="L55" s="20" t="n">
        <v>0.32423952</v>
      </c>
      <c r="M55" s="18" t="n">
        <v>0</v>
      </c>
      <c r="N55" s="20" t="n">
        <v>0</v>
      </c>
      <c r="O55" s="18" t="n">
        <v>0</v>
      </c>
      <c r="P55" s="20" t="n">
        <v>0</v>
      </c>
      <c r="Q55" s="18" t="n">
        <v>8.86185839</v>
      </c>
      <c r="R55" s="20" t="n">
        <v>1.09395487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0</v>
      </c>
      <c r="F57" s="20" t="n">
        <v>0</v>
      </c>
      <c r="G57" s="18" t="n">
        <v>0</v>
      </c>
      <c r="H57" s="20" t="n">
        <v>0</v>
      </c>
      <c r="I57" s="18" t="s">
        <v>349</v>
      </c>
      <c r="J57" s="20" t="s">
        <v>349</v>
      </c>
      <c r="K57" s="18" t="n">
        <v>0</v>
      </c>
      <c r="L57" s="20" t="n">
        <v>0</v>
      </c>
      <c r="M57" s="18" t="n">
        <v>100</v>
      </c>
      <c r="N57" s="20" t="n">
        <v>0</v>
      </c>
      <c r="O57" s="18" t="n">
        <v>0</v>
      </c>
      <c r="P57" s="20" t="n">
        <v>0</v>
      </c>
      <c r="Q57" s="18" t="n">
        <v>0</v>
      </c>
      <c r="R57" s="20" t="n">
        <v>0</v>
      </c>
    </row>
    <row r="58" spans="1:18">
      <c r="A58" s="15" t="s">
        <v>400</v>
      </c>
      <c r="B58" s="17" t="n">
        <v>7267</v>
      </c>
      <c r="C58" s="18">
        <f>(6083.0/B58*100)</f>
        <v/>
      </c>
      <c r="D58" s="19" t="n">
        <v>1184</v>
      </c>
      <c r="E58" s="18" t="n">
        <v>28.36522994</v>
      </c>
      <c r="F58" s="20" t="n">
        <v>1.62019745</v>
      </c>
      <c r="G58" s="18" t="n">
        <v>67.14194921000001</v>
      </c>
      <c r="H58" s="20" t="n">
        <v>1.71761492</v>
      </c>
      <c r="I58" s="18" t="s">
        <v>349</v>
      </c>
      <c r="J58" s="20" t="s">
        <v>349</v>
      </c>
      <c r="K58" s="18" t="n">
        <v>1.32580894</v>
      </c>
      <c r="L58" s="20" t="n">
        <v>0.40879255</v>
      </c>
      <c r="M58" s="18" t="n">
        <v>0</v>
      </c>
      <c r="N58" s="20" t="n">
        <v>0</v>
      </c>
      <c r="O58" s="18" t="n">
        <v>0</v>
      </c>
      <c r="P58" s="20" t="n">
        <v>0</v>
      </c>
      <c r="Q58" s="18" t="n">
        <v>3.16701192</v>
      </c>
      <c r="R58" s="20" t="n">
        <v>0.58757216</v>
      </c>
    </row>
    <row r="59" spans="1:18">
      <c r="A59" s="15" t="s">
        <v>401</v>
      </c>
      <c r="B59" s="17" t="n">
        <v>4826</v>
      </c>
      <c r="C59" s="18">
        <f>(4023.0/B59*100)</f>
        <v/>
      </c>
      <c r="D59" s="19" t="n">
        <v>803</v>
      </c>
      <c r="E59" s="18" t="n">
        <v>29.61029549</v>
      </c>
      <c r="F59" s="20" t="n">
        <v>2.1103264</v>
      </c>
      <c r="G59" s="18" t="n">
        <v>65.32838345</v>
      </c>
      <c r="H59" s="20" t="n">
        <v>2.12933183</v>
      </c>
      <c r="I59" s="18" t="s">
        <v>349</v>
      </c>
      <c r="J59" s="20" t="s">
        <v>349</v>
      </c>
      <c r="K59" s="18" t="n">
        <v>0.33213939</v>
      </c>
      <c r="L59" s="20" t="n">
        <v>0.15681002</v>
      </c>
      <c r="M59" s="18" t="n">
        <v>0</v>
      </c>
      <c r="N59" s="20" t="n">
        <v>0</v>
      </c>
      <c r="O59" s="18" t="n">
        <v>0</v>
      </c>
      <c r="P59" s="20" t="n">
        <v>0</v>
      </c>
      <c r="Q59" s="18" t="n">
        <v>4.72918166</v>
      </c>
      <c r="R59" s="20" t="n">
        <v>0.76849474</v>
      </c>
    </row>
    <row r="60" spans="1:18">
      <c r="A60" s="15" t="s">
        <v>402</v>
      </c>
      <c r="B60" s="17" t="n">
        <v>4546</v>
      </c>
      <c r="C60" s="18">
        <f>(3791.0/B60*100)</f>
        <v/>
      </c>
      <c r="D60" s="19" t="n">
        <v>755</v>
      </c>
      <c r="E60" s="18" t="n">
        <v>19.55436406</v>
      </c>
      <c r="F60" s="20" t="n">
        <v>1.62208603</v>
      </c>
      <c r="G60" s="18" t="n">
        <v>71.20235144</v>
      </c>
      <c r="H60" s="20" t="n">
        <v>2.1117464</v>
      </c>
      <c r="I60" s="18" t="s">
        <v>349</v>
      </c>
      <c r="J60" s="20" t="s">
        <v>349</v>
      </c>
      <c r="K60" s="18" t="n">
        <v>1.40433404</v>
      </c>
      <c r="L60" s="20" t="n">
        <v>0.35497286</v>
      </c>
      <c r="M60" s="18" t="n">
        <v>0</v>
      </c>
      <c r="N60" s="20" t="n">
        <v>0</v>
      </c>
      <c r="O60" s="18" t="n">
        <v>0</v>
      </c>
      <c r="P60" s="20" t="n">
        <v>0</v>
      </c>
      <c r="Q60" s="18" t="n">
        <v>7.83895047</v>
      </c>
      <c r="R60" s="20" t="n">
        <v>1.41683549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27.64912572</v>
      </c>
      <c r="F63" s="20" t="n">
        <v>1.42675749</v>
      </c>
      <c r="G63" s="18" t="n">
        <v>60.40485981</v>
      </c>
      <c r="H63" s="20" t="n">
        <v>1.49018076</v>
      </c>
      <c r="I63" s="18" t="s">
        <v>349</v>
      </c>
      <c r="J63" s="20" t="s">
        <v>349</v>
      </c>
      <c r="K63" s="18" t="n">
        <v>2.55261697</v>
      </c>
      <c r="L63" s="20" t="n">
        <v>0.55750992</v>
      </c>
      <c r="M63" s="18" t="n">
        <v>0</v>
      </c>
      <c r="N63" s="20" t="n">
        <v>0</v>
      </c>
      <c r="O63" s="18" t="n">
        <v>0</v>
      </c>
      <c r="P63" s="20" t="n">
        <v>0</v>
      </c>
      <c r="Q63" s="18" t="n">
        <v>9.393397500000001</v>
      </c>
      <c r="R63" s="20" t="n">
        <v>1.10616233</v>
      </c>
    </row>
    <row r="64" spans="1:18">
      <c r="A64" s="15" t="s">
        <v>406</v>
      </c>
      <c r="B64" s="17" t="n">
        <v>3634</v>
      </c>
      <c r="C64" s="18">
        <f>(3051.0/B64*100)</f>
        <v/>
      </c>
      <c r="D64" s="19" t="n">
        <v>583</v>
      </c>
      <c r="E64" s="18" t="n">
        <v>11.94801687</v>
      </c>
      <c r="F64" s="20" t="n">
        <v>1.54420746</v>
      </c>
      <c r="G64" s="18" t="n">
        <v>84.86560643999999</v>
      </c>
      <c r="H64" s="20" t="n">
        <v>1.67347914</v>
      </c>
      <c r="I64" s="18" t="s">
        <v>349</v>
      </c>
      <c r="J64" s="20" t="s">
        <v>349</v>
      </c>
      <c r="K64" s="18" t="n">
        <v>0.33569816</v>
      </c>
      <c r="L64" s="20" t="n">
        <v>0.23669113</v>
      </c>
      <c r="M64" s="18" t="n">
        <v>0.348791</v>
      </c>
      <c r="N64" s="20" t="n">
        <v>0.24931571</v>
      </c>
      <c r="O64" s="18" t="n">
        <v>0</v>
      </c>
      <c r="P64" s="20" t="n">
        <v>0</v>
      </c>
      <c r="Q64" s="18" t="n">
        <v>2.50188753</v>
      </c>
      <c r="R64" s="20" t="n">
        <v>0.69752576</v>
      </c>
    </row>
    <row r="65" spans="1:18">
      <c r="A65" s="15" t="s">
        <v>407</v>
      </c>
      <c r="B65" s="17" t="n">
        <v>5325</v>
      </c>
      <c r="C65" s="18">
        <f>(4467.0/B65*100)</f>
        <v/>
      </c>
      <c r="D65" s="19" t="n">
        <v>858</v>
      </c>
      <c r="E65" s="18" t="n">
        <v>15.14418197</v>
      </c>
      <c r="F65" s="20" t="n">
        <v>1.23067874</v>
      </c>
      <c r="G65" s="18" t="n">
        <v>77.46288402</v>
      </c>
      <c r="H65" s="20" t="n">
        <v>1.43341223</v>
      </c>
      <c r="I65" s="18" t="s">
        <v>349</v>
      </c>
      <c r="J65" s="20" t="s">
        <v>349</v>
      </c>
      <c r="K65" s="18" t="n">
        <v>2.04941357</v>
      </c>
      <c r="L65" s="20" t="n">
        <v>0.50063659</v>
      </c>
      <c r="M65" s="18" t="n">
        <v>0</v>
      </c>
      <c r="N65" s="20" t="n">
        <v>0</v>
      </c>
      <c r="O65" s="18" t="n">
        <v>0</v>
      </c>
      <c r="P65" s="20" t="n">
        <v>0</v>
      </c>
      <c r="Q65" s="18" t="n">
        <v>5.34352044</v>
      </c>
      <c r="R65" s="20" t="n">
        <v>0.72267705</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23.93481654</v>
      </c>
      <c r="F69" s="20" t="n">
        <v>1.56585519</v>
      </c>
      <c r="G69" s="18" t="n">
        <v>75.85224134000001</v>
      </c>
      <c r="H69" s="20" t="n">
        <v>1.59529906</v>
      </c>
      <c r="I69" s="18" t="s">
        <v>349</v>
      </c>
      <c r="J69" s="20" t="s">
        <v>349</v>
      </c>
      <c r="K69" s="18" t="n">
        <v>0</v>
      </c>
      <c r="L69" s="20" t="n">
        <v>0</v>
      </c>
      <c r="M69" s="18" t="n">
        <v>0</v>
      </c>
      <c r="N69" s="20" t="n">
        <v>0</v>
      </c>
      <c r="O69" s="18" t="n">
        <v>0</v>
      </c>
      <c r="P69" s="20" t="n">
        <v>0</v>
      </c>
      <c r="Q69" s="18" t="n">
        <v>0.21294213</v>
      </c>
      <c r="R69" s="20" t="n">
        <v>0.15116759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14.38714899</v>
      </c>
      <c r="F74" s="20" t="n">
        <v>1.36927414</v>
      </c>
      <c r="G74" s="18" t="n">
        <v>77.67356258</v>
      </c>
      <c r="H74" s="20" t="n">
        <v>1.57186085</v>
      </c>
      <c r="I74" s="18" t="s">
        <v>349</v>
      </c>
      <c r="J74" s="20" t="s">
        <v>349</v>
      </c>
      <c r="K74" s="18" t="n">
        <v>3.21421088</v>
      </c>
      <c r="L74" s="20" t="n">
        <v>0.6803078299999999</v>
      </c>
      <c r="M74" s="18" t="n">
        <v>0</v>
      </c>
      <c r="N74" s="20" t="n">
        <v>0</v>
      </c>
      <c r="O74" s="18" t="n">
        <v>0</v>
      </c>
      <c r="P74" s="20" t="n">
        <v>0</v>
      </c>
      <c r="Q74" s="18" t="n">
        <v>4.72507755</v>
      </c>
      <c r="R74" s="20" t="n">
        <v>0.86180521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21.2309355</v>
      </c>
      <c r="F78" s="20" t="n">
        <v>1.55810559</v>
      </c>
      <c r="G78" s="18" t="n">
        <v>78.64406857</v>
      </c>
      <c r="H78" s="20" t="n">
        <v>1.56752236</v>
      </c>
      <c r="I78" s="18" t="s">
        <v>349</v>
      </c>
      <c r="J78" s="20" t="s">
        <v>349</v>
      </c>
      <c r="K78" s="18" t="n">
        <v>0</v>
      </c>
      <c r="L78" s="20" t="n">
        <v>0</v>
      </c>
      <c r="M78" s="18" t="n">
        <v>0</v>
      </c>
      <c r="N78" s="20" t="n">
        <v>0</v>
      </c>
      <c r="O78" s="18" t="n">
        <v>0</v>
      </c>
      <c r="P78" s="20" t="n">
        <v>0</v>
      </c>
      <c r="Q78" s="18" t="n">
        <v>0.12499594</v>
      </c>
      <c r="R78" s="20" t="n">
        <v>0.09854027999999999</v>
      </c>
    </row>
    <row customHeight="1" ht="25" r="79" spans="1:18">
      <c r="A79" s="15" t="s">
        <v>421</v>
      </c>
      <c r="B79" s="17" t="n">
        <v>1657</v>
      </c>
      <c r="C79" s="18">
        <f>(1382.0/B79*100)</f>
        <v/>
      </c>
      <c r="D79" s="19" t="n">
        <v>275</v>
      </c>
      <c r="E79" s="18" t="n">
        <v>10.96975792</v>
      </c>
      <c r="F79" s="20" t="n">
        <v>2.31279864</v>
      </c>
      <c r="G79" s="18" t="n">
        <v>85.01130026</v>
      </c>
      <c r="H79" s="20" t="n">
        <v>2.4164556</v>
      </c>
      <c r="I79" s="18" t="s">
        <v>349</v>
      </c>
      <c r="J79" s="20" t="s">
        <v>349</v>
      </c>
      <c r="K79" s="18" t="n">
        <v>2.00563427</v>
      </c>
      <c r="L79" s="20" t="n">
        <v>0.86864928</v>
      </c>
      <c r="M79" s="18" t="n">
        <v>0</v>
      </c>
      <c r="N79" s="20" t="n">
        <v>0</v>
      </c>
      <c r="O79" s="18" t="n">
        <v>0</v>
      </c>
      <c r="P79" s="20" t="n">
        <v>0</v>
      </c>
      <c r="Q79" s="18" t="n">
        <v>2.01330754</v>
      </c>
      <c r="R79" s="20" t="n">
        <v>0.83882413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76.76158617999999</v>
      </c>
      <c r="F44" s="20" t="n">
        <v>1.80025856</v>
      </c>
      <c r="G44" s="18" t="n">
        <v>14.6822278</v>
      </c>
      <c r="H44" s="20" t="n">
        <v>1.40626158</v>
      </c>
      <c r="I44" s="18" t="s">
        <v>349</v>
      </c>
      <c r="J44" s="20" t="s">
        <v>349</v>
      </c>
      <c r="K44" s="18" t="n">
        <v>1.24096524</v>
      </c>
      <c r="L44" s="20" t="n">
        <v>0.41328549</v>
      </c>
      <c r="M44" s="18" t="n">
        <v>0</v>
      </c>
      <c r="N44" s="20" t="n">
        <v>0</v>
      </c>
      <c r="O44" s="18" t="n">
        <v>0</v>
      </c>
      <c r="P44" s="20" t="n">
        <v>0</v>
      </c>
      <c r="Q44" s="18" t="n">
        <v>7.31522078</v>
      </c>
      <c r="R44" s="20" t="n">
        <v>1.05989769</v>
      </c>
    </row>
    <row r="45" spans="1:18">
      <c r="A45" s="15" t="s">
        <v>387</v>
      </c>
      <c r="B45" s="17" t="n">
        <v>5519</v>
      </c>
      <c r="C45" s="18">
        <f>(4609.0/B45*100)</f>
        <v/>
      </c>
      <c r="D45" s="19" t="n">
        <v>910</v>
      </c>
      <c r="E45" s="18" t="n">
        <v>84.41770606999999</v>
      </c>
      <c r="F45" s="20" t="n">
        <v>1.27314283</v>
      </c>
      <c r="G45" s="18" t="n">
        <v>4.87829118</v>
      </c>
      <c r="H45" s="20" t="n">
        <v>0.86656342</v>
      </c>
      <c r="I45" s="18" t="s">
        <v>349</v>
      </c>
      <c r="J45" s="20" t="s">
        <v>349</v>
      </c>
      <c r="K45" s="18" t="n">
        <v>3.96862897</v>
      </c>
      <c r="L45" s="20" t="n">
        <v>0.67694566</v>
      </c>
      <c r="M45" s="18" t="n">
        <v>0</v>
      </c>
      <c r="N45" s="20" t="n">
        <v>0</v>
      </c>
      <c r="O45" s="18" t="n">
        <v>0.20772799</v>
      </c>
      <c r="P45" s="20" t="n">
        <v>0.15366785</v>
      </c>
      <c r="Q45" s="18" t="n">
        <v>6.52764579</v>
      </c>
      <c r="R45" s="20" t="n">
        <v>0.93104563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70.11730717</v>
      </c>
      <c r="F49" s="20" t="n">
        <v>1.72643841</v>
      </c>
      <c r="G49" s="18" t="n">
        <v>23.32960742</v>
      </c>
      <c r="H49" s="20" t="n">
        <v>1.61987507</v>
      </c>
      <c r="I49" s="18" t="s">
        <v>349</v>
      </c>
      <c r="J49" s="20" t="s">
        <v>349</v>
      </c>
      <c r="K49" s="18" t="n">
        <v>1.05756156</v>
      </c>
      <c r="L49" s="20" t="n">
        <v>0.36458776</v>
      </c>
      <c r="M49" s="18" t="n">
        <v>0</v>
      </c>
      <c r="N49" s="20" t="n">
        <v>0</v>
      </c>
      <c r="O49" s="18" t="n">
        <v>0</v>
      </c>
      <c r="P49" s="20" t="n">
        <v>0</v>
      </c>
      <c r="Q49" s="18" t="n">
        <v>5.49552385</v>
      </c>
      <c r="R49" s="20" t="n">
        <v>0.82636645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64.80940950999999</v>
      </c>
      <c r="F55" s="20" t="n">
        <v>1.66257779</v>
      </c>
      <c r="G55" s="18" t="n">
        <v>19.6576765</v>
      </c>
      <c r="H55" s="20" t="n">
        <v>1.63025136</v>
      </c>
      <c r="I55" s="18" t="s">
        <v>349</v>
      </c>
      <c r="J55" s="20" t="s">
        <v>349</v>
      </c>
      <c r="K55" s="18" t="n">
        <v>1.22283457</v>
      </c>
      <c r="L55" s="20" t="n">
        <v>0.32839488</v>
      </c>
      <c r="M55" s="18" t="n">
        <v>0</v>
      </c>
      <c r="N55" s="20" t="n">
        <v>0</v>
      </c>
      <c r="O55" s="18" t="n">
        <v>0</v>
      </c>
      <c r="P55" s="20" t="n">
        <v>0</v>
      </c>
      <c r="Q55" s="18" t="n">
        <v>14.31007942</v>
      </c>
      <c r="R55" s="20" t="n">
        <v>1.27659113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87.76831002</v>
      </c>
      <c r="F57" s="20" t="n">
        <v>1.03742646</v>
      </c>
      <c r="G57" s="18" t="n">
        <v>9.944521630000001</v>
      </c>
      <c r="H57" s="20" t="n">
        <v>1.02360604</v>
      </c>
      <c r="I57" s="18" t="s">
        <v>349</v>
      </c>
      <c r="J57" s="20" t="s">
        <v>349</v>
      </c>
      <c r="K57" s="18" t="n">
        <v>0.71973206</v>
      </c>
      <c r="L57" s="20" t="n">
        <v>0.33319255</v>
      </c>
      <c r="M57" s="18" t="n">
        <v>0</v>
      </c>
      <c r="N57" s="20" t="n">
        <v>0</v>
      </c>
      <c r="O57" s="18" t="n">
        <v>0</v>
      </c>
      <c r="P57" s="20" t="n">
        <v>0</v>
      </c>
      <c r="Q57" s="18" t="n">
        <v>1.56743628</v>
      </c>
      <c r="R57" s="20" t="n">
        <v>0.37864503</v>
      </c>
    </row>
    <row r="58" spans="1:18">
      <c r="A58" s="15" t="s">
        <v>400</v>
      </c>
      <c r="B58" s="17" t="n">
        <v>7267</v>
      </c>
      <c r="C58" s="18">
        <f>(6083.0/B58*100)</f>
        <v/>
      </c>
      <c r="D58" s="19" t="n">
        <v>1184</v>
      </c>
      <c r="E58" s="18" t="n">
        <v>79.79446996999999</v>
      </c>
      <c r="F58" s="20" t="n">
        <v>1.40104839</v>
      </c>
      <c r="G58" s="18" t="n">
        <v>14.74732244</v>
      </c>
      <c r="H58" s="20" t="n">
        <v>1.28558965</v>
      </c>
      <c r="I58" s="18" t="s">
        <v>349</v>
      </c>
      <c r="J58" s="20" t="s">
        <v>349</v>
      </c>
      <c r="K58" s="18" t="n">
        <v>1.56004553</v>
      </c>
      <c r="L58" s="20" t="n">
        <v>0.43910799</v>
      </c>
      <c r="M58" s="18" t="n">
        <v>0</v>
      </c>
      <c r="N58" s="20" t="n">
        <v>0</v>
      </c>
      <c r="O58" s="18" t="n">
        <v>0</v>
      </c>
      <c r="P58" s="20" t="n">
        <v>0</v>
      </c>
      <c r="Q58" s="18" t="n">
        <v>3.89816206</v>
      </c>
      <c r="R58" s="20" t="n">
        <v>0.58919619</v>
      </c>
    </row>
    <row r="59" spans="1:18">
      <c r="A59" s="15" t="s">
        <v>401</v>
      </c>
      <c r="B59" s="17" t="n">
        <v>4826</v>
      </c>
      <c r="C59" s="18">
        <f>(4023.0/B59*100)</f>
        <v/>
      </c>
      <c r="D59" s="19" t="n">
        <v>803</v>
      </c>
      <c r="E59" s="18" t="n">
        <v>86.7620723</v>
      </c>
      <c r="F59" s="20" t="n">
        <v>1.33825072</v>
      </c>
      <c r="G59" s="18" t="n">
        <v>7.08252187</v>
      </c>
      <c r="H59" s="20" t="n">
        <v>0.9593748600000001</v>
      </c>
      <c r="I59" s="18" t="s">
        <v>349</v>
      </c>
      <c r="J59" s="20" t="s">
        <v>349</v>
      </c>
      <c r="K59" s="18" t="n">
        <v>0.42567408</v>
      </c>
      <c r="L59" s="20" t="n">
        <v>0.16974128</v>
      </c>
      <c r="M59" s="18" t="n">
        <v>0</v>
      </c>
      <c r="N59" s="20" t="n">
        <v>0</v>
      </c>
      <c r="O59" s="18" t="n">
        <v>0</v>
      </c>
      <c r="P59" s="20" t="n">
        <v>0</v>
      </c>
      <c r="Q59" s="18" t="n">
        <v>5.72973176</v>
      </c>
      <c r="R59" s="20" t="n">
        <v>0.88387432</v>
      </c>
    </row>
    <row r="60" spans="1:18">
      <c r="A60" s="15" t="s">
        <v>402</v>
      </c>
      <c r="B60" s="17" t="n">
        <v>4546</v>
      </c>
      <c r="C60" s="18">
        <f>(3791.0/B60*100)</f>
        <v/>
      </c>
      <c r="D60" s="19" t="n">
        <v>755</v>
      </c>
      <c r="E60" s="18" t="n">
        <v>56.58223393</v>
      </c>
      <c r="F60" s="20" t="n">
        <v>1.7843059</v>
      </c>
      <c r="G60" s="18" t="n">
        <v>31.44347754</v>
      </c>
      <c r="H60" s="20" t="n">
        <v>1.74427231</v>
      </c>
      <c r="I60" s="18" t="s">
        <v>349</v>
      </c>
      <c r="J60" s="20" t="s">
        <v>349</v>
      </c>
      <c r="K60" s="18" t="n">
        <v>1.67340836</v>
      </c>
      <c r="L60" s="20" t="n">
        <v>0.30275082</v>
      </c>
      <c r="M60" s="18" t="n">
        <v>0.29146107</v>
      </c>
      <c r="N60" s="20" t="n">
        <v>0.29172817</v>
      </c>
      <c r="O60" s="18" t="n">
        <v>0</v>
      </c>
      <c r="P60" s="20" t="n">
        <v>0</v>
      </c>
      <c r="Q60" s="18" t="n">
        <v>10.00941909</v>
      </c>
      <c r="R60" s="20" t="n">
        <v>1.47684626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68.23546924</v>
      </c>
      <c r="F63" s="20" t="n">
        <v>1.47343606</v>
      </c>
      <c r="G63" s="18" t="n">
        <v>14.64867797</v>
      </c>
      <c r="H63" s="20" t="n">
        <v>1.14799523</v>
      </c>
      <c r="I63" s="18" t="s">
        <v>349</v>
      </c>
      <c r="J63" s="20" t="s">
        <v>349</v>
      </c>
      <c r="K63" s="18" t="n">
        <v>2.83645745</v>
      </c>
      <c r="L63" s="20" t="n">
        <v>0.59375881</v>
      </c>
      <c r="M63" s="18" t="n">
        <v>0</v>
      </c>
      <c r="N63" s="20" t="n">
        <v>0</v>
      </c>
      <c r="O63" s="18" t="n">
        <v>0</v>
      </c>
      <c r="P63" s="20" t="n">
        <v>0</v>
      </c>
      <c r="Q63" s="18" t="n">
        <v>14.27939534</v>
      </c>
      <c r="R63" s="20" t="n">
        <v>1.26935456</v>
      </c>
    </row>
    <row r="64" spans="1:18">
      <c r="A64" s="15" t="s">
        <v>406</v>
      </c>
      <c r="B64" s="17" t="n">
        <v>3634</v>
      </c>
      <c r="C64" s="18">
        <f>(3051.0/B64*100)</f>
        <v/>
      </c>
      <c r="D64" s="19" t="n">
        <v>583</v>
      </c>
      <c r="E64" s="18" t="n">
        <v>60.20606464</v>
      </c>
      <c r="F64" s="20" t="n">
        <v>2.02598266</v>
      </c>
      <c r="G64" s="18" t="n">
        <v>34.54135707</v>
      </c>
      <c r="H64" s="20" t="n">
        <v>1.95034652</v>
      </c>
      <c r="I64" s="18" t="s">
        <v>349</v>
      </c>
      <c r="J64" s="20" t="s">
        <v>349</v>
      </c>
      <c r="K64" s="18" t="n">
        <v>0.74395811</v>
      </c>
      <c r="L64" s="20" t="n">
        <v>0.37108201</v>
      </c>
      <c r="M64" s="18" t="n">
        <v>0.16599662</v>
      </c>
      <c r="N64" s="20" t="n">
        <v>0.16600279</v>
      </c>
      <c r="O64" s="18" t="n">
        <v>0</v>
      </c>
      <c r="P64" s="20" t="n">
        <v>0</v>
      </c>
      <c r="Q64" s="18" t="n">
        <v>4.34262355</v>
      </c>
      <c r="R64" s="20" t="n">
        <v>0.95521075</v>
      </c>
    </row>
    <row r="65" spans="1:18">
      <c r="A65" s="15" t="s">
        <v>407</v>
      </c>
      <c r="B65" s="17" t="n">
        <v>5325</v>
      </c>
      <c r="C65" s="18">
        <f>(4467.0/B65*100)</f>
        <v/>
      </c>
      <c r="D65" s="19" t="n">
        <v>858</v>
      </c>
      <c r="E65" s="18" t="n">
        <v>70.24813369</v>
      </c>
      <c r="F65" s="20" t="n">
        <v>1.50031717</v>
      </c>
      <c r="G65" s="18" t="n">
        <v>20.40299339</v>
      </c>
      <c r="H65" s="20" t="n">
        <v>1.49773827</v>
      </c>
      <c r="I65" s="18" t="s">
        <v>349</v>
      </c>
      <c r="J65" s="20" t="s">
        <v>349</v>
      </c>
      <c r="K65" s="18" t="n">
        <v>2.04941357</v>
      </c>
      <c r="L65" s="20" t="n">
        <v>0.50063659</v>
      </c>
      <c r="M65" s="18" t="n">
        <v>0</v>
      </c>
      <c r="N65" s="20" t="n">
        <v>0</v>
      </c>
      <c r="O65" s="18" t="n">
        <v>0</v>
      </c>
      <c r="P65" s="20" t="n">
        <v>0</v>
      </c>
      <c r="Q65" s="18" t="n">
        <v>7.29945935</v>
      </c>
      <c r="R65" s="20" t="n">
        <v>0.90694671</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63.69289357</v>
      </c>
      <c r="F69" s="20" t="n">
        <v>2.13559949</v>
      </c>
      <c r="G69" s="18" t="n">
        <v>36.0941643</v>
      </c>
      <c r="H69" s="20" t="n">
        <v>2.16307816</v>
      </c>
      <c r="I69" s="18" t="s">
        <v>349</v>
      </c>
      <c r="J69" s="20" t="s">
        <v>349</v>
      </c>
      <c r="K69" s="18" t="n">
        <v>0</v>
      </c>
      <c r="L69" s="20" t="n">
        <v>0</v>
      </c>
      <c r="M69" s="18" t="n">
        <v>0</v>
      </c>
      <c r="N69" s="20" t="n">
        <v>0</v>
      </c>
      <c r="O69" s="18" t="n">
        <v>0</v>
      </c>
      <c r="P69" s="20" t="n">
        <v>0</v>
      </c>
      <c r="Q69" s="18" t="n">
        <v>0.21294213</v>
      </c>
      <c r="R69" s="20" t="n">
        <v>0.15116759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63.58168611</v>
      </c>
      <c r="F74" s="20" t="n">
        <v>1.78094603</v>
      </c>
      <c r="G74" s="18" t="n">
        <v>23.46718805</v>
      </c>
      <c r="H74" s="20" t="n">
        <v>1.8021314</v>
      </c>
      <c r="I74" s="18" t="s">
        <v>349</v>
      </c>
      <c r="J74" s="20" t="s">
        <v>349</v>
      </c>
      <c r="K74" s="18" t="n">
        <v>3.44894405</v>
      </c>
      <c r="L74" s="20" t="n">
        <v>0.63836612</v>
      </c>
      <c r="M74" s="18" t="n">
        <v>0</v>
      </c>
      <c r="N74" s="20" t="n">
        <v>0</v>
      </c>
      <c r="O74" s="18" t="n">
        <v>0</v>
      </c>
      <c r="P74" s="20" t="n">
        <v>0</v>
      </c>
      <c r="Q74" s="18" t="n">
        <v>9.50218179</v>
      </c>
      <c r="R74" s="20" t="n">
        <v>1.18490399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64.38237433</v>
      </c>
      <c r="F78" s="20" t="n">
        <v>2.10991606</v>
      </c>
      <c r="G78" s="18" t="n">
        <v>35.37715932</v>
      </c>
      <c r="H78" s="20" t="n">
        <v>2.12781617</v>
      </c>
      <c r="I78" s="18" t="s">
        <v>349</v>
      </c>
      <c r="J78" s="20" t="s">
        <v>349</v>
      </c>
      <c r="K78" s="18" t="n">
        <v>0</v>
      </c>
      <c r="L78" s="20" t="n">
        <v>0</v>
      </c>
      <c r="M78" s="18" t="n">
        <v>0</v>
      </c>
      <c r="N78" s="20" t="n">
        <v>0</v>
      </c>
      <c r="O78" s="18" t="n">
        <v>0</v>
      </c>
      <c r="P78" s="20" t="n">
        <v>0</v>
      </c>
      <c r="Q78" s="18" t="n">
        <v>0.24046635</v>
      </c>
      <c r="R78" s="20" t="n">
        <v>0.14682766</v>
      </c>
    </row>
    <row customHeight="1" ht="25" r="79" spans="1:18">
      <c r="A79" s="15" t="s">
        <v>421</v>
      </c>
      <c r="B79" s="17" t="n">
        <v>1657</v>
      </c>
      <c r="C79" s="18">
        <f>(1382.0/B79*100)</f>
        <v/>
      </c>
      <c r="D79" s="19" t="n">
        <v>275</v>
      </c>
      <c r="E79" s="18" t="n">
        <v>58.51076429</v>
      </c>
      <c r="F79" s="20" t="n">
        <v>3.75227674</v>
      </c>
      <c r="G79" s="18" t="n">
        <v>35.31024687</v>
      </c>
      <c r="H79" s="20" t="n">
        <v>3.30043938</v>
      </c>
      <c r="I79" s="18" t="s">
        <v>349</v>
      </c>
      <c r="J79" s="20" t="s">
        <v>349</v>
      </c>
      <c r="K79" s="18" t="n">
        <v>2.00563427</v>
      </c>
      <c r="L79" s="20" t="n">
        <v>0.86864928</v>
      </c>
      <c r="M79" s="18" t="n">
        <v>0</v>
      </c>
      <c r="N79" s="20" t="n">
        <v>0</v>
      </c>
      <c r="O79" s="18" t="n">
        <v>0</v>
      </c>
      <c r="P79" s="20" t="n">
        <v>0</v>
      </c>
      <c r="Q79" s="18" t="n">
        <v>4.17335456</v>
      </c>
      <c r="R79" s="20" t="n">
        <v>1.32149963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54.45477909</v>
      </c>
      <c r="F44" s="20" t="n">
        <v>2.05980051</v>
      </c>
      <c r="G44" s="18" t="n">
        <v>40.98957</v>
      </c>
      <c r="H44" s="20" t="n">
        <v>1.92317078</v>
      </c>
      <c r="I44" s="18" t="s">
        <v>349</v>
      </c>
      <c r="J44" s="20" t="s">
        <v>349</v>
      </c>
      <c r="K44" s="18" t="n">
        <v>1.32856603</v>
      </c>
      <c r="L44" s="20" t="n">
        <v>0.42478066</v>
      </c>
      <c r="M44" s="18" t="n">
        <v>0</v>
      </c>
      <c r="N44" s="20" t="n">
        <v>0</v>
      </c>
      <c r="O44" s="18" t="n">
        <v>0</v>
      </c>
      <c r="P44" s="20" t="n">
        <v>0</v>
      </c>
      <c r="Q44" s="18" t="n">
        <v>3.22708488</v>
      </c>
      <c r="R44" s="20" t="n">
        <v>0.7688868</v>
      </c>
    </row>
    <row r="45" spans="1:18">
      <c r="A45" s="15" t="s">
        <v>387</v>
      </c>
      <c r="B45" s="17" t="n">
        <v>5519</v>
      </c>
      <c r="C45" s="18">
        <f>(4609.0/B45*100)</f>
        <v/>
      </c>
      <c r="D45" s="19" t="n">
        <v>910</v>
      </c>
      <c r="E45" s="18" t="n">
        <v>50.05090126</v>
      </c>
      <c r="F45" s="20" t="n">
        <v>1.9386299</v>
      </c>
      <c r="G45" s="18" t="n">
        <v>43.07318422</v>
      </c>
      <c r="H45" s="20" t="n">
        <v>1.89837252</v>
      </c>
      <c r="I45" s="18" t="s">
        <v>349</v>
      </c>
      <c r="J45" s="20" t="s">
        <v>349</v>
      </c>
      <c r="K45" s="18" t="n">
        <v>4.09558822</v>
      </c>
      <c r="L45" s="20" t="n">
        <v>0.68238901</v>
      </c>
      <c r="M45" s="18" t="n">
        <v>0</v>
      </c>
      <c r="N45" s="20" t="n">
        <v>0</v>
      </c>
      <c r="O45" s="18" t="n">
        <v>0</v>
      </c>
      <c r="P45" s="20" t="n">
        <v>0</v>
      </c>
      <c r="Q45" s="18" t="n">
        <v>2.7803263</v>
      </c>
      <c r="R45" s="20" t="n">
        <v>0.6268705999999999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39.51193134</v>
      </c>
      <c r="F49" s="20" t="n">
        <v>1.84459393</v>
      </c>
      <c r="G49" s="18" t="n">
        <v>57.75540009</v>
      </c>
      <c r="H49" s="20" t="n">
        <v>1.83939556</v>
      </c>
      <c r="I49" s="18" t="s">
        <v>349</v>
      </c>
      <c r="J49" s="20" t="s">
        <v>349</v>
      </c>
      <c r="K49" s="18" t="n">
        <v>1.05756156</v>
      </c>
      <c r="L49" s="20" t="n">
        <v>0.36458776</v>
      </c>
      <c r="M49" s="18" t="n">
        <v>0</v>
      </c>
      <c r="N49" s="20" t="n">
        <v>0</v>
      </c>
      <c r="O49" s="18" t="n">
        <v>0</v>
      </c>
      <c r="P49" s="20" t="n">
        <v>0</v>
      </c>
      <c r="Q49" s="18" t="n">
        <v>1.67510701</v>
      </c>
      <c r="R49" s="20" t="n">
        <v>0.413184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44.84649456</v>
      </c>
      <c r="F55" s="20" t="n">
        <v>1.68869786</v>
      </c>
      <c r="G55" s="18" t="n">
        <v>51.67172286</v>
      </c>
      <c r="H55" s="20" t="n">
        <v>1.76035498</v>
      </c>
      <c r="I55" s="18" t="s">
        <v>349</v>
      </c>
      <c r="J55" s="20" t="s">
        <v>349</v>
      </c>
      <c r="K55" s="18" t="n">
        <v>1.22283457</v>
      </c>
      <c r="L55" s="20" t="n">
        <v>0.32839488</v>
      </c>
      <c r="M55" s="18" t="n">
        <v>0</v>
      </c>
      <c r="N55" s="20" t="n">
        <v>0</v>
      </c>
      <c r="O55" s="18" t="n">
        <v>0.10320095</v>
      </c>
      <c r="P55" s="20" t="n">
        <v>0.10228742</v>
      </c>
      <c r="Q55" s="18" t="n">
        <v>2.15574706</v>
      </c>
      <c r="R55" s="20" t="n">
        <v>0.48563297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48.11571331</v>
      </c>
      <c r="F57" s="20" t="n">
        <v>1.8327511</v>
      </c>
      <c r="G57" s="18" t="n">
        <v>50.18458027</v>
      </c>
      <c r="H57" s="20" t="n">
        <v>1.78678524</v>
      </c>
      <c r="I57" s="18" t="s">
        <v>349</v>
      </c>
      <c r="J57" s="20" t="s">
        <v>349</v>
      </c>
      <c r="K57" s="18" t="n">
        <v>0.71973206</v>
      </c>
      <c r="L57" s="20" t="n">
        <v>0.33319255</v>
      </c>
      <c r="M57" s="18" t="n">
        <v>0</v>
      </c>
      <c r="N57" s="20" t="n">
        <v>0</v>
      </c>
      <c r="O57" s="18" t="n">
        <v>0</v>
      </c>
      <c r="P57" s="20" t="n">
        <v>0</v>
      </c>
      <c r="Q57" s="18" t="n">
        <v>0.97997436</v>
      </c>
      <c r="R57" s="20" t="n">
        <v>0.36705506</v>
      </c>
    </row>
    <row r="58" spans="1:18">
      <c r="A58" s="15" t="s">
        <v>400</v>
      </c>
      <c r="B58" s="17" t="n">
        <v>7267</v>
      </c>
      <c r="C58" s="18">
        <f>(6083.0/B58*100)</f>
        <v/>
      </c>
      <c r="D58" s="19" t="n">
        <v>1184</v>
      </c>
      <c r="E58" s="18" t="n">
        <v>52.21366794</v>
      </c>
      <c r="F58" s="20" t="n">
        <v>1.67363816</v>
      </c>
      <c r="G58" s="18" t="n">
        <v>43.9845793</v>
      </c>
      <c r="H58" s="20" t="n">
        <v>1.70617789</v>
      </c>
      <c r="I58" s="18" t="s">
        <v>349</v>
      </c>
      <c r="J58" s="20" t="s">
        <v>349</v>
      </c>
      <c r="K58" s="18" t="n">
        <v>1.56004553</v>
      </c>
      <c r="L58" s="20" t="n">
        <v>0.43910799</v>
      </c>
      <c r="M58" s="18" t="n">
        <v>0</v>
      </c>
      <c r="N58" s="20" t="n">
        <v>0</v>
      </c>
      <c r="O58" s="18" t="n">
        <v>0.26141161</v>
      </c>
      <c r="P58" s="20" t="n">
        <v>0.18468855</v>
      </c>
      <c r="Q58" s="18" t="n">
        <v>1.98029561</v>
      </c>
      <c r="R58" s="20" t="n">
        <v>0.44792115</v>
      </c>
    </row>
    <row r="59" spans="1:18">
      <c r="A59" s="15" t="s">
        <v>401</v>
      </c>
      <c r="B59" s="17" t="n">
        <v>4826</v>
      </c>
      <c r="C59" s="18">
        <f>(4023.0/B59*100)</f>
        <v/>
      </c>
      <c r="D59" s="19" t="n">
        <v>803</v>
      </c>
      <c r="E59" s="18" t="n">
        <v>60.17877918</v>
      </c>
      <c r="F59" s="20" t="n">
        <v>2.05795039</v>
      </c>
      <c r="G59" s="18" t="n">
        <v>37.14617464</v>
      </c>
      <c r="H59" s="20" t="n">
        <v>2.10149657</v>
      </c>
      <c r="I59" s="18" t="s">
        <v>349</v>
      </c>
      <c r="J59" s="20" t="s">
        <v>349</v>
      </c>
      <c r="K59" s="18" t="n">
        <v>0.42567408</v>
      </c>
      <c r="L59" s="20" t="n">
        <v>0.16974128</v>
      </c>
      <c r="M59" s="18" t="n">
        <v>0</v>
      </c>
      <c r="N59" s="20" t="n">
        <v>0</v>
      </c>
      <c r="O59" s="18" t="n">
        <v>0</v>
      </c>
      <c r="P59" s="20" t="n">
        <v>0</v>
      </c>
      <c r="Q59" s="18" t="n">
        <v>2.2493721</v>
      </c>
      <c r="R59" s="20" t="n">
        <v>0.8835001300000001</v>
      </c>
    </row>
    <row r="60" spans="1:18">
      <c r="A60" s="15" t="s">
        <v>402</v>
      </c>
      <c r="B60" s="17" t="n">
        <v>4546</v>
      </c>
      <c r="C60" s="18">
        <f>(3791.0/B60*100)</f>
        <v/>
      </c>
      <c r="D60" s="19" t="n">
        <v>755</v>
      </c>
      <c r="E60" s="18" t="n">
        <v>56.48865657</v>
      </c>
      <c r="F60" s="20" t="n">
        <v>2.06067281</v>
      </c>
      <c r="G60" s="18" t="n">
        <v>38.47592543</v>
      </c>
      <c r="H60" s="20" t="n">
        <v>2.04836197</v>
      </c>
      <c r="I60" s="18" t="s">
        <v>349</v>
      </c>
      <c r="J60" s="20" t="s">
        <v>349</v>
      </c>
      <c r="K60" s="18" t="n">
        <v>1.98316141</v>
      </c>
      <c r="L60" s="20" t="n">
        <v>0.35908596</v>
      </c>
      <c r="M60" s="18" t="n">
        <v>0</v>
      </c>
      <c r="N60" s="20" t="n">
        <v>0</v>
      </c>
      <c r="O60" s="18" t="n">
        <v>0</v>
      </c>
      <c r="P60" s="20" t="n">
        <v>0</v>
      </c>
      <c r="Q60" s="18" t="n">
        <v>3.05225659</v>
      </c>
      <c r="R60" s="20" t="n">
        <v>0.7969177200000001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49.39285223</v>
      </c>
      <c r="F63" s="20" t="n">
        <v>2.10073111</v>
      </c>
      <c r="G63" s="18" t="n">
        <v>45.62043901</v>
      </c>
      <c r="H63" s="20" t="n">
        <v>2.03634829</v>
      </c>
      <c r="I63" s="18" t="s">
        <v>349</v>
      </c>
      <c r="J63" s="20" t="s">
        <v>349</v>
      </c>
      <c r="K63" s="18" t="n">
        <v>2.83645745</v>
      </c>
      <c r="L63" s="20" t="n">
        <v>0.59375881</v>
      </c>
      <c r="M63" s="18" t="n">
        <v>0</v>
      </c>
      <c r="N63" s="20" t="n">
        <v>0</v>
      </c>
      <c r="O63" s="18" t="n">
        <v>0</v>
      </c>
      <c r="P63" s="20" t="n">
        <v>0</v>
      </c>
      <c r="Q63" s="18" t="n">
        <v>2.15025131</v>
      </c>
      <c r="R63" s="20" t="n">
        <v>0.52111249</v>
      </c>
    </row>
    <row r="64" spans="1:18">
      <c r="A64" s="15" t="s">
        <v>406</v>
      </c>
      <c r="B64" s="17" t="n">
        <v>3634</v>
      </c>
      <c r="C64" s="18">
        <f>(3051.0/B64*100)</f>
        <v/>
      </c>
      <c r="D64" s="19" t="n">
        <v>583</v>
      </c>
      <c r="E64" s="18" t="n">
        <v>40.26240206</v>
      </c>
      <c r="F64" s="20" t="n">
        <v>2.16951006</v>
      </c>
      <c r="G64" s="18" t="n">
        <v>58.02381239</v>
      </c>
      <c r="H64" s="20" t="n">
        <v>2.23494127</v>
      </c>
      <c r="I64" s="18" t="s">
        <v>349</v>
      </c>
      <c r="J64" s="20" t="s">
        <v>349</v>
      </c>
      <c r="K64" s="18" t="n">
        <v>0.74395811</v>
      </c>
      <c r="L64" s="20" t="n">
        <v>0.37108201</v>
      </c>
      <c r="M64" s="18" t="n">
        <v>0</v>
      </c>
      <c r="N64" s="20" t="n">
        <v>0</v>
      </c>
      <c r="O64" s="18" t="n">
        <v>0</v>
      </c>
      <c r="P64" s="20" t="n">
        <v>0</v>
      </c>
      <c r="Q64" s="18" t="n">
        <v>0.96982744</v>
      </c>
      <c r="R64" s="20" t="n">
        <v>0.44973663</v>
      </c>
    </row>
    <row r="65" spans="1:18">
      <c r="A65" s="15" t="s">
        <v>407</v>
      </c>
      <c r="B65" s="17" t="n">
        <v>5325</v>
      </c>
      <c r="C65" s="18">
        <f>(4467.0/B65*100)</f>
        <v/>
      </c>
      <c r="D65" s="19" t="n">
        <v>858</v>
      </c>
      <c r="E65" s="18" t="n">
        <v>44.82601731</v>
      </c>
      <c r="F65" s="20" t="n">
        <v>1.68226232</v>
      </c>
      <c r="G65" s="18" t="n">
        <v>51.30471653</v>
      </c>
      <c r="H65" s="20" t="n">
        <v>1.77060278</v>
      </c>
      <c r="I65" s="18" t="s">
        <v>349</v>
      </c>
      <c r="J65" s="20" t="s">
        <v>349</v>
      </c>
      <c r="K65" s="18" t="n">
        <v>2.04941357</v>
      </c>
      <c r="L65" s="20" t="n">
        <v>0.50063659</v>
      </c>
      <c r="M65" s="18" t="n">
        <v>0</v>
      </c>
      <c r="N65" s="20" t="n">
        <v>0</v>
      </c>
      <c r="O65" s="18" t="n">
        <v>0</v>
      </c>
      <c r="P65" s="20" t="n">
        <v>0</v>
      </c>
      <c r="Q65" s="18" t="n">
        <v>1.81985259</v>
      </c>
      <c r="R65" s="20" t="n">
        <v>0.46470416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50.17039017</v>
      </c>
      <c r="F69" s="20" t="n">
        <v>1.86782251</v>
      </c>
      <c r="G69" s="18" t="n">
        <v>49.82960983</v>
      </c>
      <c r="H69" s="20" t="n">
        <v>1.86782251</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43.27437477</v>
      </c>
      <c r="F74" s="20" t="n">
        <v>1.8409715</v>
      </c>
      <c r="G74" s="18" t="n">
        <v>49.33667655</v>
      </c>
      <c r="H74" s="20" t="n">
        <v>1.92866213</v>
      </c>
      <c r="I74" s="18" t="s">
        <v>349</v>
      </c>
      <c r="J74" s="20" t="s">
        <v>349</v>
      </c>
      <c r="K74" s="18" t="n">
        <v>3.79650799</v>
      </c>
      <c r="L74" s="20" t="n">
        <v>0.68782573</v>
      </c>
      <c r="M74" s="18" t="n">
        <v>0</v>
      </c>
      <c r="N74" s="20" t="n">
        <v>0</v>
      </c>
      <c r="O74" s="18" t="n">
        <v>0</v>
      </c>
      <c r="P74" s="20" t="n">
        <v>0</v>
      </c>
      <c r="Q74" s="18" t="n">
        <v>3.5924407</v>
      </c>
      <c r="R74" s="20" t="n">
        <v>0.70576205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10.85654445</v>
      </c>
      <c r="F78" s="20" t="n">
        <v>1.09049573</v>
      </c>
      <c r="G78" s="18" t="n">
        <v>89.14345555</v>
      </c>
      <c r="H78" s="20" t="n">
        <v>1.09049573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(1382.0/B79*100)</f>
        <v/>
      </c>
      <c r="D79" s="19" t="n">
        <v>275</v>
      </c>
      <c r="E79" s="18" t="n">
        <v>30.1519574</v>
      </c>
      <c r="F79" s="20" t="n">
        <v>2.94637125</v>
      </c>
      <c r="G79" s="18" t="n">
        <v>64.15438672000001</v>
      </c>
      <c r="H79" s="20" t="n">
        <v>3.17405332</v>
      </c>
      <c r="I79" s="18" t="s">
        <v>349</v>
      </c>
      <c r="J79" s="20" t="s">
        <v>349</v>
      </c>
      <c r="K79" s="18" t="n">
        <v>2.00563427</v>
      </c>
      <c r="L79" s="20" t="n">
        <v>0.86864928</v>
      </c>
      <c r="M79" s="18" t="n">
        <v>0</v>
      </c>
      <c r="N79" s="20" t="n">
        <v>0</v>
      </c>
      <c r="O79" s="18" t="n">
        <v>0</v>
      </c>
      <c r="P79" s="20" t="n">
        <v>0</v>
      </c>
      <c r="Q79" s="18" t="n">
        <v>3.6880216</v>
      </c>
      <c r="R79" s="20" t="n">
        <v>1.09399728</v>
      </c>
    </row>
    <row r="80" spans="1:18">
      <c r="A80" s="15" t="s">
        <v>422</v>
      </c>
      <c r="B80" s="17" t="n">
        <v>7841</v>
      </c>
      <c r="C80" s="18">
        <f>(6522.0/B80*100)</f>
        <v/>
      </c>
      <c r="D80" s="19" t="n">
        <v>1319</v>
      </c>
      <c r="E80" s="18" t="n">
        <v>33.29253249</v>
      </c>
      <c r="F80" s="20" t="n">
        <v>1.89736768</v>
      </c>
      <c r="G80" s="18" t="n">
        <v>66.3880676</v>
      </c>
      <c r="H80" s="20" t="n">
        <v>1.90870385</v>
      </c>
      <c r="I80" s="18" t="s">
        <v>349</v>
      </c>
      <c r="J80" s="20" t="s">
        <v>349</v>
      </c>
      <c r="K80" s="18" t="n">
        <v>0</v>
      </c>
      <c r="L80" s="20" t="n">
        <v>0</v>
      </c>
      <c r="M80" s="18" t="n">
        <v>0</v>
      </c>
      <c r="N80" s="20" t="n">
        <v>0</v>
      </c>
      <c r="O80" s="18" t="n">
        <v>0</v>
      </c>
      <c r="P80" s="20" t="n">
        <v>0</v>
      </c>
      <c r="Q80" s="18" t="n">
        <v>0.31939991</v>
      </c>
      <c r="R80" s="20" t="n">
        <v>0.18344842</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66.21190281</v>
      </c>
      <c r="F44" s="20" t="n">
        <v>2.07300808</v>
      </c>
      <c r="G44" s="18" t="n">
        <v>26.0627473</v>
      </c>
      <c r="H44" s="20" t="n">
        <v>1.66981413</v>
      </c>
      <c r="I44" s="18" t="s">
        <v>349</v>
      </c>
      <c r="J44" s="20" t="s">
        <v>349</v>
      </c>
      <c r="K44" s="18" t="n">
        <v>1.42762044</v>
      </c>
      <c r="L44" s="20" t="n">
        <v>0.43586946</v>
      </c>
      <c r="M44" s="18" t="n">
        <v>0</v>
      </c>
      <c r="N44" s="20" t="n">
        <v>0</v>
      </c>
      <c r="O44" s="18" t="n">
        <v>0.22388368</v>
      </c>
      <c r="P44" s="20" t="n">
        <v>0.16187744</v>
      </c>
      <c r="Q44" s="18" t="n">
        <v>6.07384578</v>
      </c>
      <c r="R44" s="20" t="n">
        <v>1.06609123</v>
      </c>
    </row>
    <row r="45" spans="1:18">
      <c r="A45" s="15" t="s">
        <v>387</v>
      </c>
      <c r="B45" s="17" t="n">
        <v>5519</v>
      </c>
      <c r="C45" s="18">
        <f>(4609.0/B45*100)</f>
        <v/>
      </c>
      <c r="D45" s="19" t="n">
        <v>910</v>
      </c>
      <c r="E45" s="18" t="n">
        <v>74.65256654</v>
      </c>
      <c r="F45" s="20" t="n">
        <v>1.44191726</v>
      </c>
      <c r="G45" s="18" t="n">
        <v>15.78749061</v>
      </c>
      <c r="H45" s="20" t="n">
        <v>1.30486003</v>
      </c>
      <c r="I45" s="18" t="s">
        <v>349</v>
      </c>
      <c r="J45" s="20" t="s">
        <v>349</v>
      </c>
      <c r="K45" s="18" t="n">
        <v>4.27636986</v>
      </c>
      <c r="L45" s="20" t="n">
        <v>0.7056824900000001</v>
      </c>
      <c r="M45" s="18" t="n">
        <v>0.21688189</v>
      </c>
      <c r="N45" s="20" t="n">
        <v>0.14659143</v>
      </c>
      <c r="O45" s="18" t="n">
        <v>1.79710224</v>
      </c>
      <c r="P45" s="20" t="n">
        <v>0.45262853</v>
      </c>
      <c r="Q45" s="18" t="n">
        <v>3.26958886</v>
      </c>
      <c r="R45" s="20" t="n">
        <v>0.64548783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68.72462573</v>
      </c>
      <c r="F49" s="20" t="n">
        <v>1.82993135</v>
      </c>
      <c r="G49" s="18" t="n">
        <v>26.5906482</v>
      </c>
      <c r="H49" s="20" t="n">
        <v>1.87119699</v>
      </c>
      <c r="I49" s="18" t="s">
        <v>349</v>
      </c>
      <c r="J49" s="20" t="s">
        <v>349</v>
      </c>
      <c r="K49" s="18" t="n">
        <v>1.33348035</v>
      </c>
      <c r="L49" s="20" t="n">
        <v>0.40687642</v>
      </c>
      <c r="M49" s="18" t="n">
        <v>0</v>
      </c>
      <c r="N49" s="20" t="n">
        <v>0</v>
      </c>
      <c r="O49" s="18" t="n">
        <v>0</v>
      </c>
      <c r="P49" s="20" t="n">
        <v>0</v>
      </c>
      <c r="Q49" s="18" t="n">
        <v>3.35124571</v>
      </c>
      <c r="R49" s="20" t="n">
        <v>0.69007028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59.8715188</v>
      </c>
      <c r="F55" s="20" t="n">
        <v>1.74753982</v>
      </c>
      <c r="G55" s="18" t="n">
        <v>35.54438361</v>
      </c>
      <c r="H55" s="20" t="n">
        <v>1.75117555</v>
      </c>
      <c r="I55" s="18" t="s">
        <v>349</v>
      </c>
      <c r="J55" s="20" t="s">
        <v>349</v>
      </c>
      <c r="K55" s="18" t="n">
        <v>1.42122772</v>
      </c>
      <c r="L55" s="20" t="n">
        <v>0.35794486</v>
      </c>
      <c r="M55" s="18" t="n">
        <v>0</v>
      </c>
      <c r="N55" s="20" t="n">
        <v>0</v>
      </c>
      <c r="O55" s="18" t="n">
        <v>0.46530678</v>
      </c>
      <c r="P55" s="20" t="n">
        <v>0.20206449</v>
      </c>
      <c r="Q55" s="18" t="n">
        <v>2.69756308</v>
      </c>
      <c r="R55" s="20" t="n">
        <v>0.47803658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71.28631037</v>
      </c>
      <c r="F57" s="20" t="n">
        <v>1.44633732</v>
      </c>
      <c r="G57" s="18" t="n">
        <v>26.37009235</v>
      </c>
      <c r="H57" s="20" t="n">
        <v>1.45750088</v>
      </c>
      <c r="I57" s="18" t="s">
        <v>349</v>
      </c>
      <c r="J57" s="20" t="s">
        <v>349</v>
      </c>
      <c r="K57" s="18" t="n">
        <v>0.82213252</v>
      </c>
      <c r="L57" s="20" t="n">
        <v>0.34959863</v>
      </c>
      <c r="M57" s="18" t="n">
        <v>0</v>
      </c>
      <c r="N57" s="20" t="n">
        <v>0</v>
      </c>
      <c r="O57" s="18" t="n">
        <v>0</v>
      </c>
      <c r="P57" s="20" t="n">
        <v>0</v>
      </c>
      <c r="Q57" s="18" t="n">
        <v>1.52146476</v>
      </c>
      <c r="R57" s="20" t="n">
        <v>0.39478034</v>
      </c>
    </row>
    <row r="58" spans="1:18">
      <c r="A58" s="15" t="s">
        <v>400</v>
      </c>
      <c r="B58" s="17" t="n">
        <v>7267</v>
      </c>
      <c r="C58" s="18">
        <f>(6083.0/B58*100)</f>
        <v/>
      </c>
      <c r="D58" s="19" t="n">
        <v>1184</v>
      </c>
      <c r="E58" s="18" t="n">
        <v>70.89112032</v>
      </c>
      <c r="F58" s="20" t="n">
        <v>1.53826042</v>
      </c>
      <c r="G58" s="18" t="n">
        <v>22.62327414</v>
      </c>
      <c r="H58" s="20" t="n">
        <v>1.48132737</v>
      </c>
      <c r="I58" s="18" t="s">
        <v>349</v>
      </c>
      <c r="J58" s="20" t="s">
        <v>349</v>
      </c>
      <c r="K58" s="18" t="n">
        <v>1.56004553</v>
      </c>
      <c r="L58" s="20" t="n">
        <v>0.43910799</v>
      </c>
      <c r="M58" s="18" t="n">
        <v>0</v>
      </c>
      <c r="N58" s="20" t="n">
        <v>0</v>
      </c>
      <c r="O58" s="18" t="n">
        <v>0.87965185</v>
      </c>
      <c r="P58" s="20" t="n">
        <v>0.26465121</v>
      </c>
      <c r="Q58" s="18" t="n">
        <v>4.04590815</v>
      </c>
      <c r="R58" s="20" t="n">
        <v>0.7085553</v>
      </c>
    </row>
    <row r="59" spans="1:18">
      <c r="A59" s="15" t="s">
        <v>401</v>
      </c>
      <c r="B59" s="17" t="n">
        <v>4826</v>
      </c>
      <c r="C59" s="18">
        <f>(4023.0/B59*100)</f>
        <v/>
      </c>
      <c r="D59" s="19" t="n">
        <v>803</v>
      </c>
      <c r="E59" s="18" t="n">
        <v>74.41881782</v>
      </c>
      <c r="F59" s="20" t="n">
        <v>1.93515716</v>
      </c>
      <c r="G59" s="18" t="n">
        <v>23.93284012</v>
      </c>
      <c r="H59" s="20" t="n">
        <v>1.7478096</v>
      </c>
      <c r="I59" s="18" t="s">
        <v>349</v>
      </c>
      <c r="J59" s="20" t="s">
        <v>349</v>
      </c>
      <c r="K59" s="18" t="n">
        <v>0.56558975</v>
      </c>
      <c r="L59" s="20" t="n">
        <v>0.22230272</v>
      </c>
      <c r="M59" s="18" t="n">
        <v>0</v>
      </c>
      <c r="N59" s="20" t="n">
        <v>0</v>
      </c>
      <c r="O59" s="18" t="n">
        <v>0.25897859</v>
      </c>
      <c r="P59" s="20" t="n">
        <v>0.1835251</v>
      </c>
      <c r="Q59" s="18" t="n">
        <v>0.82377372</v>
      </c>
      <c r="R59" s="20" t="n">
        <v>0.41425879</v>
      </c>
    </row>
    <row r="60" spans="1:18">
      <c r="A60" s="15" t="s">
        <v>402</v>
      </c>
      <c r="B60" s="17" t="n">
        <v>4546</v>
      </c>
      <c r="C60" s="18">
        <f>(3791.0/B60*100)</f>
        <v/>
      </c>
      <c r="D60" s="19" t="n">
        <v>755</v>
      </c>
      <c r="E60" s="18" t="n">
        <v>68.10110462999999</v>
      </c>
      <c r="F60" s="20" t="n">
        <v>1.94099789</v>
      </c>
      <c r="G60" s="18" t="n">
        <v>21.70454673</v>
      </c>
      <c r="H60" s="20" t="n">
        <v>1.58550912</v>
      </c>
      <c r="I60" s="18" t="s">
        <v>349</v>
      </c>
      <c r="J60" s="20" t="s">
        <v>349</v>
      </c>
      <c r="K60" s="18" t="n">
        <v>3.11801173</v>
      </c>
      <c r="L60" s="20" t="n">
        <v>0.58527189</v>
      </c>
      <c r="M60" s="18" t="n">
        <v>0</v>
      </c>
      <c r="N60" s="20" t="n">
        <v>0</v>
      </c>
      <c r="O60" s="18" t="n">
        <v>0.85168132</v>
      </c>
      <c r="P60" s="20" t="n">
        <v>0.40700289</v>
      </c>
      <c r="Q60" s="18" t="n">
        <v>6.22465559</v>
      </c>
      <c r="R60" s="20" t="n">
        <v>0.95730604</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66.36445486</v>
      </c>
      <c r="F63" s="20" t="n">
        <v>1.76404577</v>
      </c>
      <c r="G63" s="18" t="n">
        <v>26.00589717</v>
      </c>
      <c r="H63" s="20" t="n">
        <v>1.6407036</v>
      </c>
      <c r="I63" s="18" t="s">
        <v>349</v>
      </c>
      <c r="J63" s="20" t="s">
        <v>349</v>
      </c>
      <c r="K63" s="18" t="n">
        <v>3.38698418</v>
      </c>
      <c r="L63" s="20" t="n">
        <v>0.61909411</v>
      </c>
      <c r="M63" s="18" t="n">
        <v>0</v>
      </c>
      <c r="N63" s="20" t="n">
        <v>0</v>
      </c>
      <c r="O63" s="18" t="n">
        <v>0.13132651</v>
      </c>
      <c r="P63" s="20" t="n">
        <v>0.13180133</v>
      </c>
      <c r="Q63" s="18" t="n">
        <v>4.11133729</v>
      </c>
      <c r="R63" s="20" t="n">
        <v>0.6413056499999999</v>
      </c>
    </row>
    <row r="64" spans="1:18">
      <c r="A64" s="15" t="s">
        <v>406</v>
      </c>
      <c r="B64" s="17" t="n">
        <v>3634</v>
      </c>
      <c r="C64" s="18">
        <f>(3051.0/B64*100)</f>
        <v/>
      </c>
      <c r="D64" s="19" t="n">
        <v>583</v>
      </c>
      <c r="E64" s="18" t="n">
        <v>53.07076029</v>
      </c>
      <c r="F64" s="20" t="n">
        <v>2.14837484</v>
      </c>
      <c r="G64" s="18" t="n">
        <v>43.03232905</v>
      </c>
      <c r="H64" s="20" t="n">
        <v>2.1082806</v>
      </c>
      <c r="I64" s="18" t="s">
        <v>349</v>
      </c>
      <c r="J64" s="20" t="s">
        <v>349</v>
      </c>
      <c r="K64" s="18" t="n">
        <v>1.66252522</v>
      </c>
      <c r="L64" s="20" t="n">
        <v>0.55203548</v>
      </c>
      <c r="M64" s="18" t="n">
        <v>0</v>
      </c>
      <c r="N64" s="20" t="n">
        <v>0</v>
      </c>
      <c r="O64" s="18" t="n">
        <v>0.53260347</v>
      </c>
      <c r="P64" s="20" t="n">
        <v>0.1704265</v>
      </c>
      <c r="Q64" s="18" t="n">
        <v>1.70178197</v>
      </c>
      <c r="R64" s="20" t="n">
        <v>0.64599995</v>
      </c>
    </row>
    <row r="65" spans="1:18">
      <c r="A65" s="15" t="s">
        <v>407</v>
      </c>
      <c r="B65" s="17" t="n">
        <v>5325</v>
      </c>
      <c r="C65" s="18">
        <f>(4467.0/B65*100)</f>
        <v/>
      </c>
      <c r="D65" s="19" t="n">
        <v>858</v>
      </c>
      <c r="E65" s="18" t="n">
        <v>68.05190168999999</v>
      </c>
      <c r="F65" s="20" t="n">
        <v>1.48926719</v>
      </c>
      <c r="G65" s="18" t="n">
        <v>25.92882094</v>
      </c>
      <c r="H65" s="20" t="n">
        <v>1.53530825</v>
      </c>
      <c r="I65" s="18" t="s">
        <v>349</v>
      </c>
      <c r="J65" s="20" t="s">
        <v>349</v>
      </c>
      <c r="K65" s="18" t="n">
        <v>2.59108076</v>
      </c>
      <c r="L65" s="20" t="n">
        <v>0.53347503</v>
      </c>
      <c r="M65" s="18" t="n">
        <v>0.21102607</v>
      </c>
      <c r="N65" s="20" t="n">
        <v>0.15082068</v>
      </c>
      <c r="O65" s="18" t="n">
        <v>0</v>
      </c>
      <c r="P65" s="20" t="n">
        <v>0</v>
      </c>
      <c r="Q65" s="18" t="n">
        <v>3.21717055</v>
      </c>
      <c r="R65" s="20" t="n">
        <v>0.61305025</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67.75045055</v>
      </c>
      <c r="F69" s="20" t="n">
        <v>1.48915603</v>
      </c>
      <c r="G69" s="18" t="n">
        <v>32.1299213</v>
      </c>
      <c r="H69" s="20" t="n">
        <v>1.48762362</v>
      </c>
      <c r="I69" s="18" t="s">
        <v>349</v>
      </c>
      <c r="J69" s="20" t="s">
        <v>349</v>
      </c>
      <c r="K69" s="18" t="n">
        <v>0</v>
      </c>
      <c r="L69" s="20" t="n">
        <v>0</v>
      </c>
      <c r="M69" s="18" t="n">
        <v>0</v>
      </c>
      <c r="N69" s="20" t="n">
        <v>0</v>
      </c>
      <c r="O69" s="18" t="n">
        <v>0</v>
      </c>
      <c r="P69" s="20" t="n">
        <v>0</v>
      </c>
      <c r="Q69" s="18" t="n">
        <v>0.11962815</v>
      </c>
      <c r="R69" s="20" t="n">
        <v>0.1193354</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69.44273788</v>
      </c>
      <c r="F74" s="20" t="n">
        <v>1.70250847</v>
      </c>
      <c r="G74" s="18" t="n">
        <v>21.60922117</v>
      </c>
      <c r="H74" s="20" t="n">
        <v>1.48672338</v>
      </c>
      <c r="I74" s="18" t="s">
        <v>349</v>
      </c>
      <c r="J74" s="20" t="s">
        <v>349</v>
      </c>
      <c r="K74" s="18" t="n">
        <v>4.03468763</v>
      </c>
      <c r="L74" s="20" t="n">
        <v>0.7119290700000001</v>
      </c>
      <c r="M74" s="18" t="n">
        <v>0</v>
      </c>
      <c r="N74" s="20" t="n">
        <v>0</v>
      </c>
      <c r="O74" s="18" t="n">
        <v>0</v>
      </c>
      <c r="P74" s="20" t="n">
        <v>0</v>
      </c>
      <c r="Q74" s="18" t="n">
        <v>4.91335331</v>
      </c>
      <c r="R74" s="20" t="n">
        <v>0.86430386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43.27384813</v>
      </c>
      <c r="F78" s="20" t="n">
        <v>1.91148398</v>
      </c>
      <c r="G78" s="18" t="n">
        <v>56.72615187</v>
      </c>
      <c r="H78" s="20" t="n">
        <v>1.91148398</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(1382.0/B79*100)</f>
        <v/>
      </c>
      <c r="D79" s="19" t="n">
        <v>275</v>
      </c>
      <c r="E79" s="18" t="n">
        <v>53.18227111</v>
      </c>
      <c r="F79" s="20" t="n">
        <v>4.16768759</v>
      </c>
      <c r="G79" s="18" t="n">
        <v>39.06840067</v>
      </c>
      <c r="H79" s="20" t="n">
        <v>4.13677001</v>
      </c>
      <c r="I79" s="18" t="s">
        <v>349</v>
      </c>
      <c r="J79" s="20" t="s">
        <v>349</v>
      </c>
      <c r="K79" s="18" t="n">
        <v>2.17736234</v>
      </c>
      <c r="L79" s="20" t="n">
        <v>0.8868518399999999</v>
      </c>
      <c r="M79" s="18" t="n">
        <v>0</v>
      </c>
      <c r="N79" s="20" t="n">
        <v>0</v>
      </c>
      <c r="O79" s="18" t="n">
        <v>0</v>
      </c>
      <c r="P79" s="20" t="n">
        <v>0</v>
      </c>
      <c r="Q79" s="18" t="n">
        <v>5.57196587</v>
      </c>
      <c r="R79" s="20" t="n">
        <v>1.54865069</v>
      </c>
    </row>
    <row r="80" spans="1:18">
      <c r="A80" s="15" t="s">
        <v>422</v>
      </c>
      <c r="B80" s="17" t="n">
        <v>7841</v>
      </c>
      <c r="C80" s="18">
        <f>(6522.0/B80*100)</f>
        <v/>
      </c>
      <c r="D80" s="19" t="n">
        <v>1319</v>
      </c>
      <c r="E80" s="18" t="n">
        <v>55.91482453</v>
      </c>
      <c r="F80" s="20" t="n">
        <v>2.14158025</v>
      </c>
      <c r="G80" s="18" t="n">
        <v>43.49933764</v>
      </c>
      <c r="H80" s="20" t="n">
        <v>2.1166746</v>
      </c>
      <c r="I80" s="18" t="s">
        <v>349</v>
      </c>
      <c r="J80" s="20" t="s">
        <v>349</v>
      </c>
      <c r="K80" s="18" t="n">
        <v>0</v>
      </c>
      <c r="L80" s="20" t="n">
        <v>0</v>
      </c>
      <c r="M80" s="18" t="n">
        <v>0</v>
      </c>
      <c r="N80" s="20" t="n">
        <v>0</v>
      </c>
      <c r="O80" s="18" t="n">
        <v>0</v>
      </c>
      <c r="P80" s="20" t="n">
        <v>0</v>
      </c>
      <c r="Q80" s="18" t="n">
        <v>0.5858378400000001</v>
      </c>
      <c r="R80" s="20" t="n">
        <v>0.20347139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25.87946482</v>
      </c>
      <c r="F44" s="20" t="n">
        <v>1.99034971</v>
      </c>
      <c r="G44" s="18" t="n">
        <v>63.18099715</v>
      </c>
      <c r="H44" s="20" t="n">
        <v>2.06137603</v>
      </c>
      <c r="I44" s="18" t="s">
        <v>349</v>
      </c>
      <c r="J44" s="20" t="s">
        <v>349</v>
      </c>
      <c r="K44" s="18" t="n">
        <v>2.80888469</v>
      </c>
      <c r="L44" s="20" t="n">
        <v>0.73145616</v>
      </c>
      <c r="M44" s="18" t="n">
        <v>0</v>
      </c>
      <c r="N44" s="20" t="n">
        <v>0</v>
      </c>
      <c r="O44" s="18" t="n">
        <v>0</v>
      </c>
      <c r="P44" s="20" t="n">
        <v>0</v>
      </c>
      <c r="Q44" s="18" t="n">
        <v>8.130653349999999</v>
      </c>
      <c r="R44" s="20" t="n">
        <v>1.07889676</v>
      </c>
    </row>
    <row r="45" spans="1:18">
      <c r="A45" s="15" t="s">
        <v>387</v>
      </c>
      <c r="B45" s="17" t="n">
        <v>5519</v>
      </c>
      <c r="C45" s="18">
        <f>(4609.0/B45*100)</f>
        <v/>
      </c>
      <c r="D45" s="19" t="n">
        <v>910</v>
      </c>
      <c r="E45" s="18" t="n">
        <v>43.91051188</v>
      </c>
      <c r="F45" s="20" t="n">
        <v>2.20799265</v>
      </c>
      <c r="G45" s="18" t="n">
        <v>45.67583518</v>
      </c>
      <c r="H45" s="20" t="n">
        <v>2.11920698</v>
      </c>
      <c r="I45" s="18" t="s">
        <v>349</v>
      </c>
      <c r="J45" s="20" t="s">
        <v>349</v>
      </c>
      <c r="K45" s="18" t="n">
        <v>5.20741347</v>
      </c>
      <c r="L45" s="20" t="n">
        <v>0.798965</v>
      </c>
      <c r="M45" s="18" t="n">
        <v>0</v>
      </c>
      <c r="N45" s="20" t="n">
        <v>0</v>
      </c>
      <c r="O45" s="18" t="n">
        <v>0.15340744</v>
      </c>
      <c r="P45" s="20" t="n">
        <v>0.14555369</v>
      </c>
      <c r="Q45" s="18" t="n">
        <v>5.05283202</v>
      </c>
      <c r="R45" s="20" t="n">
        <v>0.87615881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27.5193347</v>
      </c>
      <c r="F49" s="20" t="n">
        <v>1.73516603</v>
      </c>
      <c r="G49" s="18" t="n">
        <v>62.9952156</v>
      </c>
      <c r="H49" s="20" t="n">
        <v>2.05795181</v>
      </c>
      <c r="I49" s="18" t="s">
        <v>349</v>
      </c>
      <c r="J49" s="20" t="s">
        <v>349</v>
      </c>
      <c r="K49" s="18" t="n">
        <v>2.31398955</v>
      </c>
      <c r="L49" s="20" t="n">
        <v>0.52400705</v>
      </c>
      <c r="M49" s="18" t="n">
        <v>0</v>
      </c>
      <c r="N49" s="20" t="n">
        <v>0</v>
      </c>
      <c r="O49" s="18" t="n">
        <v>0</v>
      </c>
      <c r="P49" s="20" t="n">
        <v>0</v>
      </c>
      <c r="Q49" s="18" t="n">
        <v>7.17146015</v>
      </c>
      <c r="R49" s="20" t="n">
        <v>1.08437725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33.1174195</v>
      </c>
      <c r="F55" s="20" t="n">
        <v>1.91837836</v>
      </c>
      <c r="G55" s="18" t="n">
        <v>54.18695858</v>
      </c>
      <c r="H55" s="20" t="n">
        <v>2.17217662</v>
      </c>
      <c r="I55" s="18" t="s">
        <v>349</v>
      </c>
      <c r="J55" s="20" t="s">
        <v>349</v>
      </c>
      <c r="K55" s="18" t="n">
        <v>1.83290953</v>
      </c>
      <c r="L55" s="20" t="n">
        <v>0.44065238</v>
      </c>
      <c r="M55" s="18" t="n">
        <v>0</v>
      </c>
      <c r="N55" s="20" t="n">
        <v>0</v>
      </c>
      <c r="O55" s="18" t="n">
        <v>0.10145182</v>
      </c>
      <c r="P55" s="20" t="n">
        <v>0.10194945</v>
      </c>
      <c r="Q55" s="18" t="n">
        <v>10.76126057</v>
      </c>
      <c r="R55" s="20" t="n">
        <v>1.23687232</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38.037036</v>
      </c>
      <c r="F57" s="20" t="n">
        <v>1.87459316</v>
      </c>
      <c r="G57" s="18" t="n">
        <v>57.17937844</v>
      </c>
      <c r="H57" s="20" t="n">
        <v>1.85701025</v>
      </c>
      <c r="I57" s="18" t="s">
        <v>349</v>
      </c>
      <c r="J57" s="20" t="s">
        <v>349</v>
      </c>
      <c r="K57" s="18" t="n">
        <v>0.98113108</v>
      </c>
      <c r="L57" s="20" t="n">
        <v>0.36787942</v>
      </c>
      <c r="M57" s="18" t="n">
        <v>0</v>
      </c>
      <c r="N57" s="20" t="n">
        <v>0</v>
      </c>
      <c r="O57" s="18" t="n">
        <v>0</v>
      </c>
      <c r="P57" s="20" t="n">
        <v>0</v>
      </c>
      <c r="Q57" s="18" t="n">
        <v>3.80245448</v>
      </c>
      <c r="R57" s="20" t="n">
        <v>0.74136754</v>
      </c>
    </row>
    <row r="58" spans="1:18">
      <c r="A58" s="15" t="s">
        <v>400</v>
      </c>
      <c r="B58" s="17" t="n">
        <v>7267</v>
      </c>
      <c r="C58" s="18">
        <f>(6083.0/B58*100)</f>
        <v/>
      </c>
      <c r="D58" s="19" t="n">
        <v>1184</v>
      </c>
      <c r="E58" s="18" t="n">
        <v>32.93878198</v>
      </c>
      <c r="F58" s="20" t="n">
        <v>1.74252034</v>
      </c>
      <c r="G58" s="18" t="n">
        <v>62.51572312</v>
      </c>
      <c r="H58" s="20" t="n">
        <v>1.80074491</v>
      </c>
      <c r="I58" s="18" t="s">
        <v>349</v>
      </c>
      <c r="J58" s="20" t="s">
        <v>349</v>
      </c>
      <c r="K58" s="18" t="n">
        <v>2.02194877</v>
      </c>
      <c r="L58" s="20" t="n">
        <v>0.50683634</v>
      </c>
      <c r="M58" s="18" t="n">
        <v>0</v>
      </c>
      <c r="N58" s="20" t="n">
        <v>0</v>
      </c>
      <c r="O58" s="18" t="n">
        <v>0</v>
      </c>
      <c r="P58" s="20" t="n">
        <v>0</v>
      </c>
      <c r="Q58" s="18" t="n">
        <v>2.52354612</v>
      </c>
      <c r="R58" s="20" t="n">
        <v>0.51712686</v>
      </c>
    </row>
    <row r="59" spans="1:18">
      <c r="A59" s="15" t="s">
        <v>401</v>
      </c>
      <c r="B59" s="17" t="n">
        <v>4826</v>
      </c>
      <c r="C59" s="18">
        <f>(4023.0/B59*100)</f>
        <v/>
      </c>
      <c r="D59" s="19" t="n">
        <v>803</v>
      </c>
      <c r="E59" s="18" t="n">
        <v>35.12558149</v>
      </c>
      <c r="F59" s="20" t="n">
        <v>2.18617626</v>
      </c>
      <c r="G59" s="18" t="n">
        <v>56.20477903</v>
      </c>
      <c r="H59" s="20" t="n">
        <v>2.3136877</v>
      </c>
      <c r="I59" s="18" t="s">
        <v>349</v>
      </c>
      <c r="J59" s="20" t="s">
        <v>349</v>
      </c>
      <c r="K59" s="18" t="n">
        <v>0.9410875</v>
      </c>
      <c r="L59" s="20" t="n">
        <v>0.2846386</v>
      </c>
      <c r="M59" s="18" t="n">
        <v>0.08069928</v>
      </c>
      <c r="N59" s="20" t="n">
        <v>0.08173782</v>
      </c>
      <c r="O59" s="18" t="n">
        <v>0</v>
      </c>
      <c r="P59" s="20" t="n">
        <v>0</v>
      </c>
      <c r="Q59" s="18" t="n">
        <v>7.6478527</v>
      </c>
      <c r="R59" s="20" t="n">
        <v>1.05500891</v>
      </c>
    </row>
    <row r="60" spans="1:18">
      <c r="A60" s="15" t="s">
        <v>402</v>
      </c>
      <c r="B60" s="17" t="n">
        <v>4546</v>
      </c>
      <c r="C60" s="18">
        <f>(3791.0/B60*100)</f>
        <v/>
      </c>
      <c r="D60" s="19" t="n">
        <v>755</v>
      </c>
      <c r="E60" s="18" t="n">
        <v>36.20532604</v>
      </c>
      <c r="F60" s="20" t="n">
        <v>1.85588266</v>
      </c>
      <c r="G60" s="18" t="n">
        <v>51.18815464</v>
      </c>
      <c r="H60" s="20" t="n">
        <v>1.88427448</v>
      </c>
      <c r="I60" s="18" t="s">
        <v>349</v>
      </c>
      <c r="J60" s="20" t="s">
        <v>349</v>
      </c>
      <c r="K60" s="18" t="n">
        <v>3.79448667</v>
      </c>
      <c r="L60" s="20" t="n">
        <v>0.7196644800000001</v>
      </c>
      <c r="M60" s="18" t="n">
        <v>0.29271952</v>
      </c>
      <c r="N60" s="20" t="n">
        <v>0.28569557</v>
      </c>
      <c r="O60" s="18" t="n">
        <v>0</v>
      </c>
      <c r="P60" s="20" t="n">
        <v>0</v>
      </c>
      <c r="Q60" s="18" t="n">
        <v>8.51931313</v>
      </c>
      <c r="R60" s="20" t="n">
        <v>1.04020299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31.43794125</v>
      </c>
      <c r="F63" s="20" t="n">
        <v>1.63966912</v>
      </c>
      <c r="G63" s="18" t="n">
        <v>46.63273112</v>
      </c>
      <c r="H63" s="20" t="n">
        <v>1.49630474</v>
      </c>
      <c r="I63" s="18" t="s">
        <v>349</v>
      </c>
      <c r="J63" s="20" t="s">
        <v>349</v>
      </c>
      <c r="K63" s="18" t="n">
        <v>5.25387378</v>
      </c>
      <c r="L63" s="20" t="n">
        <v>0.73340747</v>
      </c>
      <c r="M63" s="18" t="n">
        <v>0</v>
      </c>
      <c r="N63" s="20" t="n">
        <v>0</v>
      </c>
      <c r="O63" s="18" t="n">
        <v>0</v>
      </c>
      <c r="P63" s="20" t="n">
        <v>0</v>
      </c>
      <c r="Q63" s="18" t="n">
        <v>16.67545385</v>
      </c>
      <c r="R63" s="20" t="n">
        <v>1.2508123</v>
      </c>
    </row>
    <row r="64" spans="1:18">
      <c r="A64" s="15" t="s">
        <v>406</v>
      </c>
      <c r="B64" s="17" t="n">
        <v>3634</v>
      </c>
      <c r="C64" s="18">
        <f>(3051.0/B64*100)</f>
        <v/>
      </c>
      <c r="D64" s="19" t="n">
        <v>583</v>
      </c>
      <c r="E64" s="18" t="n">
        <v>22.2157159</v>
      </c>
      <c r="F64" s="20" t="n">
        <v>1.90448831</v>
      </c>
      <c r="G64" s="18" t="n">
        <v>71.84367004000001</v>
      </c>
      <c r="H64" s="20" t="n">
        <v>2.21553872</v>
      </c>
      <c r="I64" s="18" t="s">
        <v>349</v>
      </c>
      <c r="J64" s="20" t="s">
        <v>349</v>
      </c>
      <c r="K64" s="18" t="n">
        <v>2.44841674</v>
      </c>
      <c r="L64" s="20" t="n">
        <v>0.66860662</v>
      </c>
      <c r="M64" s="18" t="n">
        <v>0</v>
      </c>
      <c r="N64" s="20" t="n">
        <v>0</v>
      </c>
      <c r="O64" s="18" t="n">
        <v>0</v>
      </c>
      <c r="P64" s="20" t="n">
        <v>0</v>
      </c>
      <c r="Q64" s="18" t="n">
        <v>3.49219732</v>
      </c>
      <c r="R64" s="20" t="n">
        <v>0.75635509</v>
      </c>
    </row>
    <row r="65" spans="1:18">
      <c r="A65" s="15" t="s">
        <v>407</v>
      </c>
      <c r="B65" s="17" t="n">
        <v>5325</v>
      </c>
      <c r="C65" s="18">
        <f>(4467.0/B65*100)</f>
        <v/>
      </c>
      <c r="D65" s="19" t="n">
        <v>858</v>
      </c>
      <c r="E65" s="18" t="n">
        <v>23.79348605</v>
      </c>
      <c r="F65" s="20" t="n">
        <v>1.57733251</v>
      </c>
      <c r="G65" s="18" t="n">
        <v>62.67200727</v>
      </c>
      <c r="H65" s="20" t="n">
        <v>1.71633122</v>
      </c>
      <c r="I65" s="18" t="s">
        <v>349</v>
      </c>
      <c r="J65" s="20" t="s">
        <v>349</v>
      </c>
      <c r="K65" s="18" t="n">
        <v>3.98485367</v>
      </c>
      <c r="L65" s="20" t="n">
        <v>0.64030464</v>
      </c>
      <c r="M65" s="18" t="n">
        <v>0</v>
      </c>
      <c r="N65" s="20" t="n">
        <v>0</v>
      </c>
      <c r="O65" s="18" t="n">
        <v>0</v>
      </c>
      <c r="P65" s="20" t="n">
        <v>0</v>
      </c>
      <c r="Q65" s="18" t="n">
        <v>9.549652999999999</v>
      </c>
      <c r="R65" s="20" t="n">
        <v>1.02662756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38.18132382</v>
      </c>
      <c r="F69" s="20" t="n">
        <v>1.69890244</v>
      </c>
      <c r="G69" s="18" t="n">
        <v>61.60573405</v>
      </c>
      <c r="H69" s="20" t="n">
        <v>1.72854496</v>
      </c>
      <c r="I69" s="18" t="s">
        <v>349</v>
      </c>
      <c r="J69" s="20" t="s">
        <v>349</v>
      </c>
      <c r="K69" s="18" t="n">
        <v>0</v>
      </c>
      <c r="L69" s="20" t="n">
        <v>0</v>
      </c>
      <c r="M69" s="18" t="n">
        <v>0</v>
      </c>
      <c r="N69" s="20" t="n">
        <v>0</v>
      </c>
      <c r="O69" s="18" t="n">
        <v>0</v>
      </c>
      <c r="P69" s="20" t="n">
        <v>0</v>
      </c>
      <c r="Q69" s="18" t="n">
        <v>0.21294213</v>
      </c>
      <c r="R69" s="20" t="n">
        <v>0.15116759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29.61888529</v>
      </c>
      <c r="F74" s="20" t="n">
        <v>1.73126124</v>
      </c>
      <c r="G74" s="18" t="n">
        <v>60.79760741</v>
      </c>
      <c r="H74" s="20" t="n">
        <v>1.73536913</v>
      </c>
      <c r="I74" s="18" t="s">
        <v>349</v>
      </c>
      <c r="J74" s="20" t="s">
        <v>349</v>
      </c>
      <c r="K74" s="18" t="n">
        <v>4.80313815</v>
      </c>
      <c r="L74" s="20" t="n">
        <v>0.83254513</v>
      </c>
      <c r="M74" s="18" t="n">
        <v>0</v>
      </c>
      <c r="N74" s="20" t="n">
        <v>0</v>
      </c>
      <c r="O74" s="18" t="n">
        <v>0</v>
      </c>
      <c r="P74" s="20" t="n">
        <v>0</v>
      </c>
      <c r="Q74" s="18" t="n">
        <v>4.78036915</v>
      </c>
      <c r="R74" s="20" t="n">
        <v>0.90022116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32.52179306</v>
      </c>
      <c r="F78" s="20" t="n">
        <v>1.92071168</v>
      </c>
      <c r="G78" s="18" t="n">
        <v>66.3036366</v>
      </c>
      <c r="H78" s="20" t="n">
        <v>1.89862927</v>
      </c>
      <c r="I78" s="18" t="s">
        <v>349</v>
      </c>
      <c r="J78" s="20" t="s">
        <v>349</v>
      </c>
      <c r="K78" s="18" t="n">
        <v>0</v>
      </c>
      <c r="L78" s="20" t="n">
        <v>0</v>
      </c>
      <c r="M78" s="18" t="n">
        <v>0</v>
      </c>
      <c r="N78" s="20" t="n">
        <v>0</v>
      </c>
      <c r="O78" s="18" t="n">
        <v>0</v>
      </c>
      <c r="P78" s="20" t="n">
        <v>0</v>
      </c>
      <c r="Q78" s="18" t="n">
        <v>1.17457034</v>
      </c>
      <c r="R78" s="20" t="n">
        <v>0.44480592</v>
      </c>
    </row>
    <row customHeight="1" ht="25" r="79" spans="1:18">
      <c r="A79" s="15" t="s">
        <v>421</v>
      </c>
      <c r="B79" s="17" t="n">
        <v>1657</v>
      </c>
      <c r="C79" s="18">
        <f>(1382.0/B79*100)</f>
        <v/>
      </c>
      <c r="D79" s="19" t="n">
        <v>275</v>
      </c>
      <c r="E79" s="18" t="n">
        <v>20.28832429</v>
      </c>
      <c r="F79" s="20" t="n">
        <v>2.61817579</v>
      </c>
      <c r="G79" s="18" t="n">
        <v>70.21174310000001</v>
      </c>
      <c r="H79" s="20" t="n">
        <v>3.53003301</v>
      </c>
      <c r="I79" s="18" t="s">
        <v>349</v>
      </c>
      <c r="J79" s="20" t="s">
        <v>349</v>
      </c>
      <c r="K79" s="18" t="n">
        <v>3.40631354</v>
      </c>
      <c r="L79" s="20" t="n">
        <v>1.12111554</v>
      </c>
      <c r="M79" s="18" t="n">
        <v>0</v>
      </c>
      <c r="N79" s="20" t="n">
        <v>0</v>
      </c>
      <c r="O79" s="18" t="n">
        <v>0</v>
      </c>
      <c r="P79" s="20" t="n">
        <v>0</v>
      </c>
      <c r="Q79" s="18" t="n">
        <v>6.09361908</v>
      </c>
      <c r="R79" s="20" t="n">
        <v>1.64986474</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71.72974363</v>
      </c>
      <c r="F44" s="20" t="n">
        <v>1.96831035</v>
      </c>
      <c r="G44" s="18" t="n">
        <v>11.09535619</v>
      </c>
      <c r="H44" s="20" t="n">
        <v>1.38261844</v>
      </c>
      <c r="I44" s="18" t="s">
        <v>349</v>
      </c>
      <c r="J44" s="20" t="s">
        <v>349</v>
      </c>
      <c r="K44" s="18" t="n">
        <v>3.30195118</v>
      </c>
      <c r="L44" s="20" t="n">
        <v>0.7877256</v>
      </c>
      <c r="M44" s="18" t="n">
        <v>0</v>
      </c>
      <c r="N44" s="20" t="n">
        <v>0</v>
      </c>
      <c r="O44" s="18" t="n">
        <v>0</v>
      </c>
      <c r="P44" s="20" t="n">
        <v>0</v>
      </c>
      <c r="Q44" s="18" t="n">
        <v>13.872949</v>
      </c>
      <c r="R44" s="20" t="n">
        <v>1.28217989</v>
      </c>
    </row>
    <row r="45" spans="1:18">
      <c r="A45" s="15" t="s">
        <v>387</v>
      </c>
      <c r="B45" s="17" t="n">
        <v>5519</v>
      </c>
      <c r="C45" s="18">
        <f>(4609.0/B45*100)</f>
        <v/>
      </c>
      <c r="D45" s="19" t="n">
        <v>910</v>
      </c>
      <c r="E45" s="18" t="n">
        <v>81.40923119999999</v>
      </c>
      <c r="F45" s="20" t="n">
        <v>1.30853958</v>
      </c>
      <c r="G45" s="18" t="n">
        <v>4.59156663</v>
      </c>
      <c r="H45" s="20" t="n">
        <v>0.78757455</v>
      </c>
      <c r="I45" s="18" t="s">
        <v>349</v>
      </c>
      <c r="J45" s="20" t="s">
        <v>349</v>
      </c>
      <c r="K45" s="18" t="n">
        <v>5.35419894</v>
      </c>
      <c r="L45" s="20" t="n">
        <v>0.79502493</v>
      </c>
      <c r="M45" s="18" t="n">
        <v>0</v>
      </c>
      <c r="N45" s="20" t="n">
        <v>0</v>
      </c>
      <c r="O45" s="18" t="n">
        <v>0.25348004</v>
      </c>
      <c r="P45" s="20" t="n">
        <v>0.17731362</v>
      </c>
      <c r="Q45" s="18" t="n">
        <v>8.391523189999999</v>
      </c>
      <c r="R45" s="20" t="n">
        <v>1.14486521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74.37285618</v>
      </c>
      <c r="F49" s="20" t="n">
        <v>1.8958233</v>
      </c>
      <c r="G49" s="18" t="n">
        <v>8.201238930000001</v>
      </c>
      <c r="H49" s="20" t="n">
        <v>1.35788642</v>
      </c>
      <c r="I49" s="18" t="s">
        <v>349</v>
      </c>
      <c r="J49" s="20" t="s">
        <v>349</v>
      </c>
      <c r="K49" s="18" t="n">
        <v>2.71907947</v>
      </c>
      <c r="L49" s="20" t="n">
        <v>0.57769188</v>
      </c>
      <c r="M49" s="18" t="n">
        <v>0</v>
      </c>
      <c r="N49" s="20" t="n">
        <v>0</v>
      </c>
      <c r="O49" s="18" t="n">
        <v>0</v>
      </c>
      <c r="P49" s="20" t="n">
        <v>0</v>
      </c>
      <c r="Q49" s="18" t="n">
        <v>14.70682542</v>
      </c>
      <c r="R49" s="20" t="n">
        <v>1.31487827</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70.37307536</v>
      </c>
      <c r="F55" s="20" t="n">
        <v>1.76133518</v>
      </c>
      <c r="G55" s="18" t="n">
        <v>9.48380386</v>
      </c>
      <c r="H55" s="20" t="n">
        <v>1.23552173</v>
      </c>
      <c r="I55" s="18" t="s">
        <v>349</v>
      </c>
      <c r="J55" s="20" t="s">
        <v>349</v>
      </c>
      <c r="K55" s="18" t="n">
        <v>1.83290953</v>
      </c>
      <c r="L55" s="20" t="n">
        <v>0.44065238</v>
      </c>
      <c r="M55" s="18" t="n">
        <v>0</v>
      </c>
      <c r="N55" s="20" t="n">
        <v>0</v>
      </c>
      <c r="O55" s="18" t="n">
        <v>0</v>
      </c>
      <c r="P55" s="20" t="n">
        <v>0</v>
      </c>
      <c r="Q55" s="18" t="n">
        <v>18.31021125</v>
      </c>
      <c r="R55" s="20" t="n">
        <v>1.3748707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83.67531087</v>
      </c>
      <c r="F57" s="20" t="n">
        <v>1.43072299</v>
      </c>
      <c r="G57" s="18" t="n">
        <v>10.23205117</v>
      </c>
      <c r="H57" s="20" t="n">
        <v>1.20562632</v>
      </c>
      <c r="I57" s="18" t="s">
        <v>349</v>
      </c>
      <c r="J57" s="20" t="s">
        <v>349</v>
      </c>
      <c r="K57" s="18" t="n">
        <v>0.98113108</v>
      </c>
      <c r="L57" s="20" t="n">
        <v>0.36787942</v>
      </c>
      <c r="M57" s="18" t="n">
        <v>0</v>
      </c>
      <c r="N57" s="20" t="n">
        <v>0</v>
      </c>
      <c r="O57" s="18" t="n">
        <v>0</v>
      </c>
      <c r="P57" s="20" t="n">
        <v>0</v>
      </c>
      <c r="Q57" s="18" t="n">
        <v>5.11150689</v>
      </c>
      <c r="R57" s="20" t="n">
        <v>0.8744916</v>
      </c>
    </row>
    <row r="58" spans="1:18">
      <c r="A58" s="15" t="s">
        <v>400</v>
      </c>
      <c r="B58" s="17" t="n">
        <v>7267</v>
      </c>
      <c r="C58" s="18">
        <f>(6083.0/B58*100)</f>
        <v/>
      </c>
      <c r="D58" s="19" t="n">
        <v>1184</v>
      </c>
      <c r="E58" s="18" t="n">
        <v>86.37883162</v>
      </c>
      <c r="F58" s="20" t="n">
        <v>1.17034929</v>
      </c>
      <c r="G58" s="18" t="n">
        <v>7.02547199</v>
      </c>
      <c r="H58" s="20" t="n">
        <v>0.9527401599999999</v>
      </c>
      <c r="I58" s="18" t="s">
        <v>349</v>
      </c>
      <c r="J58" s="20" t="s">
        <v>349</v>
      </c>
      <c r="K58" s="18" t="n">
        <v>2.04777719</v>
      </c>
      <c r="L58" s="20" t="n">
        <v>0.50766378</v>
      </c>
      <c r="M58" s="18" t="n">
        <v>0</v>
      </c>
      <c r="N58" s="20" t="n">
        <v>0</v>
      </c>
      <c r="O58" s="18" t="n">
        <v>0</v>
      </c>
      <c r="P58" s="20" t="n">
        <v>0</v>
      </c>
      <c r="Q58" s="18" t="n">
        <v>4.5479192</v>
      </c>
      <c r="R58" s="20" t="n">
        <v>0.77956764</v>
      </c>
    </row>
    <row r="59" spans="1:18">
      <c r="A59" s="15" t="s">
        <v>401</v>
      </c>
      <c r="B59" s="17" t="n">
        <v>4826</v>
      </c>
      <c r="C59" s="18">
        <f>(4023.0/B59*100)</f>
        <v/>
      </c>
      <c r="D59" s="19" t="n">
        <v>803</v>
      </c>
      <c r="E59" s="18" t="n">
        <v>83.33756224</v>
      </c>
      <c r="F59" s="20" t="n">
        <v>1.53985441</v>
      </c>
      <c r="G59" s="18" t="n">
        <v>6.22344828</v>
      </c>
      <c r="H59" s="20" t="n">
        <v>0.94719951</v>
      </c>
      <c r="I59" s="18" t="s">
        <v>349</v>
      </c>
      <c r="J59" s="20" t="s">
        <v>349</v>
      </c>
      <c r="K59" s="18" t="n">
        <v>1.09955541</v>
      </c>
      <c r="L59" s="20" t="n">
        <v>0.32225336</v>
      </c>
      <c r="M59" s="18" t="n">
        <v>0.08069928</v>
      </c>
      <c r="N59" s="20" t="n">
        <v>0.08173782</v>
      </c>
      <c r="O59" s="18" t="n">
        <v>0</v>
      </c>
      <c r="P59" s="20" t="n">
        <v>0</v>
      </c>
      <c r="Q59" s="18" t="n">
        <v>9.25873479</v>
      </c>
      <c r="R59" s="20" t="n">
        <v>1.1545639</v>
      </c>
    </row>
    <row r="60" spans="1:18">
      <c r="A60" s="15" t="s">
        <v>402</v>
      </c>
      <c r="B60" s="17" t="n">
        <v>4546</v>
      </c>
      <c r="C60" s="18">
        <f>(3791.0/B60*100)</f>
        <v/>
      </c>
      <c r="D60" s="19" t="n">
        <v>755</v>
      </c>
      <c r="E60" s="18" t="n">
        <v>76.23889765</v>
      </c>
      <c r="F60" s="20" t="n">
        <v>1.69748606</v>
      </c>
      <c r="G60" s="18" t="n">
        <v>7.55173982</v>
      </c>
      <c r="H60" s="20" t="n">
        <v>1.04781052</v>
      </c>
      <c r="I60" s="18" t="s">
        <v>349</v>
      </c>
      <c r="J60" s="20" t="s">
        <v>349</v>
      </c>
      <c r="K60" s="18" t="n">
        <v>4.06431295</v>
      </c>
      <c r="L60" s="20" t="n">
        <v>0.72696972</v>
      </c>
      <c r="M60" s="18" t="n">
        <v>0.29271952</v>
      </c>
      <c r="N60" s="20" t="n">
        <v>0.28569557</v>
      </c>
      <c r="O60" s="18" t="n">
        <v>0</v>
      </c>
      <c r="P60" s="20" t="n">
        <v>0</v>
      </c>
      <c r="Q60" s="18" t="n">
        <v>11.85233006</v>
      </c>
      <c r="R60" s="20" t="n">
        <v>1.2967148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63.85179679</v>
      </c>
      <c r="F63" s="20" t="n">
        <v>1.66565499</v>
      </c>
      <c r="G63" s="18" t="n">
        <v>5.73146176</v>
      </c>
      <c r="H63" s="20" t="n">
        <v>0.93143031</v>
      </c>
      <c r="I63" s="18" t="s">
        <v>349</v>
      </c>
      <c r="J63" s="20" t="s">
        <v>349</v>
      </c>
      <c r="K63" s="18" t="n">
        <v>5.34236684</v>
      </c>
      <c r="L63" s="20" t="n">
        <v>0.73634502</v>
      </c>
      <c r="M63" s="18" t="n">
        <v>0</v>
      </c>
      <c r="N63" s="20" t="n">
        <v>0</v>
      </c>
      <c r="O63" s="18" t="n">
        <v>0</v>
      </c>
      <c r="P63" s="20" t="n">
        <v>0</v>
      </c>
      <c r="Q63" s="18" t="n">
        <v>25.07437461</v>
      </c>
      <c r="R63" s="20" t="n">
        <v>1.4731206</v>
      </c>
    </row>
    <row r="64" spans="1:18">
      <c r="A64" s="15" t="s">
        <v>406</v>
      </c>
      <c r="B64" s="17" t="n">
        <v>3634</v>
      </c>
      <c r="C64" s="18">
        <f>(3051.0/B64*100)</f>
        <v/>
      </c>
      <c r="D64" s="19" t="n">
        <v>583</v>
      </c>
      <c r="E64" s="18" t="n">
        <v>79.96320904</v>
      </c>
      <c r="F64" s="20" t="n">
        <v>1.61218517</v>
      </c>
      <c r="G64" s="18" t="n">
        <v>11.73395361</v>
      </c>
      <c r="H64" s="20" t="n">
        <v>1.38979159</v>
      </c>
      <c r="I64" s="18" t="s">
        <v>349</v>
      </c>
      <c r="J64" s="20" t="s">
        <v>349</v>
      </c>
      <c r="K64" s="18" t="n">
        <v>2.44841674</v>
      </c>
      <c r="L64" s="20" t="n">
        <v>0.66860662</v>
      </c>
      <c r="M64" s="18" t="n">
        <v>0</v>
      </c>
      <c r="N64" s="20" t="n">
        <v>0</v>
      </c>
      <c r="O64" s="18" t="n">
        <v>0</v>
      </c>
      <c r="P64" s="20" t="n">
        <v>0</v>
      </c>
      <c r="Q64" s="18" t="n">
        <v>5.8544206</v>
      </c>
      <c r="R64" s="20" t="n">
        <v>0.91880608</v>
      </c>
    </row>
    <row r="65" spans="1:18">
      <c r="A65" s="15" t="s">
        <v>407</v>
      </c>
      <c r="B65" s="17" t="n">
        <v>5325</v>
      </c>
      <c r="C65" s="18">
        <f>(4467.0/B65*100)</f>
        <v/>
      </c>
      <c r="D65" s="19" t="n">
        <v>858</v>
      </c>
      <c r="E65" s="18" t="n">
        <v>65.90459165</v>
      </c>
      <c r="F65" s="20" t="n">
        <v>1.8032388</v>
      </c>
      <c r="G65" s="18" t="n">
        <v>14.73608447</v>
      </c>
      <c r="H65" s="20" t="n">
        <v>1.5059401</v>
      </c>
      <c r="I65" s="18" t="s">
        <v>349</v>
      </c>
      <c r="J65" s="20" t="s">
        <v>349</v>
      </c>
      <c r="K65" s="18" t="n">
        <v>4.14901053</v>
      </c>
      <c r="L65" s="20" t="n">
        <v>0.65804186</v>
      </c>
      <c r="M65" s="18" t="n">
        <v>0</v>
      </c>
      <c r="N65" s="20" t="n">
        <v>0</v>
      </c>
      <c r="O65" s="18" t="n">
        <v>0</v>
      </c>
      <c r="P65" s="20" t="n">
        <v>0</v>
      </c>
      <c r="Q65" s="18" t="n">
        <v>15.21031336</v>
      </c>
      <c r="R65" s="20" t="n">
        <v>1.39389513</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75.59321299</v>
      </c>
      <c r="F69" s="20" t="n">
        <v>1.47388275</v>
      </c>
      <c r="G69" s="18" t="n">
        <v>24.19384488</v>
      </c>
      <c r="H69" s="20" t="n">
        <v>1.46368106</v>
      </c>
      <c r="I69" s="18" t="s">
        <v>349</v>
      </c>
      <c r="J69" s="20" t="s">
        <v>349</v>
      </c>
      <c r="K69" s="18" t="n">
        <v>0</v>
      </c>
      <c r="L69" s="20" t="n">
        <v>0</v>
      </c>
      <c r="M69" s="18" t="n">
        <v>0</v>
      </c>
      <c r="N69" s="20" t="n">
        <v>0</v>
      </c>
      <c r="O69" s="18" t="n">
        <v>0</v>
      </c>
      <c r="P69" s="20" t="n">
        <v>0</v>
      </c>
      <c r="Q69" s="18" t="n">
        <v>0.21294213</v>
      </c>
      <c r="R69" s="20" t="n">
        <v>0.15116759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77.53029624</v>
      </c>
      <c r="F74" s="20" t="n">
        <v>1.79446161</v>
      </c>
      <c r="G74" s="18" t="n">
        <v>7.74218967</v>
      </c>
      <c r="H74" s="20" t="n">
        <v>1.02065422</v>
      </c>
      <c r="I74" s="18" t="s">
        <v>349</v>
      </c>
      <c r="J74" s="20" t="s">
        <v>349</v>
      </c>
      <c r="K74" s="18" t="n">
        <v>5.8509592</v>
      </c>
      <c r="L74" s="20" t="n">
        <v>0.87971331</v>
      </c>
      <c r="M74" s="18" t="n">
        <v>0</v>
      </c>
      <c r="N74" s="20" t="n">
        <v>0</v>
      </c>
      <c r="O74" s="18" t="n">
        <v>0</v>
      </c>
      <c r="P74" s="20" t="n">
        <v>0</v>
      </c>
      <c r="Q74" s="18" t="n">
        <v>8.8765549</v>
      </c>
      <c r="R74" s="20" t="n">
        <v>1.22001016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78.64345874</v>
      </c>
      <c r="F78" s="20" t="n">
        <v>1.85274775</v>
      </c>
      <c r="G78" s="18" t="n">
        <v>20.03730792</v>
      </c>
      <c r="H78" s="20" t="n">
        <v>1.85209049</v>
      </c>
      <c r="I78" s="18" t="s">
        <v>349</v>
      </c>
      <c r="J78" s="20" t="s">
        <v>349</v>
      </c>
      <c r="K78" s="18" t="n">
        <v>0</v>
      </c>
      <c r="L78" s="20" t="n">
        <v>0</v>
      </c>
      <c r="M78" s="18" t="n">
        <v>0</v>
      </c>
      <c r="N78" s="20" t="n">
        <v>0</v>
      </c>
      <c r="O78" s="18" t="n">
        <v>0</v>
      </c>
      <c r="P78" s="20" t="n">
        <v>0</v>
      </c>
      <c r="Q78" s="18" t="n">
        <v>1.31923334</v>
      </c>
      <c r="R78" s="20" t="n">
        <v>0.42604068</v>
      </c>
    </row>
    <row customHeight="1" ht="25" r="79" spans="1:18">
      <c r="A79" s="15" t="s">
        <v>421</v>
      </c>
      <c r="B79" s="17" t="n">
        <v>1657</v>
      </c>
      <c r="C79" s="18">
        <f>(1382.0/B79*100)</f>
        <v/>
      </c>
      <c r="D79" s="19" t="n">
        <v>275</v>
      </c>
      <c r="E79" s="18" t="n">
        <v>74.78762947</v>
      </c>
      <c r="F79" s="20" t="n">
        <v>2.28705484</v>
      </c>
      <c r="G79" s="18" t="n">
        <v>9.40794678</v>
      </c>
      <c r="H79" s="20" t="n">
        <v>1.85136783</v>
      </c>
      <c r="I79" s="18" t="s">
        <v>349</v>
      </c>
      <c r="J79" s="20" t="s">
        <v>349</v>
      </c>
      <c r="K79" s="18" t="n">
        <v>3.40631354</v>
      </c>
      <c r="L79" s="20" t="n">
        <v>1.12111554</v>
      </c>
      <c r="M79" s="18" t="n">
        <v>0</v>
      </c>
      <c r="N79" s="20" t="n">
        <v>0</v>
      </c>
      <c r="O79" s="18" t="n">
        <v>0</v>
      </c>
      <c r="P79" s="20" t="n">
        <v>0</v>
      </c>
      <c r="Q79" s="18" t="n">
        <v>12.39811022</v>
      </c>
      <c r="R79" s="20" t="n">
        <v>2.00382862</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41.27369951</v>
      </c>
      <c r="F44" s="20" t="n">
        <v>2.07822904</v>
      </c>
      <c r="G44" s="18" t="n">
        <v>4.37682609</v>
      </c>
      <c r="H44" s="20" t="n">
        <v>0.65553068</v>
      </c>
      <c r="I44" s="18" t="s">
        <v>349</v>
      </c>
      <c r="J44" s="20" t="s">
        <v>349</v>
      </c>
      <c r="K44" s="18" t="n">
        <v>4.07148514</v>
      </c>
      <c r="L44" s="20" t="n">
        <v>0.8412416</v>
      </c>
      <c r="M44" s="18" t="n">
        <v>0</v>
      </c>
      <c r="N44" s="20" t="n">
        <v>0</v>
      </c>
      <c r="O44" s="18" t="n">
        <v>0</v>
      </c>
      <c r="P44" s="20" t="n">
        <v>0</v>
      </c>
      <c r="Q44" s="18" t="n">
        <v>50.27798926</v>
      </c>
      <c r="R44" s="20" t="n">
        <v>2.12863289</v>
      </c>
    </row>
    <row r="45" spans="1:18">
      <c r="A45" s="15" t="s">
        <v>387</v>
      </c>
      <c r="B45" s="17" t="n">
        <v>5519</v>
      </c>
      <c r="C45" s="18">
        <f>(4609.0/B45*100)</f>
        <v/>
      </c>
      <c r="D45" s="19" t="n">
        <v>910</v>
      </c>
      <c r="E45" s="18" t="n">
        <v>41.59477126</v>
      </c>
      <c r="F45" s="20" t="n">
        <v>1.9725673</v>
      </c>
      <c r="G45" s="18" t="n">
        <v>0.54459295</v>
      </c>
      <c r="H45" s="20" t="n">
        <v>0.24006092</v>
      </c>
      <c r="I45" s="18" t="s">
        <v>349</v>
      </c>
      <c r="J45" s="20" t="s">
        <v>349</v>
      </c>
      <c r="K45" s="18" t="n">
        <v>6.46708229</v>
      </c>
      <c r="L45" s="20" t="n">
        <v>0.83854893</v>
      </c>
      <c r="M45" s="18" t="n">
        <v>0</v>
      </c>
      <c r="N45" s="20" t="n">
        <v>0</v>
      </c>
      <c r="O45" s="18" t="n">
        <v>0.51099414</v>
      </c>
      <c r="P45" s="20" t="n">
        <v>0.26300596</v>
      </c>
      <c r="Q45" s="18" t="n">
        <v>50.88255936</v>
      </c>
      <c r="R45" s="20" t="n">
        <v>1.9789501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43.00854561</v>
      </c>
      <c r="F49" s="20" t="n">
        <v>2.07161744</v>
      </c>
      <c r="G49" s="18" t="n">
        <v>4.13819827</v>
      </c>
      <c r="H49" s="20" t="n">
        <v>1.21440741</v>
      </c>
      <c r="I49" s="18" t="s">
        <v>349</v>
      </c>
      <c r="J49" s="20" t="s">
        <v>349</v>
      </c>
      <c r="K49" s="18" t="n">
        <v>3.26036451</v>
      </c>
      <c r="L49" s="20" t="n">
        <v>0.64250199</v>
      </c>
      <c r="M49" s="18" t="n">
        <v>0</v>
      </c>
      <c r="N49" s="20" t="n">
        <v>0</v>
      </c>
      <c r="O49" s="18" t="n">
        <v>0</v>
      </c>
      <c r="P49" s="20" t="n">
        <v>0</v>
      </c>
      <c r="Q49" s="18" t="n">
        <v>49.59289161</v>
      </c>
      <c r="R49" s="20" t="n">
        <v>2.02246038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30.20259737</v>
      </c>
      <c r="F55" s="20" t="n">
        <v>1.6791221</v>
      </c>
      <c r="G55" s="18" t="n">
        <v>4.0354345</v>
      </c>
      <c r="H55" s="20" t="n">
        <v>0.8842221300000001</v>
      </c>
      <c r="I55" s="18" t="s">
        <v>349</v>
      </c>
      <c r="J55" s="20" t="s">
        <v>349</v>
      </c>
      <c r="K55" s="18" t="n">
        <v>2.42450829</v>
      </c>
      <c r="L55" s="20" t="n">
        <v>0.50563987</v>
      </c>
      <c r="M55" s="18" t="n">
        <v>0</v>
      </c>
      <c r="N55" s="20" t="n">
        <v>0</v>
      </c>
      <c r="O55" s="18" t="n">
        <v>0</v>
      </c>
      <c r="P55" s="20" t="n">
        <v>0</v>
      </c>
      <c r="Q55" s="18" t="n">
        <v>63.33745984</v>
      </c>
      <c r="R55" s="20" t="n">
        <v>1.77457259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78.30191325</v>
      </c>
      <c r="F57" s="20" t="n">
        <v>1.83191031</v>
      </c>
      <c r="G57" s="18" t="n">
        <v>2.12447752</v>
      </c>
      <c r="H57" s="20" t="n">
        <v>0.50468936</v>
      </c>
      <c r="I57" s="18" t="s">
        <v>349</v>
      </c>
      <c r="J57" s="20" t="s">
        <v>349</v>
      </c>
      <c r="K57" s="18" t="n">
        <v>0.98113108</v>
      </c>
      <c r="L57" s="20" t="n">
        <v>0.36787942</v>
      </c>
      <c r="M57" s="18" t="n">
        <v>0</v>
      </c>
      <c r="N57" s="20" t="n">
        <v>0</v>
      </c>
      <c r="O57" s="18" t="n">
        <v>0</v>
      </c>
      <c r="P57" s="20" t="n">
        <v>0</v>
      </c>
      <c r="Q57" s="18" t="n">
        <v>18.59247815</v>
      </c>
      <c r="R57" s="20" t="n">
        <v>1.73858241</v>
      </c>
    </row>
    <row r="58" spans="1:18">
      <c r="A58" s="15" t="s">
        <v>400</v>
      </c>
      <c r="B58" s="17" t="n">
        <v>7267</v>
      </c>
      <c r="C58" s="18">
        <f>(6083.0/B58*100)</f>
        <v/>
      </c>
      <c r="D58" s="19" t="n">
        <v>1184</v>
      </c>
      <c r="E58" s="18" t="n">
        <v>67.24954664000001</v>
      </c>
      <c r="F58" s="20" t="n">
        <v>1.76326637</v>
      </c>
      <c r="G58" s="18" t="n">
        <v>1.48385372</v>
      </c>
      <c r="H58" s="20" t="n">
        <v>0.59241479</v>
      </c>
      <c r="I58" s="18" t="s">
        <v>349</v>
      </c>
      <c r="J58" s="20" t="s">
        <v>349</v>
      </c>
      <c r="K58" s="18" t="n">
        <v>2.34766962</v>
      </c>
      <c r="L58" s="20" t="n">
        <v>0.53113392</v>
      </c>
      <c r="M58" s="18" t="n">
        <v>0</v>
      </c>
      <c r="N58" s="20" t="n">
        <v>0</v>
      </c>
      <c r="O58" s="18" t="n">
        <v>0</v>
      </c>
      <c r="P58" s="20" t="n">
        <v>0</v>
      </c>
      <c r="Q58" s="18" t="n">
        <v>28.91893001</v>
      </c>
      <c r="R58" s="20" t="n">
        <v>1.55321315</v>
      </c>
    </row>
    <row r="59" spans="1:18">
      <c r="A59" s="15" t="s">
        <v>401</v>
      </c>
      <c r="B59" s="17" t="n">
        <v>4826</v>
      </c>
      <c r="C59" s="18">
        <f>(4023.0/B59*100)</f>
        <v/>
      </c>
      <c r="D59" s="19" t="n">
        <v>803</v>
      </c>
      <c r="E59" s="18" t="n">
        <v>62.53217729</v>
      </c>
      <c r="F59" s="20" t="n">
        <v>2.42512399</v>
      </c>
      <c r="G59" s="18" t="n">
        <v>0.04481069</v>
      </c>
      <c r="H59" s="20" t="n">
        <v>0.04470153</v>
      </c>
      <c r="I59" s="18" t="s">
        <v>349</v>
      </c>
      <c r="J59" s="20" t="s">
        <v>349</v>
      </c>
      <c r="K59" s="18" t="n">
        <v>1.24332839</v>
      </c>
      <c r="L59" s="20" t="n">
        <v>0.32420959</v>
      </c>
      <c r="M59" s="18" t="n">
        <v>0.08069928</v>
      </c>
      <c r="N59" s="20" t="n">
        <v>0.08173782</v>
      </c>
      <c r="O59" s="18" t="n">
        <v>0</v>
      </c>
      <c r="P59" s="20" t="n">
        <v>0</v>
      </c>
      <c r="Q59" s="18" t="n">
        <v>36.09898436</v>
      </c>
      <c r="R59" s="20" t="n">
        <v>2.39386251</v>
      </c>
    </row>
    <row r="60" spans="1:18">
      <c r="A60" s="15" t="s">
        <v>402</v>
      </c>
      <c r="B60" s="17" t="n">
        <v>4546</v>
      </c>
      <c r="C60" s="18">
        <f>(3791.0/B60*100)</f>
        <v/>
      </c>
      <c r="D60" s="19" t="n">
        <v>755</v>
      </c>
      <c r="E60" s="18" t="n">
        <v>46.27221006</v>
      </c>
      <c r="F60" s="20" t="n">
        <v>2.16055278</v>
      </c>
      <c r="G60" s="18" t="n">
        <v>1.92706417</v>
      </c>
      <c r="H60" s="20" t="n">
        <v>0.53571271</v>
      </c>
      <c r="I60" s="18" t="s">
        <v>349</v>
      </c>
      <c r="J60" s="20" t="s">
        <v>349</v>
      </c>
      <c r="K60" s="18" t="n">
        <v>4.91922228</v>
      </c>
      <c r="L60" s="20" t="n">
        <v>0.8258942</v>
      </c>
      <c r="M60" s="18" t="n">
        <v>0</v>
      </c>
      <c r="N60" s="20" t="n">
        <v>0</v>
      </c>
      <c r="O60" s="18" t="n">
        <v>0</v>
      </c>
      <c r="P60" s="20" t="n">
        <v>0</v>
      </c>
      <c r="Q60" s="18" t="n">
        <v>46.88150348</v>
      </c>
      <c r="R60" s="20" t="n">
        <v>2.23513325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30.54767097</v>
      </c>
      <c r="F63" s="20" t="n">
        <v>1.47408992</v>
      </c>
      <c r="G63" s="18" t="n">
        <v>3.22095145</v>
      </c>
      <c r="H63" s="20" t="n">
        <v>0.71039729</v>
      </c>
      <c r="I63" s="18" t="s">
        <v>349</v>
      </c>
      <c r="J63" s="20" t="s">
        <v>349</v>
      </c>
      <c r="K63" s="18" t="n">
        <v>5.7816056</v>
      </c>
      <c r="L63" s="20" t="n">
        <v>0.8091963599999999</v>
      </c>
      <c r="M63" s="18" t="n">
        <v>0</v>
      </c>
      <c r="N63" s="20" t="n">
        <v>0</v>
      </c>
      <c r="O63" s="18" t="n">
        <v>0</v>
      </c>
      <c r="P63" s="20" t="n">
        <v>0</v>
      </c>
      <c r="Q63" s="18" t="n">
        <v>60.44977198</v>
      </c>
      <c r="R63" s="20" t="n">
        <v>1.70380274</v>
      </c>
    </row>
    <row r="64" spans="1:18">
      <c r="A64" s="15" t="s">
        <v>406</v>
      </c>
      <c r="B64" s="17" t="n">
        <v>3634</v>
      </c>
      <c r="C64" s="18">
        <f>(3051.0/B64*100)</f>
        <v/>
      </c>
      <c r="D64" s="19" t="n">
        <v>583</v>
      </c>
      <c r="E64" s="18" t="n">
        <v>61.72841294</v>
      </c>
      <c r="F64" s="20" t="n">
        <v>2.03394467</v>
      </c>
      <c r="G64" s="18" t="n">
        <v>6.89799785</v>
      </c>
      <c r="H64" s="20" t="n">
        <v>1.03657771</v>
      </c>
      <c r="I64" s="18" t="s">
        <v>349</v>
      </c>
      <c r="J64" s="20" t="s">
        <v>349</v>
      </c>
      <c r="K64" s="18" t="n">
        <v>2.44841674</v>
      </c>
      <c r="L64" s="20" t="n">
        <v>0.66860662</v>
      </c>
      <c r="M64" s="18" t="n">
        <v>0</v>
      </c>
      <c r="N64" s="20" t="n">
        <v>0</v>
      </c>
      <c r="O64" s="18" t="n">
        <v>0</v>
      </c>
      <c r="P64" s="20" t="n">
        <v>0</v>
      </c>
      <c r="Q64" s="18" t="n">
        <v>28.92517247</v>
      </c>
      <c r="R64" s="20" t="n">
        <v>2.01935109</v>
      </c>
    </row>
    <row r="65" spans="1:18">
      <c r="A65" s="15" t="s">
        <v>407</v>
      </c>
      <c r="B65" s="17" t="n">
        <v>5325</v>
      </c>
      <c r="C65" s="18">
        <f>(4467.0/B65*100)</f>
        <v/>
      </c>
      <c r="D65" s="19" t="n">
        <v>858</v>
      </c>
      <c r="E65" s="18" t="n">
        <v>36.07380142</v>
      </c>
      <c r="F65" s="20" t="n">
        <v>1.76173678</v>
      </c>
      <c r="G65" s="18" t="n">
        <v>3.16350086</v>
      </c>
      <c r="H65" s="20" t="n">
        <v>0.86965944</v>
      </c>
      <c r="I65" s="18" t="s">
        <v>349</v>
      </c>
      <c r="J65" s="20" t="s">
        <v>349</v>
      </c>
      <c r="K65" s="18" t="n">
        <v>5.26362515</v>
      </c>
      <c r="L65" s="20" t="n">
        <v>0.7231969</v>
      </c>
      <c r="M65" s="18" t="n">
        <v>0</v>
      </c>
      <c r="N65" s="20" t="n">
        <v>0</v>
      </c>
      <c r="O65" s="18" t="n">
        <v>0</v>
      </c>
      <c r="P65" s="20" t="n">
        <v>0</v>
      </c>
      <c r="Q65" s="18" t="n">
        <v>55.49907258</v>
      </c>
      <c r="R65" s="20" t="n">
        <v>1.88186007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77.1889704</v>
      </c>
      <c r="F69" s="20" t="n">
        <v>1.66489425</v>
      </c>
      <c r="G69" s="18" t="n">
        <v>22.14303338</v>
      </c>
      <c r="H69" s="20" t="n">
        <v>1.67093047</v>
      </c>
      <c r="I69" s="18" t="s">
        <v>349</v>
      </c>
      <c r="J69" s="20" t="s">
        <v>349</v>
      </c>
      <c r="K69" s="18" t="n">
        <v>0</v>
      </c>
      <c r="L69" s="20" t="n">
        <v>0</v>
      </c>
      <c r="M69" s="18" t="n">
        <v>0</v>
      </c>
      <c r="N69" s="20" t="n">
        <v>0</v>
      </c>
      <c r="O69" s="18" t="n">
        <v>0</v>
      </c>
      <c r="P69" s="20" t="n">
        <v>0</v>
      </c>
      <c r="Q69" s="18" t="n">
        <v>0.66799621</v>
      </c>
      <c r="R69" s="20" t="n">
        <v>0.27845738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46.76414525</v>
      </c>
      <c r="F74" s="20" t="n">
        <v>1.89185419</v>
      </c>
      <c r="G74" s="18" t="n">
        <v>2.31031712</v>
      </c>
      <c r="H74" s="20" t="n">
        <v>0.60298891</v>
      </c>
      <c r="I74" s="18" t="s">
        <v>349</v>
      </c>
      <c r="J74" s="20" t="s">
        <v>349</v>
      </c>
      <c r="K74" s="18" t="n">
        <v>7.21359351</v>
      </c>
      <c r="L74" s="20" t="n">
        <v>1.00265792</v>
      </c>
      <c r="M74" s="18" t="n">
        <v>0</v>
      </c>
      <c r="N74" s="20" t="n">
        <v>0</v>
      </c>
      <c r="O74" s="18" t="n">
        <v>0</v>
      </c>
      <c r="P74" s="20" t="n">
        <v>0</v>
      </c>
      <c r="Q74" s="18" t="n">
        <v>43.71194412</v>
      </c>
      <c r="R74" s="20" t="n">
        <v>1.91964088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87.88856711</v>
      </c>
      <c r="F78" s="20" t="n">
        <v>1.37908554</v>
      </c>
      <c r="G78" s="18" t="n">
        <v>8.718776289999999</v>
      </c>
      <c r="H78" s="20" t="n">
        <v>1.20615199</v>
      </c>
      <c r="I78" s="18" t="s">
        <v>349</v>
      </c>
      <c r="J78" s="20" t="s">
        <v>349</v>
      </c>
      <c r="K78" s="18" t="n">
        <v>0</v>
      </c>
      <c r="L78" s="20" t="n">
        <v>0</v>
      </c>
      <c r="M78" s="18" t="n">
        <v>0</v>
      </c>
      <c r="N78" s="20" t="n">
        <v>0</v>
      </c>
      <c r="O78" s="18" t="n">
        <v>0</v>
      </c>
      <c r="P78" s="20" t="n">
        <v>0</v>
      </c>
      <c r="Q78" s="18" t="n">
        <v>3.3926566</v>
      </c>
      <c r="R78" s="20" t="n">
        <v>0.71049638</v>
      </c>
    </row>
    <row customHeight="1" ht="25" r="79" spans="1:18">
      <c r="A79" s="15" t="s">
        <v>421</v>
      </c>
      <c r="B79" s="17" t="n">
        <v>1657</v>
      </c>
      <c r="C79" s="18">
        <f>(1382.0/B79*100)</f>
        <v/>
      </c>
      <c r="D79" s="19" t="n">
        <v>275</v>
      </c>
      <c r="E79" s="18" t="n">
        <v>42.80484643</v>
      </c>
      <c r="F79" s="20" t="n">
        <v>2.80701733</v>
      </c>
      <c r="G79" s="18" t="n">
        <v>5.09300828</v>
      </c>
      <c r="H79" s="20" t="n">
        <v>1.5905389</v>
      </c>
      <c r="I79" s="18" t="s">
        <v>349</v>
      </c>
      <c r="J79" s="20" t="s">
        <v>349</v>
      </c>
      <c r="K79" s="18" t="n">
        <v>4.57881077</v>
      </c>
      <c r="L79" s="20" t="n">
        <v>1.14272462</v>
      </c>
      <c r="M79" s="18" t="n">
        <v>0</v>
      </c>
      <c r="N79" s="20" t="n">
        <v>0</v>
      </c>
      <c r="O79" s="18" t="n">
        <v>0</v>
      </c>
      <c r="P79" s="20" t="n">
        <v>0</v>
      </c>
      <c r="Q79" s="18" t="n">
        <v>47.52333452</v>
      </c>
      <c r="R79" s="20" t="n">
        <v>2.95167363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66.18352448</v>
      </c>
      <c r="F44" s="20" t="n">
        <v>1.97583188</v>
      </c>
      <c r="G44" s="18" t="n">
        <v>18.17933322</v>
      </c>
      <c r="H44" s="20" t="n">
        <v>1.48859512</v>
      </c>
      <c r="I44" s="18" t="s">
        <v>349</v>
      </c>
      <c r="J44" s="20" t="s">
        <v>349</v>
      </c>
      <c r="K44" s="18" t="n">
        <v>4.20045232</v>
      </c>
      <c r="L44" s="20" t="n">
        <v>0.84920297</v>
      </c>
      <c r="M44" s="18" t="n">
        <v>0</v>
      </c>
      <c r="N44" s="20" t="n">
        <v>0</v>
      </c>
      <c r="O44" s="18" t="n">
        <v>0.10401343</v>
      </c>
      <c r="P44" s="20" t="n">
        <v>0.10573475</v>
      </c>
      <c r="Q44" s="18" t="n">
        <v>11.33267656</v>
      </c>
      <c r="R44" s="20" t="n">
        <v>1.36144995</v>
      </c>
    </row>
    <row r="45" spans="1:18">
      <c r="A45" s="15" t="s">
        <v>387</v>
      </c>
      <c r="B45" s="17" t="n">
        <v>5519</v>
      </c>
      <c r="C45" s="18">
        <f>(4609.0/B45*100)</f>
        <v/>
      </c>
      <c r="D45" s="19" t="n">
        <v>910</v>
      </c>
      <c r="E45" s="18" t="n">
        <v>69.07726273999999</v>
      </c>
      <c r="F45" s="20" t="n">
        <v>1.58908988</v>
      </c>
      <c r="G45" s="18" t="n">
        <v>16.07474448</v>
      </c>
      <c r="H45" s="20" t="n">
        <v>1.41659609</v>
      </c>
      <c r="I45" s="18" t="s">
        <v>349</v>
      </c>
      <c r="J45" s="20" t="s">
        <v>349</v>
      </c>
      <c r="K45" s="18" t="n">
        <v>7.66038902</v>
      </c>
      <c r="L45" s="20" t="n">
        <v>0.88412057</v>
      </c>
      <c r="M45" s="18" t="n">
        <v>0.23102198</v>
      </c>
      <c r="N45" s="20" t="n">
        <v>0.16782899</v>
      </c>
      <c r="O45" s="18" t="n">
        <v>1.28375891</v>
      </c>
      <c r="P45" s="20" t="n">
        <v>0.39703763</v>
      </c>
      <c r="Q45" s="18" t="n">
        <v>5.67282287</v>
      </c>
      <c r="R45" s="20" t="n">
        <v>0.73575611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68.52906335</v>
      </c>
      <c r="F49" s="20" t="n">
        <v>1.88220106</v>
      </c>
      <c r="G49" s="18" t="n">
        <v>22.68501042</v>
      </c>
      <c r="H49" s="20" t="n">
        <v>1.85109045</v>
      </c>
      <c r="I49" s="18" t="s">
        <v>349</v>
      </c>
      <c r="J49" s="20" t="s">
        <v>349</v>
      </c>
      <c r="K49" s="18" t="n">
        <v>3.32899078</v>
      </c>
      <c r="L49" s="20" t="n">
        <v>0.64327024</v>
      </c>
      <c r="M49" s="18" t="n">
        <v>0</v>
      </c>
      <c r="N49" s="20" t="n">
        <v>0</v>
      </c>
      <c r="O49" s="18" t="n">
        <v>0</v>
      </c>
      <c r="P49" s="20" t="n">
        <v>0</v>
      </c>
      <c r="Q49" s="18" t="n">
        <v>5.45693545</v>
      </c>
      <c r="R49" s="20" t="n">
        <v>0.89365484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72.45756263</v>
      </c>
      <c r="F55" s="20" t="n">
        <v>1.43272137</v>
      </c>
      <c r="G55" s="18" t="n">
        <v>21.51595136</v>
      </c>
      <c r="H55" s="20" t="n">
        <v>1.38757783</v>
      </c>
      <c r="I55" s="18" t="s">
        <v>349</v>
      </c>
      <c r="J55" s="20" t="s">
        <v>349</v>
      </c>
      <c r="K55" s="18" t="n">
        <v>2.50520834</v>
      </c>
      <c r="L55" s="20" t="n">
        <v>0.51340796</v>
      </c>
      <c r="M55" s="18" t="n">
        <v>0</v>
      </c>
      <c r="N55" s="20" t="n">
        <v>0</v>
      </c>
      <c r="O55" s="18" t="n">
        <v>0.1718955</v>
      </c>
      <c r="P55" s="20" t="n">
        <v>0.11978369</v>
      </c>
      <c r="Q55" s="18" t="n">
        <v>3.34938217</v>
      </c>
      <c r="R55" s="20" t="n">
        <v>0.58914219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73.38910842</v>
      </c>
      <c r="F57" s="20" t="n">
        <v>1.90118879</v>
      </c>
      <c r="G57" s="18" t="n">
        <v>23.59007686</v>
      </c>
      <c r="H57" s="20" t="n">
        <v>1.85428109</v>
      </c>
      <c r="I57" s="18" t="s">
        <v>349</v>
      </c>
      <c r="J57" s="20" t="s">
        <v>349</v>
      </c>
      <c r="K57" s="18" t="n">
        <v>1.08887716</v>
      </c>
      <c r="L57" s="20" t="n">
        <v>0.38404736</v>
      </c>
      <c r="M57" s="18" t="n">
        <v>0</v>
      </c>
      <c r="N57" s="20" t="n">
        <v>0</v>
      </c>
      <c r="O57" s="18" t="n">
        <v>0</v>
      </c>
      <c r="P57" s="20" t="n">
        <v>0</v>
      </c>
      <c r="Q57" s="18" t="n">
        <v>1.93193756</v>
      </c>
      <c r="R57" s="20" t="n">
        <v>0.44273597</v>
      </c>
    </row>
    <row r="58" spans="1:18">
      <c r="A58" s="15" t="s">
        <v>400</v>
      </c>
      <c r="B58" s="17" t="n">
        <v>7267</v>
      </c>
      <c r="C58" s="18">
        <f>(6083.0/B58*100)</f>
        <v/>
      </c>
      <c r="D58" s="19" t="n">
        <v>1184</v>
      </c>
      <c r="E58" s="18" t="n">
        <v>70.64911655</v>
      </c>
      <c r="F58" s="20" t="n">
        <v>1.56248583</v>
      </c>
      <c r="G58" s="18" t="n">
        <v>22.31926418</v>
      </c>
      <c r="H58" s="20" t="n">
        <v>1.42345498</v>
      </c>
      <c r="I58" s="18" t="s">
        <v>349</v>
      </c>
      <c r="J58" s="20" t="s">
        <v>349</v>
      </c>
      <c r="K58" s="18" t="n">
        <v>2.79419418</v>
      </c>
      <c r="L58" s="20" t="n">
        <v>0.58048403</v>
      </c>
      <c r="M58" s="18" t="n">
        <v>0</v>
      </c>
      <c r="N58" s="20" t="n">
        <v>0</v>
      </c>
      <c r="O58" s="18" t="n">
        <v>0.11019126</v>
      </c>
      <c r="P58" s="20" t="n">
        <v>0.11019709</v>
      </c>
      <c r="Q58" s="18" t="n">
        <v>4.12723383</v>
      </c>
      <c r="R58" s="20" t="n">
        <v>0.70662878</v>
      </c>
    </row>
    <row r="59" spans="1:18">
      <c r="A59" s="15" t="s">
        <v>401</v>
      </c>
      <c r="B59" s="17" t="n">
        <v>4826</v>
      </c>
      <c r="C59" s="18">
        <f>(4023.0/B59*100)</f>
        <v/>
      </c>
      <c r="D59" s="19" t="n">
        <v>803</v>
      </c>
      <c r="E59" s="18" t="n">
        <v>74.13642566</v>
      </c>
      <c r="F59" s="20" t="n">
        <v>1.89956837</v>
      </c>
      <c r="G59" s="18" t="n">
        <v>20.98650888</v>
      </c>
      <c r="H59" s="20" t="n">
        <v>1.71705619</v>
      </c>
      <c r="I59" s="18" t="s">
        <v>349</v>
      </c>
      <c r="J59" s="20" t="s">
        <v>349</v>
      </c>
      <c r="K59" s="18" t="n">
        <v>1.29445194</v>
      </c>
      <c r="L59" s="20" t="n">
        <v>0.32883588</v>
      </c>
      <c r="M59" s="18" t="n">
        <v>0</v>
      </c>
      <c r="N59" s="20" t="n">
        <v>0</v>
      </c>
      <c r="O59" s="18" t="n">
        <v>0.41477152</v>
      </c>
      <c r="P59" s="20" t="n">
        <v>0.25809169</v>
      </c>
      <c r="Q59" s="18" t="n">
        <v>3.167842</v>
      </c>
      <c r="R59" s="20" t="n">
        <v>0.76764047</v>
      </c>
    </row>
    <row r="60" spans="1:18">
      <c r="A60" s="15" t="s">
        <v>402</v>
      </c>
      <c r="B60" s="17" t="n">
        <v>4546</v>
      </c>
      <c r="C60" s="18">
        <f>(3791.0/B60*100)</f>
        <v/>
      </c>
      <c r="D60" s="19" t="n">
        <v>755</v>
      </c>
      <c r="E60" s="18" t="n">
        <v>65.89733977</v>
      </c>
      <c r="F60" s="20" t="n">
        <v>1.88199837</v>
      </c>
      <c r="G60" s="18" t="n">
        <v>22.16399321</v>
      </c>
      <c r="H60" s="20" t="n">
        <v>1.62198</v>
      </c>
      <c r="I60" s="18" t="s">
        <v>349</v>
      </c>
      <c r="J60" s="20" t="s">
        <v>349</v>
      </c>
      <c r="K60" s="18" t="n">
        <v>5.50298863</v>
      </c>
      <c r="L60" s="20" t="n">
        <v>0.8674467300000001</v>
      </c>
      <c r="M60" s="18" t="n">
        <v>0</v>
      </c>
      <c r="N60" s="20" t="n">
        <v>0</v>
      </c>
      <c r="O60" s="18" t="n">
        <v>0.94272422</v>
      </c>
      <c r="P60" s="20" t="n">
        <v>0.42040208</v>
      </c>
      <c r="Q60" s="18" t="n">
        <v>5.49295418</v>
      </c>
      <c r="R60" s="20" t="n">
        <v>0.95006591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62.20637321</v>
      </c>
      <c r="F63" s="20" t="n">
        <v>1.59853549</v>
      </c>
      <c r="G63" s="18" t="n">
        <v>20.19646798</v>
      </c>
      <c r="H63" s="20" t="n">
        <v>1.49672493</v>
      </c>
      <c r="I63" s="18" t="s">
        <v>349</v>
      </c>
      <c r="J63" s="20" t="s">
        <v>349</v>
      </c>
      <c r="K63" s="18" t="n">
        <v>6.05631964</v>
      </c>
      <c r="L63" s="20" t="n">
        <v>0.82602559</v>
      </c>
      <c r="M63" s="18" t="n">
        <v>0</v>
      </c>
      <c r="N63" s="20" t="n">
        <v>0</v>
      </c>
      <c r="O63" s="18" t="n">
        <v>0.13132651</v>
      </c>
      <c r="P63" s="20" t="n">
        <v>0.13180133</v>
      </c>
      <c r="Q63" s="18" t="n">
        <v>11.40951266</v>
      </c>
      <c r="R63" s="20" t="n">
        <v>1.16543023</v>
      </c>
    </row>
    <row r="64" spans="1:18">
      <c r="A64" s="15" t="s">
        <v>406</v>
      </c>
      <c r="B64" s="17" t="n">
        <v>3634</v>
      </c>
      <c r="C64" s="18">
        <f>(3051.0/B64*100)</f>
        <v/>
      </c>
      <c r="D64" s="19" t="n">
        <v>583</v>
      </c>
      <c r="E64" s="18" t="n">
        <v>54.48978333</v>
      </c>
      <c r="F64" s="20" t="n">
        <v>2.09759401</v>
      </c>
      <c r="G64" s="18" t="n">
        <v>39.62888276</v>
      </c>
      <c r="H64" s="20" t="n">
        <v>2.03401305</v>
      </c>
      <c r="I64" s="18" t="s">
        <v>349</v>
      </c>
      <c r="J64" s="20" t="s">
        <v>349</v>
      </c>
      <c r="K64" s="18" t="n">
        <v>2.60402478</v>
      </c>
      <c r="L64" s="20" t="n">
        <v>0.68215945</v>
      </c>
      <c r="M64" s="18" t="n">
        <v>0</v>
      </c>
      <c r="N64" s="20" t="n">
        <v>0</v>
      </c>
      <c r="O64" s="18" t="n">
        <v>0</v>
      </c>
      <c r="P64" s="20" t="n">
        <v>0</v>
      </c>
      <c r="Q64" s="18" t="n">
        <v>3.27730914</v>
      </c>
      <c r="R64" s="20" t="n">
        <v>0.81490096</v>
      </c>
    </row>
    <row r="65" spans="1:18">
      <c r="A65" s="15" t="s">
        <v>407</v>
      </c>
      <c r="B65" s="17" t="n">
        <v>5325</v>
      </c>
      <c r="C65" s="18">
        <f>(4467.0/B65*100)</f>
        <v/>
      </c>
      <c r="D65" s="19" t="n">
        <v>858</v>
      </c>
      <c r="E65" s="18" t="n">
        <v>70.82474428</v>
      </c>
      <c r="F65" s="20" t="n">
        <v>1.66158131</v>
      </c>
      <c r="G65" s="18" t="n">
        <v>15.61484702</v>
      </c>
      <c r="H65" s="20" t="n">
        <v>1.25683914</v>
      </c>
      <c r="I65" s="18" t="s">
        <v>349</v>
      </c>
      <c r="J65" s="20" t="s">
        <v>349</v>
      </c>
      <c r="K65" s="18" t="n">
        <v>5.38512313</v>
      </c>
      <c r="L65" s="20" t="n">
        <v>0.75521391</v>
      </c>
      <c r="M65" s="18" t="n">
        <v>0.35104125</v>
      </c>
      <c r="N65" s="20" t="n">
        <v>0.22509336</v>
      </c>
      <c r="O65" s="18" t="n">
        <v>0</v>
      </c>
      <c r="P65" s="20" t="n">
        <v>0</v>
      </c>
      <c r="Q65" s="18" t="n">
        <v>7.82424432</v>
      </c>
      <c r="R65" s="20" t="n">
        <v>0.9431115799999999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76.95000459000001</v>
      </c>
      <c r="F69" s="20" t="n">
        <v>1.66613573</v>
      </c>
      <c r="G69" s="18" t="n">
        <v>22.64049148</v>
      </c>
      <c r="H69" s="20" t="n">
        <v>1.65403042</v>
      </c>
      <c r="I69" s="18" t="s">
        <v>349</v>
      </c>
      <c r="J69" s="20" t="s">
        <v>349</v>
      </c>
      <c r="K69" s="18" t="n">
        <v>0</v>
      </c>
      <c r="L69" s="20" t="n">
        <v>0</v>
      </c>
      <c r="M69" s="18" t="n">
        <v>0</v>
      </c>
      <c r="N69" s="20" t="n">
        <v>0</v>
      </c>
      <c r="O69" s="18" t="n">
        <v>0</v>
      </c>
      <c r="P69" s="20" t="n">
        <v>0</v>
      </c>
      <c r="Q69" s="18" t="n">
        <v>0.40950394</v>
      </c>
      <c r="R69" s="20" t="n">
        <v>0.20459656</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57.32237723</v>
      </c>
      <c r="F74" s="20" t="n">
        <v>1.75556385</v>
      </c>
      <c r="G74" s="18" t="n">
        <v>30.9763045</v>
      </c>
      <c r="H74" s="20" t="n">
        <v>1.79847294</v>
      </c>
      <c r="I74" s="18" t="s">
        <v>349</v>
      </c>
      <c r="J74" s="20" t="s">
        <v>349</v>
      </c>
      <c r="K74" s="18" t="n">
        <v>7.21359351</v>
      </c>
      <c r="L74" s="20" t="n">
        <v>1.00265792</v>
      </c>
      <c r="M74" s="18" t="n">
        <v>0</v>
      </c>
      <c r="N74" s="20" t="n">
        <v>0</v>
      </c>
      <c r="O74" s="18" t="n">
        <v>0</v>
      </c>
      <c r="P74" s="20" t="n">
        <v>0</v>
      </c>
      <c r="Q74" s="18" t="n">
        <v>4.48772476</v>
      </c>
      <c r="R74" s="20" t="n">
        <v>0.79782917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48.47230295</v>
      </c>
      <c r="F78" s="20" t="n">
        <v>2.16374786</v>
      </c>
      <c r="G78" s="18" t="n">
        <v>51.52769705</v>
      </c>
      <c r="H78" s="20" t="n">
        <v>2.16374786</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(1382.0/B79*100)</f>
        <v/>
      </c>
      <c r="D79" s="19" t="n">
        <v>275</v>
      </c>
      <c r="E79" s="18" t="n">
        <v>71.64158979</v>
      </c>
      <c r="F79" s="20" t="n">
        <v>3.49994778</v>
      </c>
      <c r="G79" s="18" t="n">
        <v>20.23354938</v>
      </c>
      <c r="H79" s="20" t="n">
        <v>3.35449957</v>
      </c>
      <c r="I79" s="18" t="s">
        <v>349</v>
      </c>
      <c r="J79" s="20" t="s">
        <v>349</v>
      </c>
      <c r="K79" s="18" t="n">
        <v>4.57881077</v>
      </c>
      <c r="L79" s="20" t="n">
        <v>1.14272462</v>
      </c>
      <c r="M79" s="18" t="n">
        <v>0</v>
      </c>
      <c r="N79" s="20" t="n">
        <v>0</v>
      </c>
      <c r="O79" s="18" t="n">
        <v>0</v>
      </c>
      <c r="P79" s="20" t="n">
        <v>0</v>
      </c>
      <c r="Q79" s="18" t="n">
        <v>3.54605006</v>
      </c>
      <c r="R79" s="20" t="n">
        <v>0.94595165</v>
      </c>
    </row>
    <row r="80" spans="1:18">
      <c r="A80" s="15" t="s">
        <v>422</v>
      </c>
      <c r="B80" s="17" t="n">
        <v>7841</v>
      </c>
      <c r="C80" s="18">
        <f>(6522.0/B80*100)</f>
        <v/>
      </c>
      <c r="D80" s="19" t="n">
        <v>1319</v>
      </c>
      <c r="E80" s="18" t="n">
        <v>75.24151526</v>
      </c>
      <c r="F80" s="20" t="n">
        <v>1.91357267</v>
      </c>
      <c r="G80" s="18" t="n">
        <v>23.96554201</v>
      </c>
      <c r="H80" s="20" t="n">
        <v>1.8480739</v>
      </c>
      <c r="I80" s="18" t="s">
        <v>349</v>
      </c>
      <c r="J80" s="20" t="s">
        <v>349</v>
      </c>
      <c r="K80" s="18" t="n">
        <v>0</v>
      </c>
      <c r="L80" s="20" t="n">
        <v>0</v>
      </c>
      <c r="M80" s="18" t="n">
        <v>0</v>
      </c>
      <c r="N80" s="20" t="n">
        <v>0</v>
      </c>
      <c r="O80" s="18" t="n">
        <v>0</v>
      </c>
      <c r="P80" s="20" t="n">
        <v>0</v>
      </c>
      <c r="Q80" s="18" t="n">
        <v>0.79294273</v>
      </c>
      <c r="R80" s="20" t="n">
        <v>0.5770669899999999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33.10239021</v>
      </c>
      <c r="F44" s="20" t="n">
        <v>2.22306657</v>
      </c>
      <c r="G44" s="18" t="n">
        <v>46.88151169</v>
      </c>
      <c r="H44" s="20" t="n">
        <v>2.55824659</v>
      </c>
      <c r="I44" s="18" t="s">
        <v>349</v>
      </c>
      <c r="J44" s="20" t="s">
        <v>349</v>
      </c>
      <c r="K44" s="18" t="n">
        <v>5.31809729</v>
      </c>
      <c r="L44" s="20" t="n">
        <v>0.98495702</v>
      </c>
      <c r="M44" s="18" t="n">
        <v>0</v>
      </c>
      <c r="N44" s="20" t="n">
        <v>0</v>
      </c>
      <c r="O44" s="18" t="n">
        <v>0</v>
      </c>
      <c r="P44" s="20" t="n">
        <v>0</v>
      </c>
      <c r="Q44" s="18" t="n">
        <v>14.69800081</v>
      </c>
      <c r="R44" s="20" t="n">
        <v>1.38359517</v>
      </c>
    </row>
    <row r="45" spans="1:18">
      <c r="A45" s="15" t="s">
        <v>387</v>
      </c>
      <c r="B45" s="17" t="n">
        <v>5519</v>
      </c>
      <c r="C45" s="18">
        <f>(4609.0/B45*100)</f>
        <v/>
      </c>
      <c r="D45" s="19" t="n">
        <v>910</v>
      </c>
      <c r="E45" s="18" t="n">
        <v>32.38330479</v>
      </c>
      <c r="F45" s="20" t="n">
        <v>1.85850457</v>
      </c>
      <c r="G45" s="18" t="n">
        <v>48.4595322</v>
      </c>
      <c r="H45" s="20" t="n">
        <v>2.07419927</v>
      </c>
      <c r="I45" s="18" t="s">
        <v>349</v>
      </c>
      <c r="J45" s="20" t="s">
        <v>349</v>
      </c>
      <c r="K45" s="18" t="n">
        <v>8.232309969999999</v>
      </c>
      <c r="L45" s="20" t="n">
        <v>0.9030711</v>
      </c>
      <c r="M45" s="18" t="n">
        <v>0</v>
      </c>
      <c r="N45" s="20" t="n">
        <v>0</v>
      </c>
      <c r="O45" s="18" t="n">
        <v>0.57567681</v>
      </c>
      <c r="P45" s="20" t="n">
        <v>0.25657223</v>
      </c>
      <c r="Q45" s="18" t="n">
        <v>10.34917623</v>
      </c>
      <c r="R45" s="20" t="n">
        <v>1.28208194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43.4102096</v>
      </c>
      <c r="F49" s="20" t="n">
        <v>1.89389889</v>
      </c>
      <c r="G49" s="18" t="n">
        <v>36.34761717</v>
      </c>
      <c r="H49" s="20" t="n">
        <v>1.8603228</v>
      </c>
      <c r="I49" s="18" t="s">
        <v>349</v>
      </c>
      <c r="J49" s="20" t="s">
        <v>349</v>
      </c>
      <c r="K49" s="18" t="n">
        <v>4.07320451</v>
      </c>
      <c r="L49" s="20" t="n">
        <v>0.70069056</v>
      </c>
      <c r="M49" s="18" t="n">
        <v>0</v>
      </c>
      <c r="N49" s="20" t="n">
        <v>0</v>
      </c>
      <c r="O49" s="18" t="n">
        <v>0</v>
      </c>
      <c r="P49" s="20" t="n">
        <v>0</v>
      </c>
      <c r="Q49" s="18" t="n">
        <v>16.16896872</v>
      </c>
      <c r="R49" s="20" t="n">
        <v>1.55854549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39.24227563</v>
      </c>
      <c r="F55" s="20" t="n">
        <v>2.04726311</v>
      </c>
      <c r="G55" s="18" t="n">
        <v>39.33629582</v>
      </c>
      <c r="H55" s="20" t="n">
        <v>1.87314714</v>
      </c>
      <c r="I55" s="18" t="s">
        <v>349</v>
      </c>
      <c r="J55" s="20" t="s">
        <v>349</v>
      </c>
      <c r="K55" s="18" t="n">
        <v>3.27367587</v>
      </c>
      <c r="L55" s="20" t="n">
        <v>0.53414259</v>
      </c>
      <c r="M55" s="18" t="n">
        <v>0</v>
      </c>
      <c r="N55" s="20" t="n">
        <v>0</v>
      </c>
      <c r="O55" s="18" t="n">
        <v>0.08446399</v>
      </c>
      <c r="P55" s="20" t="n">
        <v>0.05677679</v>
      </c>
      <c r="Q55" s="18" t="n">
        <v>18.06328869</v>
      </c>
      <c r="R55" s="20" t="n">
        <v>1.48283101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57.73916755</v>
      </c>
      <c r="F57" s="20" t="n">
        <v>1.64078138</v>
      </c>
      <c r="G57" s="18" t="n">
        <v>36.89711739</v>
      </c>
      <c r="H57" s="20" t="n">
        <v>1.77024594</v>
      </c>
      <c r="I57" s="18" t="s">
        <v>349</v>
      </c>
      <c r="J57" s="20" t="s">
        <v>349</v>
      </c>
      <c r="K57" s="18" t="n">
        <v>1.43744946</v>
      </c>
      <c r="L57" s="20" t="n">
        <v>0.42481188</v>
      </c>
      <c r="M57" s="18" t="n">
        <v>0</v>
      </c>
      <c r="N57" s="20" t="n">
        <v>0</v>
      </c>
      <c r="O57" s="18" t="n">
        <v>0</v>
      </c>
      <c r="P57" s="20" t="n">
        <v>0</v>
      </c>
      <c r="Q57" s="18" t="n">
        <v>3.9262656</v>
      </c>
      <c r="R57" s="20" t="n">
        <v>0.75344863</v>
      </c>
    </row>
    <row r="58" spans="1:18">
      <c r="A58" s="15" t="s">
        <v>400</v>
      </c>
      <c r="B58" s="17" t="n">
        <v>7267</v>
      </c>
      <c r="C58" s="18">
        <f>(6083.0/B58*100)</f>
        <v/>
      </c>
      <c r="D58" s="19" t="n">
        <v>1184</v>
      </c>
      <c r="E58" s="18" t="n">
        <v>33.73509324</v>
      </c>
      <c r="F58" s="20" t="n">
        <v>1.82845031</v>
      </c>
      <c r="G58" s="18" t="n">
        <v>56.99122838</v>
      </c>
      <c r="H58" s="20" t="n">
        <v>1.91967913</v>
      </c>
      <c r="I58" s="18" t="s">
        <v>349</v>
      </c>
      <c r="J58" s="20" t="s">
        <v>349</v>
      </c>
      <c r="K58" s="18" t="n">
        <v>3.4146801</v>
      </c>
      <c r="L58" s="20" t="n">
        <v>0.65836238</v>
      </c>
      <c r="M58" s="18" t="n">
        <v>0</v>
      </c>
      <c r="N58" s="20" t="n">
        <v>0</v>
      </c>
      <c r="O58" s="18" t="n">
        <v>0</v>
      </c>
      <c r="P58" s="20" t="n">
        <v>0</v>
      </c>
      <c r="Q58" s="18" t="n">
        <v>5.85899828</v>
      </c>
      <c r="R58" s="20" t="n">
        <v>0.87567613</v>
      </c>
    </row>
    <row r="59" spans="1:18">
      <c r="A59" s="15" t="s">
        <v>401</v>
      </c>
      <c r="B59" s="17" t="n">
        <v>4826</v>
      </c>
      <c r="C59" s="18">
        <f>(4023.0/B59*100)</f>
        <v/>
      </c>
      <c r="D59" s="19" t="n">
        <v>803</v>
      </c>
      <c r="E59" s="18" t="n">
        <v>59.28373638</v>
      </c>
      <c r="F59" s="20" t="n">
        <v>2.33987015</v>
      </c>
      <c r="G59" s="18" t="n">
        <v>26.70537379</v>
      </c>
      <c r="H59" s="20" t="n">
        <v>1.86581328</v>
      </c>
      <c r="I59" s="18" t="s">
        <v>349</v>
      </c>
      <c r="J59" s="20" t="s">
        <v>349</v>
      </c>
      <c r="K59" s="18" t="n">
        <v>1.54540397</v>
      </c>
      <c r="L59" s="20" t="n">
        <v>0.36779332</v>
      </c>
      <c r="M59" s="18" t="n">
        <v>0.14653995</v>
      </c>
      <c r="N59" s="20" t="n">
        <v>0.14707084</v>
      </c>
      <c r="O59" s="18" t="n">
        <v>0</v>
      </c>
      <c r="P59" s="20" t="n">
        <v>0</v>
      </c>
      <c r="Q59" s="18" t="n">
        <v>12.31894591</v>
      </c>
      <c r="R59" s="20" t="n">
        <v>1.38858084</v>
      </c>
    </row>
    <row r="60" spans="1:18">
      <c r="A60" s="15" t="s">
        <v>402</v>
      </c>
      <c r="B60" s="17" t="n">
        <v>4546</v>
      </c>
      <c r="C60" s="18">
        <f>(3791.0/B60*100)</f>
        <v/>
      </c>
      <c r="D60" s="19" t="n">
        <v>755</v>
      </c>
      <c r="E60" s="18" t="n">
        <v>19.84064212</v>
      </c>
      <c r="F60" s="20" t="n">
        <v>1.83380908</v>
      </c>
      <c r="G60" s="18" t="n">
        <v>63.43991995</v>
      </c>
      <c r="H60" s="20" t="n">
        <v>2.27009609</v>
      </c>
      <c r="I60" s="18" t="s">
        <v>349</v>
      </c>
      <c r="J60" s="20" t="s">
        <v>349</v>
      </c>
      <c r="K60" s="18" t="n">
        <v>6.48936326</v>
      </c>
      <c r="L60" s="20" t="n">
        <v>0.96063381</v>
      </c>
      <c r="M60" s="18" t="n">
        <v>0.43556439</v>
      </c>
      <c r="N60" s="20" t="n">
        <v>0.31516579</v>
      </c>
      <c r="O60" s="18" t="n">
        <v>0</v>
      </c>
      <c r="P60" s="20" t="n">
        <v>0</v>
      </c>
      <c r="Q60" s="18" t="n">
        <v>9.794510280000001</v>
      </c>
      <c r="R60" s="20" t="n">
        <v>1.45716655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31.17825584</v>
      </c>
      <c r="F63" s="20" t="n">
        <v>1.3407014</v>
      </c>
      <c r="G63" s="18" t="n">
        <v>38.58782347</v>
      </c>
      <c r="H63" s="20" t="n">
        <v>1.67586347</v>
      </c>
      <c r="I63" s="18" t="s">
        <v>349</v>
      </c>
      <c r="J63" s="20" t="s">
        <v>349</v>
      </c>
      <c r="K63" s="18" t="n">
        <v>7.54671229</v>
      </c>
      <c r="L63" s="20" t="n">
        <v>0.97674809</v>
      </c>
      <c r="M63" s="18" t="n">
        <v>0</v>
      </c>
      <c r="N63" s="20" t="n">
        <v>0</v>
      </c>
      <c r="O63" s="18" t="n">
        <v>0</v>
      </c>
      <c r="P63" s="20" t="n">
        <v>0</v>
      </c>
      <c r="Q63" s="18" t="n">
        <v>22.6872084</v>
      </c>
      <c r="R63" s="20" t="n">
        <v>1.54977384</v>
      </c>
    </row>
    <row r="64" spans="1:18">
      <c r="A64" s="15" t="s">
        <v>406</v>
      </c>
      <c r="B64" s="17" t="n">
        <v>3634</v>
      </c>
      <c r="C64" s="18">
        <f>(3051.0/B64*100)</f>
        <v/>
      </c>
      <c r="D64" s="19" t="n">
        <v>583</v>
      </c>
      <c r="E64" s="18" t="n">
        <v>24.55544971</v>
      </c>
      <c r="F64" s="20" t="n">
        <v>1.72016574</v>
      </c>
      <c r="G64" s="18" t="n">
        <v>64.71816171</v>
      </c>
      <c r="H64" s="20" t="n">
        <v>2.14891644</v>
      </c>
      <c r="I64" s="18" t="s">
        <v>349</v>
      </c>
      <c r="J64" s="20" t="s">
        <v>349</v>
      </c>
      <c r="K64" s="18" t="n">
        <v>3.35252871</v>
      </c>
      <c r="L64" s="20" t="n">
        <v>0.7418197</v>
      </c>
      <c r="M64" s="18" t="n">
        <v>0</v>
      </c>
      <c r="N64" s="20" t="n">
        <v>0</v>
      </c>
      <c r="O64" s="18" t="n">
        <v>0</v>
      </c>
      <c r="P64" s="20" t="n">
        <v>0</v>
      </c>
      <c r="Q64" s="18" t="n">
        <v>7.37385987</v>
      </c>
      <c r="R64" s="20" t="n">
        <v>1.16222041</v>
      </c>
    </row>
    <row r="65" spans="1:18">
      <c r="A65" s="15" t="s">
        <v>407</v>
      </c>
      <c r="B65" s="17" t="n">
        <v>5325</v>
      </c>
      <c r="C65" s="18">
        <f>(4467.0/B65*100)</f>
        <v/>
      </c>
      <c r="D65" s="19" t="n">
        <v>858</v>
      </c>
      <c r="E65" s="18" t="n">
        <v>35.44537311</v>
      </c>
      <c r="F65" s="20" t="n">
        <v>1.58425508</v>
      </c>
      <c r="G65" s="18" t="n">
        <v>43.46339158</v>
      </c>
      <c r="H65" s="20" t="n">
        <v>1.51330782</v>
      </c>
      <c r="I65" s="18" t="s">
        <v>349</v>
      </c>
      <c r="J65" s="20" t="s">
        <v>349</v>
      </c>
      <c r="K65" s="18" t="n">
        <v>6.21773475</v>
      </c>
      <c r="L65" s="20" t="n">
        <v>0.8458092</v>
      </c>
      <c r="M65" s="18" t="n">
        <v>0</v>
      </c>
      <c r="N65" s="20" t="n">
        <v>0</v>
      </c>
      <c r="O65" s="18" t="n">
        <v>0</v>
      </c>
      <c r="P65" s="20" t="n">
        <v>0</v>
      </c>
      <c r="Q65" s="18" t="n">
        <v>14.87350056</v>
      </c>
      <c r="R65" s="20" t="n">
        <v>1.38813148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40.48441542</v>
      </c>
      <c r="F69" s="20" t="n">
        <v>1.90323877</v>
      </c>
      <c r="G69" s="18" t="n">
        <v>59.30264246</v>
      </c>
      <c r="H69" s="20" t="n">
        <v>1.91588884</v>
      </c>
      <c r="I69" s="18" t="s">
        <v>349</v>
      </c>
      <c r="J69" s="20" t="s">
        <v>349</v>
      </c>
      <c r="K69" s="18" t="n">
        <v>0</v>
      </c>
      <c r="L69" s="20" t="n">
        <v>0</v>
      </c>
      <c r="M69" s="18" t="n">
        <v>0</v>
      </c>
      <c r="N69" s="20" t="n">
        <v>0</v>
      </c>
      <c r="O69" s="18" t="n">
        <v>0</v>
      </c>
      <c r="P69" s="20" t="n">
        <v>0</v>
      </c>
      <c r="Q69" s="18" t="n">
        <v>0.21294213</v>
      </c>
      <c r="R69" s="20" t="n">
        <v>0.15116759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28.75656923</v>
      </c>
      <c r="F74" s="20" t="n">
        <v>1.6241259</v>
      </c>
      <c r="G74" s="18" t="n">
        <v>49.79299871</v>
      </c>
      <c r="H74" s="20" t="n">
        <v>2.00116149</v>
      </c>
      <c r="I74" s="18" t="s">
        <v>349</v>
      </c>
      <c r="J74" s="20" t="s">
        <v>349</v>
      </c>
      <c r="K74" s="18" t="n">
        <v>8.750383640000001</v>
      </c>
      <c r="L74" s="20" t="n">
        <v>1.04152779</v>
      </c>
      <c r="M74" s="18" t="n">
        <v>0</v>
      </c>
      <c r="N74" s="20" t="n">
        <v>0</v>
      </c>
      <c r="O74" s="18" t="n">
        <v>0</v>
      </c>
      <c r="P74" s="20" t="n">
        <v>0</v>
      </c>
      <c r="Q74" s="18" t="n">
        <v>12.70004842</v>
      </c>
      <c r="R74" s="20" t="n">
        <v>1.4285396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18.53807569</v>
      </c>
      <c r="F78" s="20" t="n">
        <v>1.88791468</v>
      </c>
      <c r="G78" s="18" t="n">
        <v>80.30234038</v>
      </c>
      <c r="H78" s="20" t="n">
        <v>1.88817332</v>
      </c>
      <c r="I78" s="18" t="s">
        <v>349</v>
      </c>
      <c r="J78" s="20" t="s">
        <v>349</v>
      </c>
      <c r="K78" s="18" t="n">
        <v>0</v>
      </c>
      <c r="L78" s="20" t="n">
        <v>0</v>
      </c>
      <c r="M78" s="18" t="n">
        <v>0</v>
      </c>
      <c r="N78" s="20" t="n">
        <v>0</v>
      </c>
      <c r="O78" s="18" t="n">
        <v>0</v>
      </c>
      <c r="P78" s="20" t="n">
        <v>0</v>
      </c>
      <c r="Q78" s="18" t="n">
        <v>1.15958393</v>
      </c>
      <c r="R78" s="20" t="n">
        <v>0.42966542</v>
      </c>
    </row>
    <row customHeight="1" ht="25" r="79" spans="1:18">
      <c r="A79" s="15" t="s">
        <v>421</v>
      </c>
      <c r="B79" s="17" t="n">
        <v>1657</v>
      </c>
      <c r="C79" s="18">
        <f>(1382.0/B79*100)</f>
        <v/>
      </c>
      <c r="D79" s="19" t="n">
        <v>275</v>
      </c>
      <c r="E79" s="18" t="n">
        <v>19.19972962</v>
      </c>
      <c r="F79" s="20" t="n">
        <v>2.71849473</v>
      </c>
      <c r="G79" s="18" t="n">
        <v>60.73017727</v>
      </c>
      <c r="H79" s="20" t="n">
        <v>3.9843004</v>
      </c>
      <c r="I79" s="18" t="s">
        <v>349</v>
      </c>
      <c r="J79" s="20" t="s">
        <v>349</v>
      </c>
      <c r="K79" s="18" t="n">
        <v>5.51487582</v>
      </c>
      <c r="L79" s="20" t="n">
        <v>1.33716309</v>
      </c>
      <c r="M79" s="18" t="n">
        <v>0</v>
      </c>
      <c r="N79" s="20" t="n">
        <v>0</v>
      </c>
      <c r="O79" s="18" t="n">
        <v>0</v>
      </c>
      <c r="P79" s="20" t="n">
        <v>0</v>
      </c>
      <c r="Q79" s="18" t="n">
        <v>14.55521729</v>
      </c>
      <c r="R79" s="20" t="n">
        <v>2.3298</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578</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47.08079662</v>
      </c>
      <c r="F44" s="20" t="n">
        <v>2.31433927</v>
      </c>
      <c r="G44" s="18" t="n">
        <v>38.84647979</v>
      </c>
      <c r="H44" s="20" t="n">
        <v>2.15528044</v>
      </c>
      <c r="I44" s="18" t="s">
        <v>349</v>
      </c>
      <c r="J44" s="20" t="s">
        <v>349</v>
      </c>
      <c r="K44" s="18" t="n">
        <v>8.47744565</v>
      </c>
      <c r="L44" s="20" t="n">
        <v>1.20129124</v>
      </c>
      <c r="M44" s="18" t="n">
        <v>0</v>
      </c>
      <c r="N44" s="20" t="n">
        <v>0</v>
      </c>
      <c r="O44" s="18" t="n">
        <v>0.73709054</v>
      </c>
      <c r="P44" s="20" t="n">
        <v>0.32135162</v>
      </c>
      <c r="Q44" s="18" t="n">
        <v>4.8581874</v>
      </c>
      <c r="R44" s="20" t="n">
        <v>0.76210183</v>
      </c>
    </row>
    <row r="45" spans="1:18">
      <c r="A45" s="15" t="s">
        <v>387</v>
      </c>
      <c r="B45" s="17" t="n">
        <v>5519</v>
      </c>
      <c r="C45" s="18">
        <f>(4609.0/B45*100)</f>
        <v/>
      </c>
      <c r="D45" s="19" t="n">
        <v>910</v>
      </c>
      <c r="E45" s="18" t="n">
        <v>50.22139547</v>
      </c>
      <c r="F45" s="20" t="n">
        <v>1.75841291</v>
      </c>
      <c r="G45" s="18" t="n">
        <v>35.24124723</v>
      </c>
      <c r="H45" s="20" t="n">
        <v>1.91716792</v>
      </c>
      <c r="I45" s="18" t="s">
        <v>349</v>
      </c>
      <c r="J45" s="20" t="s">
        <v>349</v>
      </c>
      <c r="K45" s="18" t="n">
        <v>9.47502456</v>
      </c>
      <c r="L45" s="20" t="n">
        <v>1.01944366</v>
      </c>
      <c r="M45" s="18" t="n">
        <v>0.59686648</v>
      </c>
      <c r="N45" s="20" t="n">
        <v>0.25118674</v>
      </c>
      <c r="O45" s="18" t="n">
        <v>1.23770943</v>
      </c>
      <c r="P45" s="20" t="n">
        <v>0.37117654</v>
      </c>
      <c r="Q45" s="18" t="n">
        <v>3.22775683</v>
      </c>
      <c r="R45" s="20" t="n">
        <v>0.68853089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47.7710237</v>
      </c>
      <c r="F49" s="20" t="n">
        <v>2.07404953</v>
      </c>
      <c r="G49" s="18" t="n">
        <v>45.5634245</v>
      </c>
      <c r="H49" s="20" t="n">
        <v>1.99597312</v>
      </c>
      <c r="I49" s="18" t="s">
        <v>349</v>
      </c>
      <c r="J49" s="20" t="s">
        <v>349</v>
      </c>
      <c r="K49" s="18" t="n">
        <v>5.14369059</v>
      </c>
      <c r="L49" s="20" t="n">
        <v>0.82345532</v>
      </c>
      <c r="M49" s="18" t="n">
        <v>0</v>
      </c>
      <c r="N49" s="20" t="n">
        <v>0</v>
      </c>
      <c r="O49" s="18" t="n">
        <v>0</v>
      </c>
      <c r="P49" s="20" t="n">
        <v>0</v>
      </c>
      <c r="Q49" s="18" t="n">
        <v>1.52186121</v>
      </c>
      <c r="R49" s="20" t="n">
        <v>0.44220875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50.75695814</v>
      </c>
      <c r="F55" s="20" t="n">
        <v>1.81132648</v>
      </c>
      <c r="G55" s="18" t="n">
        <v>41.98743132</v>
      </c>
      <c r="H55" s="20" t="n">
        <v>1.8333374</v>
      </c>
      <c r="I55" s="18" t="s">
        <v>349</v>
      </c>
      <c r="J55" s="20" t="s">
        <v>349</v>
      </c>
      <c r="K55" s="18" t="n">
        <v>4.73921472</v>
      </c>
      <c r="L55" s="20" t="n">
        <v>0.71841943</v>
      </c>
      <c r="M55" s="18" t="n">
        <v>0</v>
      </c>
      <c r="N55" s="20" t="n">
        <v>0</v>
      </c>
      <c r="O55" s="18" t="n">
        <v>0.30458654</v>
      </c>
      <c r="P55" s="20" t="n">
        <v>0.17390892</v>
      </c>
      <c r="Q55" s="18" t="n">
        <v>2.21180928</v>
      </c>
      <c r="R55" s="20" t="n">
        <v>0.42911454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62.92333399</v>
      </c>
      <c r="F57" s="20" t="n">
        <v>2.04371379</v>
      </c>
      <c r="G57" s="18" t="n">
        <v>32.85792752</v>
      </c>
      <c r="H57" s="20" t="n">
        <v>2.05739043</v>
      </c>
      <c r="I57" s="18" t="s">
        <v>349</v>
      </c>
      <c r="J57" s="20" t="s">
        <v>349</v>
      </c>
      <c r="K57" s="18" t="n">
        <v>2.00663593</v>
      </c>
      <c r="L57" s="20" t="n">
        <v>0.4722327</v>
      </c>
      <c r="M57" s="18" t="n">
        <v>0</v>
      </c>
      <c r="N57" s="20" t="n">
        <v>0</v>
      </c>
      <c r="O57" s="18" t="n">
        <v>0</v>
      </c>
      <c r="P57" s="20" t="n">
        <v>0</v>
      </c>
      <c r="Q57" s="18" t="n">
        <v>2.21210256</v>
      </c>
      <c r="R57" s="20" t="n">
        <v>0.45957975</v>
      </c>
    </row>
    <row r="58" spans="1:18">
      <c r="A58" s="15" t="s">
        <v>400</v>
      </c>
      <c r="B58" s="17" t="n">
        <v>7267</v>
      </c>
      <c r="C58" s="18">
        <f>(6083.0/B58*100)</f>
        <v/>
      </c>
      <c r="D58" s="19" t="n">
        <v>1184</v>
      </c>
      <c r="E58" s="18" t="n">
        <v>57.95069887</v>
      </c>
      <c r="F58" s="20" t="n">
        <v>1.72772533</v>
      </c>
      <c r="G58" s="18" t="n">
        <v>35.15560994</v>
      </c>
      <c r="H58" s="20" t="n">
        <v>1.56589264</v>
      </c>
      <c r="I58" s="18" t="s">
        <v>349</v>
      </c>
      <c r="J58" s="20" t="s">
        <v>349</v>
      </c>
      <c r="K58" s="18" t="n">
        <v>4.46190751</v>
      </c>
      <c r="L58" s="20" t="n">
        <v>0.80212719</v>
      </c>
      <c r="M58" s="18" t="n">
        <v>0</v>
      </c>
      <c r="N58" s="20" t="n">
        <v>0</v>
      </c>
      <c r="O58" s="18" t="n">
        <v>0.25119643</v>
      </c>
      <c r="P58" s="20" t="n">
        <v>0.15640573</v>
      </c>
      <c r="Q58" s="18" t="n">
        <v>2.18058725</v>
      </c>
      <c r="R58" s="20" t="n">
        <v>0.49127224</v>
      </c>
    </row>
    <row r="59" spans="1:18">
      <c r="A59" s="15" t="s">
        <v>401</v>
      </c>
      <c r="B59" s="17" t="n">
        <v>4826</v>
      </c>
      <c r="C59" s="18">
        <f>(4023.0/B59*100)</f>
        <v/>
      </c>
      <c r="D59" s="19" t="n">
        <v>803</v>
      </c>
      <c r="E59" s="18" t="n">
        <v>65.41443188</v>
      </c>
      <c r="F59" s="20" t="n">
        <v>1.96886697</v>
      </c>
      <c r="G59" s="18" t="n">
        <v>31.26654155</v>
      </c>
      <c r="H59" s="20" t="n">
        <v>1.94370875</v>
      </c>
      <c r="I59" s="18" t="s">
        <v>349</v>
      </c>
      <c r="J59" s="20" t="s">
        <v>349</v>
      </c>
      <c r="K59" s="18" t="n">
        <v>1.54540397</v>
      </c>
      <c r="L59" s="20" t="n">
        <v>0.36779332</v>
      </c>
      <c r="M59" s="18" t="n">
        <v>0.14653995</v>
      </c>
      <c r="N59" s="20" t="n">
        <v>0.14707084</v>
      </c>
      <c r="O59" s="18" t="n">
        <v>0.62130462</v>
      </c>
      <c r="P59" s="20" t="n">
        <v>0.33711819</v>
      </c>
      <c r="Q59" s="18" t="n">
        <v>1.00577803</v>
      </c>
      <c r="R59" s="20" t="n">
        <v>0.34250378</v>
      </c>
    </row>
    <row r="60" spans="1:18">
      <c r="A60" s="15" t="s">
        <v>402</v>
      </c>
      <c r="B60" s="17" t="n">
        <v>4546</v>
      </c>
      <c r="C60" s="18">
        <f>(3791.0/B60*100)</f>
        <v/>
      </c>
      <c r="D60" s="19" t="n">
        <v>755</v>
      </c>
      <c r="E60" s="18" t="n">
        <v>46.69178904</v>
      </c>
      <c r="F60" s="20" t="n">
        <v>2.0571848</v>
      </c>
      <c r="G60" s="18" t="n">
        <v>40.69368173</v>
      </c>
      <c r="H60" s="20" t="n">
        <v>1.9610398</v>
      </c>
      <c r="I60" s="18" t="s">
        <v>349</v>
      </c>
      <c r="J60" s="20" t="s">
        <v>349</v>
      </c>
      <c r="K60" s="18" t="n">
        <v>9.78496661</v>
      </c>
      <c r="L60" s="20" t="n">
        <v>1.18932731</v>
      </c>
      <c r="M60" s="18" t="n">
        <v>0</v>
      </c>
      <c r="N60" s="20" t="n">
        <v>0</v>
      </c>
      <c r="O60" s="18" t="n">
        <v>1.2306794</v>
      </c>
      <c r="P60" s="20" t="n">
        <v>0.61998404</v>
      </c>
      <c r="Q60" s="18" t="n">
        <v>1.59888322</v>
      </c>
      <c r="R60" s="20" t="n">
        <v>0.45464919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57.71304575</v>
      </c>
      <c r="F63" s="20" t="n">
        <v>1.90108112</v>
      </c>
      <c r="G63" s="18" t="n">
        <v>28.59305301</v>
      </c>
      <c r="H63" s="20" t="n">
        <v>1.6630381</v>
      </c>
      <c r="I63" s="18" t="s">
        <v>349</v>
      </c>
      <c r="J63" s="20" t="s">
        <v>349</v>
      </c>
      <c r="K63" s="18" t="n">
        <v>9.130262699999999</v>
      </c>
      <c r="L63" s="20" t="n">
        <v>0.99922353</v>
      </c>
      <c r="M63" s="18" t="n">
        <v>0</v>
      </c>
      <c r="N63" s="20" t="n">
        <v>0</v>
      </c>
      <c r="O63" s="18" t="n">
        <v>0.60117786</v>
      </c>
      <c r="P63" s="20" t="n">
        <v>0.27635997</v>
      </c>
      <c r="Q63" s="18" t="n">
        <v>3.96246069</v>
      </c>
      <c r="R63" s="20" t="n">
        <v>0.78794703</v>
      </c>
    </row>
    <row r="64" spans="1:18">
      <c r="A64" s="15" t="s">
        <v>406</v>
      </c>
      <c r="B64" s="17" t="n">
        <v>3634</v>
      </c>
      <c r="C64" s="18">
        <f>(3051.0/B64*100)</f>
        <v/>
      </c>
      <c r="D64" s="19" t="n">
        <v>583</v>
      </c>
      <c r="E64" s="18" t="n">
        <v>30.33173298</v>
      </c>
      <c r="F64" s="20" t="n">
        <v>1.92987722</v>
      </c>
      <c r="G64" s="18" t="n">
        <v>63.77366308</v>
      </c>
      <c r="H64" s="20" t="n">
        <v>2.01171151</v>
      </c>
      <c r="I64" s="18" t="s">
        <v>349</v>
      </c>
      <c r="J64" s="20" t="s">
        <v>349</v>
      </c>
      <c r="K64" s="18" t="n">
        <v>4.25394805</v>
      </c>
      <c r="L64" s="20" t="n">
        <v>0.87553053</v>
      </c>
      <c r="M64" s="18" t="n">
        <v>0</v>
      </c>
      <c r="N64" s="20" t="n">
        <v>0</v>
      </c>
      <c r="O64" s="18" t="n">
        <v>0.23018277</v>
      </c>
      <c r="P64" s="20" t="n">
        <v>0.23081981</v>
      </c>
      <c r="Q64" s="18" t="n">
        <v>1.41047312</v>
      </c>
      <c r="R64" s="20" t="n">
        <v>0.48934954</v>
      </c>
    </row>
    <row r="65" spans="1:18">
      <c r="A65" s="15" t="s">
        <v>407</v>
      </c>
      <c r="B65" s="17" t="n">
        <v>5325</v>
      </c>
      <c r="C65" s="18">
        <f>(4467.0/B65*100)</f>
        <v/>
      </c>
      <c r="D65" s="19" t="n">
        <v>858</v>
      </c>
      <c r="E65" s="18" t="n">
        <v>44.23633568</v>
      </c>
      <c r="F65" s="20" t="n">
        <v>1.93611927</v>
      </c>
      <c r="G65" s="18" t="n">
        <v>43.54127599</v>
      </c>
      <c r="H65" s="20" t="n">
        <v>2.00704469</v>
      </c>
      <c r="I65" s="18" t="s">
        <v>349</v>
      </c>
      <c r="J65" s="20" t="s">
        <v>349</v>
      </c>
      <c r="K65" s="18" t="n">
        <v>8.1869081</v>
      </c>
      <c r="L65" s="20" t="n">
        <v>1.06178267</v>
      </c>
      <c r="M65" s="18" t="n">
        <v>0.32007134</v>
      </c>
      <c r="N65" s="20" t="n">
        <v>0.18569201</v>
      </c>
      <c r="O65" s="18" t="n">
        <v>0</v>
      </c>
      <c r="P65" s="20" t="n">
        <v>0</v>
      </c>
      <c r="Q65" s="18" t="n">
        <v>3.7154089</v>
      </c>
      <c r="R65" s="20" t="n">
        <v>0.6368997</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57.61206235</v>
      </c>
      <c r="F69" s="20" t="n">
        <v>1.71793579</v>
      </c>
      <c r="G69" s="18" t="n">
        <v>42.38793765</v>
      </c>
      <c r="H69" s="20" t="n">
        <v>1.71793579</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42.3238246</v>
      </c>
      <c r="F74" s="20" t="n">
        <v>2.09890527</v>
      </c>
      <c r="G74" s="18" t="n">
        <v>44.11038726</v>
      </c>
      <c r="H74" s="20" t="n">
        <v>1.83130337</v>
      </c>
      <c r="I74" s="18" t="s">
        <v>349</v>
      </c>
      <c r="J74" s="20" t="s">
        <v>349</v>
      </c>
      <c r="K74" s="18" t="n">
        <v>10.27648107</v>
      </c>
      <c r="L74" s="20" t="n">
        <v>1.19972152</v>
      </c>
      <c r="M74" s="18" t="n">
        <v>0</v>
      </c>
      <c r="N74" s="20" t="n">
        <v>0</v>
      </c>
      <c r="O74" s="18" t="n">
        <v>0</v>
      </c>
      <c r="P74" s="20" t="n">
        <v>0</v>
      </c>
      <c r="Q74" s="18" t="n">
        <v>3.28930707</v>
      </c>
      <c r="R74" s="20" t="n">
        <v>0.69836734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22.648653</v>
      </c>
      <c r="F78" s="20" t="n">
        <v>1.24062572</v>
      </c>
      <c r="G78" s="18" t="n">
        <v>77.25754789</v>
      </c>
      <c r="H78" s="20" t="n">
        <v>1.23766771</v>
      </c>
      <c r="I78" s="18" t="s">
        <v>349</v>
      </c>
      <c r="J78" s="20" t="s">
        <v>349</v>
      </c>
      <c r="K78" s="18" t="n">
        <v>0</v>
      </c>
      <c r="L78" s="20" t="n">
        <v>0</v>
      </c>
      <c r="M78" s="18" t="n">
        <v>0</v>
      </c>
      <c r="N78" s="20" t="n">
        <v>0</v>
      </c>
      <c r="O78" s="18" t="n">
        <v>0</v>
      </c>
      <c r="P78" s="20" t="n">
        <v>0</v>
      </c>
      <c r="Q78" s="18" t="n">
        <v>0.09379911</v>
      </c>
      <c r="R78" s="20" t="n">
        <v>0.0944116</v>
      </c>
    </row>
    <row customHeight="1" ht="25" r="79" spans="1:18">
      <c r="A79" s="15" t="s">
        <v>421</v>
      </c>
      <c r="B79" s="17" t="n">
        <v>1657</v>
      </c>
      <c r="C79" s="18">
        <f>(1382.0/B79*100)</f>
        <v/>
      </c>
      <c r="D79" s="19" t="n">
        <v>275</v>
      </c>
      <c r="E79" s="18" t="n">
        <v>35.50418956</v>
      </c>
      <c r="F79" s="20" t="n">
        <v>2.72768644</v>
      </c>
      <c r="G79" s="18" t="n">
        <v>53.30259623</v>
      </c>
      <c r="H79" s="20" t="n">
        <v>2.9516993</v>
      </c>
      <c r="I79" s="18" t="s">
        <v>349</v>
      </c>
      <c r="J79" s="20" t="s">
        <v>349</v>
      </c>
      <c r="K79" s="18" t="n">
        <v>7.54123291</v>
      </c>
      <c r="L79" s="20" t="n">
        <v>1.51519858</v>
      </c>
      <c r="M79" s="18" t="n">
        <v>0</v>
      </c>
      <c r="N79" s="20" t="n">
        <v>0</v>
      </c>
      <c r="O79" s="18" t="n">
        <v>0</v>
      </c>
      <c r="P79" s="20" t="n">
        <v>0</v>
      </c>
      <c r="Q79" s="18" t="n">
        <v>3.65198129</v>
      </c>
      <c r="R79" s="20" t="n">
        <v>1.55202127</v>
      </c>
    </row>
    <row r="80" spans="1:18">
      <c r="A80" s="15" t="s">
        <v>422</v>
      </c>
      <c r="B80" s="17" t="n">
        <v>7841</v>
      </c>
      <c r="C80" s="18">
        <f>(6522.0/B80*100)</f>
        <v/>
      </c>
      <c r="D80" s="19" t="n">
        <v>1319</v>
      </c>
      <c r="E80" s="18" t="n">
        <v>47.47744525</v>
      </c>
      <c r="F80" s="20" t="n">
        <v>2.37793058</v>
      </c>
      <c r="G80" s="18" t="n">
        <v>51.52385683</v>
      </c>
      <c r="H80" s="20" t="n">
        <v>2.38663792</v>
      </c>
      <c r="I80" s="18" t="s">
        <v>349</v>
      </c>
      <c r="J80" s="20" t="s">
        <v>349</v>
      </c>
      <c r="K80" s="18" t="n">
        <v>0</v>
      </c>
      <c r="L80" s="20" t="n">
        <v>0</v>
      </c>
      <c r="M80" s="18" t="n">
        <v>0</v>
      </c>
      <c r="N80" s="20" t="n">
        <v>0</v>
      </c>
      <c r="O80" s="18" t="n">
        <v>0</v>
      </c>
      <c r="P80" s="20" t="n">
        <v>0</v>
      </c>
      <c r="Q80" s="18" t="n">
        <v>0.99869792</v>
      </c>
      <c r="R80" s="20" t="n">
        <v>0.35090872</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579</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(4344.0/B44*100)</f>
        <v/>
      </c>
      <c r="D44" s="19" t="n">
        <v>871</v>
      </c>
      <c r="E44" s="18" t="n">
        <v>30.94936187</v>
      </c>
      <c r="F44" s="20" t="n">
        <v>1.78605963</v>
      </c>
      <c r="G44" s="18" t="n">
        <v>19.36869009</v>
      </c>
      <c r="H44" s="20" t="n">
        <v>1.5356479</v>
      </c>
      <c r="I44" s="18" t="n">
        <v>14.38548964</v>
      </c>
      <c r="J44" s="20" t="n">
        <v>1.27960071</v>
      </c>
      <c r="K44" s="18" t="s">
        <v>349</v>
      </c>
      <c r="L44" s="20" t="s">
        <v>349</v>
      </c>
      <c r="M44" s="18" t="n">
        <v>20.83510812</v>
      </c>
      <c r="N44" s="20" t="n">
        <v>1.57566753</v>
      </c>
      <c r="O44" s="18" t="n">
        <v>0</v>
      </c>
      <c r="P44" s="20" t="n">
        <v>0</v>
      </c>
      <c r="Q44" s="18" t="n">
        <v>0</v>
      </c>
      <c r="R44" s="20" t="n">
        <v>0</v>
      </c>
      <c r="S44" s="18" t="n">
        <v>14.46135028</v>
      </c>
      <c r="T44" s="20" t="n">
        <v>1.27449896</v>
      </c>
    </row>
    <row r="45" spans="1:20">
      <c r="A45" s="15" t="s">
        <v>387</v>
      </c>
      <c r="B45" s="17" t="n">
        <v>5519</v>
      </c>
      <c r="C45" s="18">
        <f>(4609.0/B45*100)</f>
        <v/>
      </c>
      <c r="D45" s="19" t="n">
        <v>910</v>
      </c>
      <c r="E45" s="18" t="n">
        <v>34.11400427</v>
      </c>
      <c r="F45" s="20" t="n">
        <v>1.67296553</v>
      </c>
      <c r="G45" s="18" t="n">
        <v>7.55060626</v>
      </c>
      <c r="H45" s="20" t="n">
        <v>1.00750911</v>
      </c>
      <c r="I45" s="18" t="n">
        <v>2.88603747</v>
      </c>
      <c r="J45" s="20" t="n">
        <v>0.5983306</v>
      </c>
      <c r="K45" s="18" t="s">
        <v>349</v>
      </c>
      <c r="L45" s="20" t="s">
        <v>349</v>
      </c>
      <c r="M45" s="18" t="n">
        <v>19.55062677</v>
      </c>
      <c r="N45" s="20" t="n">
        <v>1.42947082</v>
      </c>
      <c r="O45" s="18" t="n">
        <v>0</v>
      </c>
      <c r="P45" s="20" t="n">
        <v>0</v>
      </c>
      <c r="Q45" s="18" t="n">
        <v>0.3407799</v>
      </c>
      <c r="R45" s="20" t="n">
        <v>0.1954506</v>
      </c>
      <c r="S45" s="18" t="n">
        <v>35.55794533</v>
      </c>
      <c r="T45" s="20" t="n">
        <v>1.89067211</v>
      </c>
    </row>
    <row r="46" spans="1:20">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6349</v>
      </c>
      <c r="C49" s="18">
        <f>(5296.0/B49*100)</f>
        <v/>
      </c>
      <c r="D49" s="19" t="n">
        <v>1053</v>
      </c>
      <c r="E49" s="18" t="n">
        <v>38.26770709</v>
      </c>
      <c r="F49" s="20" t="n">
        <v>1.79964232</v>
      </c>
      <c r="G49" s="18" t="n">
        <v>4.81165676</v>
      </c>
      <c r="H49" s="20" t="n">
        <v>0.77496526</v>
      </c>
      <c r="I49" s="18" t="n">
        <v>14.66008212</v>
      </c>
      <c r="J49" s="20" t="n">
        <v>1.38136574</v>
      </c>
      <c r="K49" s="18" t="s">
        <v>349</v>
      </c>
      <c r="L49" s="20" t="s">
        <v>349</v>
      </c>
      <c r="M49" s="18" t="n">
        <v>16.66309286</v>
      </c>
      <c r="N49" s="20" t="n">
        <v>1.47069481</v>
      </c>
      <c r="O49" s="18" t="n">
        <v>0</v>
      </c>
      <c r="P49" s="20" t="n">
        <v>0</v>
      </c>
      <c r="Q49" s="18" t="n">
        <v>0</v>
      </c>
      <c r="R49" s="20" t="n">
        <v>0</v>
      </c>
      <c r="S49" s="18" t="n">
        <v>25.59746116</v>
      </c>
      <c r="T49" s="20" t="n">
        <v>1.90904416</v>
      </c>
    </row>
    <row r="50" spans="1:20">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5316</v>
      </c>
      <c r="C55" s="18">
        <f>(4432.0/B55*100)</f>
        <v/>
      </c>
      <c r="D55" s="19" t="n">
        <v>884</v>
      </c>
      <c r="E55" s="18" t="n">
        <v>21.91604438</v>
      </c>
      <c r="F55" s="20" t="n">
        <v>1.32665036</v>
      </c>
      <c r="G55" s="18" t="n">
        <v>9.645265269999999</v>
      </c>
      <c r="H55" s="20" t="n">
        <v>1.13535227</v>
      </c>
      <c r="I55" s="18" t="n">
        <v>15.52216896</v>
      </c>
      <c r="J55" s="20" t="n">
        <v>1.33692199</v>
      </c>
      <c r="K55" s="18" t="s">
        <v>349</v>
      </c>
      <c r="L55" s="20" t="s">
        <v>349</v>
      </c>
      <c r="M55" s="18" t="n">
        <v>20.88562442</v>
      </c>
      <c r="N55" s="20" t="n">
        <v>1.62581145</v>
      </c>
      <c r="O55" s="18" t="n">
        <v>0</v>
      </c>
      <c r="P55" s="20" t="n">
        <v>0</v>
      </c>
      <c r="Q55" s="18" t="n">
        <v>0</v>
      </c>
      <c r="R55" s="20" t="n">
        <v>0</v>
      </c>
      <c r="S55" s="18" t="n">
        <v>32.03089698</v>
      </c>
      <c r="T55" s="20" t="n">
        <v>1.84915066</v>
      </c>
    </row>
    <row r="56" spans="1:2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6513</v>
      </c>
      <c r="C57" s="18">
        <f>(5457.0/B57*100)</f>
        <v/>
      </c>
      <c r="D57" s="19" t="n">
        <v>1056</v>
      </c>
      <c r="E57" s="18" t="n">
        <v>70.89424704</v>
      </c>
      <c r="F57" s="20" t="n">
        <v>1.75402142</v>
      </c>
      <c r="G57" s="18" t="n">
        <v>6.45330616</v>
      </c>
      <c r="H57" s="20" t="n">
        <v>0.90197317</v>
      </c>
      <c r="I57" s="18" t="n">
        <v>8.768443319999999</v>
      </c>
      <c r="J57" s="20" t="n">
        <v>0.937704</v>
      </c>
      <c r="K57" s="18" t="s">
        <v>349</v>
      </c>
      <c r="L57" s="20" t="s">
        <v>349</v>
      </c>
      <c r="M57" s="18" t="n">
        <v>5.65559056</v>
      </c>
      <c r="N57" s="20" t="n">
        <v>0.91683825</v>
      </c>
      <c r="O57" s="18" t="n">
        <v>0</v>
      </c>
      <c r="P57" s="20" t="n">
        <v>0</v>
      </c>
      <c r="Q57" s="18" t="n">
        <v>0</v>
      </c>
      <c r="R57" s="20" t="n">
        <v>0</v>
      </c>
      <c r="S57" s="18" t="n">
        <v>8.22841292</v>
      </c>
      <c r="T57" s="20" t="n">
        <v>1.04820245</v>
      </c>
    </row>
    <row r="58" spans="1:20">
      <c r="A58" s="15" t="s">
        <v>400</v>
      </c>
      <c r="B58" s="17" t="n">
        <v>7267</v>
      </c>
      <c r="C58" s="18">
        <f>(6083.0/B58*100)</f>
        <v/>
      </c>
      <c r="D58" s="19" t="n">
        <v>1184</v>
      </c>
      <c r="E58" s="18" t="n">
        <v>55.74879085</v>
      </c>
      <c r="F58" s="20" t="n">
        <v>1.89475493</v>
      </c>
      <c r="G58" s="18" t="n">
        <v>6.19585038</v>
      </c>
      <c r="H58" s="20" t="n">
        <v>0.87443481</v>
      </c>
      <c r="I58" s="18" t="n">
        <v>15.68188993</v>
      </c>
      <c r="J58" s="20" t="n">
        <v>1.18597688</v>
      </c>
      <c r="K58" s="18" t="s">
        <v>349</v>
      </c>
      <c r="L58" s="20" t="s">
        <v>349</v>
      </c>
      <c r="M58" s="18" t="n">
        <v>8.772266350000001</v>
      </c>
      <c r="N58" s="20" t="n">
        <v>1.07297705</v>
      </c>
      <c r="O58" s="18" t="n">
        <v>0</v>
      </c>
      <c r="P58" s="20" t="n">
        <v>0</v>
      </c>
      <c r="Q58" s="18" t="n">
        <v>0</v>
      </c>
      <c r="R58" s="20" t="n">
        <v>0</v>
      </c>
      <c r="S58" s="18" t="n">
        <v>13.60120249</v>
      </c>
      <c r="T58" s="20" t="n">
        <v>1.09021582</v>
      </c>
    </row>
    <row r="59" spans="1:20">
      <c r="A59" s="15" t="s">
        <v>401</v>
      </c>
      <c r="B59" s="17" t="n">
        <v>4826</v>
      </c>
      <c r="C59" s="18">
        <f>(4023.0/B59*100)</f>
        <v/>
      </c>
      <c r="D59" s="19" t="n">
        <v>803</v>
      </c>
      <c r="E59" s="18" t="n">
        <v>61.14592979</v>
      </c>
      <c r="F59" s="20" t="n">
        <v>2.0473126</v>
      </c>
      <c r="G59" s="18" t="n">
        <v>4.66192518</v>
      </c>
      <c r="H59" s="20" t="n">
        <v>0.87744765</v>
      </c>
      <c r="I59" s="18" t="n">
        <v>4.30096761</v>
      </c>
      <c r="J59" s="20" t="n">
        <v>0.85433541</v>
      </c>
      <c r="K59" s="18" t="s">
        <v>349</v>
      </c>
      <c r="L59" s="20" t="s">
        <v>349</v>
      </c>
      <c r="M59" s="18" t="n">
        <v>9.874795239999999</v>
      </c>
      <c r="N59" s="20" t="n">
        <v>1.09011127</v>
      </c>
      <c r="O59" s="18" t="n">
        <v>0.14653995</v>
      </c>
      <c r="P59" s="20" t="n">
        <v>0.14707084</v>
      </c>
      <c r="Q59" s="18" t="n">
        <v>0</v>
      </c>
      <c r="R59" s="20" t="n">
        <v>0</v>
      </c>
      <c r="S59" s="18" t="n">
        <v>19.86984222</v>
      </c>
      <c r="T59" s="20" t="n">
        <v>1.54641328</v>
      </c>
    </row>
    <row r="60" spans="1:20">
      <c r="A60" s="15" t="s">
        <v>402</v>
      </c>
      <c r="B60" s="17" t="n">
        <v>4546</v>
      </c>
      <c r="C60" s="18">
        <f>(3791.0/B60*100)</f>
        <v/>
      </c>
      <c r="D60" s="19" t="n">
        <v>755</v>
      </c>
      <c r="E60" s="18" t="n">
        <v>29.32576419</v>
      </c>
      <c r="F60" s="20" t="n">
        <v>1.85446971</v>
      </c>
      <c r="G60" s="18" t="n">
        <v>4.63257767</v>
      </c>
      <c r="H60" s="20" t="n">
        <v>0.87216119</v>
      </c>
      <c r="I60" s="18" t="n">
        <v>21.25282171</v>
      </c>
      <c r="J60" s="20" t="n">
        <v>1.65582085</v>
      </c>
      <c r="K60" s="18" t="s">
        <v>349</v>
      </c>
      <c r="L60" s="20" t="s">
        <v>349</v>
      </c>
      <c r="M60" s="18" t="n">
        <v>23.83723622</v>
      </c>
      <c r="N60" s="20" t="n">
        <v>1.86263896</v>
      </c>
      <c r="O60" s="18" t="n">
        <v>0.35845867</v>
      </c>
      <c r="P60" s="20" t="n">
        <v>0.25339518</v>
      </c>
      <c r="Q60" s="18" t="n">
        <v>0</v>
      </c>
      <c r="R60" s="20" t="n">
        <v>0</v>
      </c>
      <c r="S60" s="18" t="n">
        <v>20.59314154</v>
      </c>
      <c r="T60" s="20" t="n">
        <v>1.70230114</v>
      </c>
    </row>
    <row r="61" spans="1:2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5324</v>
      </c>
      <c r="C63" s="18">
        <f>(4430.0/B63*100)</f>
        <v/>
      </c>
      <c r="D63" s="19" t="n">
        <v>894</v>
      </c>
      <c r="E63" s="18" t="n">
        <v>21.66382333</v>
      </c>
      <c r="F63" s="20" t="n">
        <v>1.36789999</v>
      </c>
      <c r="G63" s="18" t="n">
        <v>4.20413673</v>
      </c>
      <c r="H63" s="20" t="n">
        <v>0.8245547</v>
      </c>
      <c r="I63" s="18" t="n">
        <v>11.50670103</v>
      </c>
      <c r="J63" s="20" t="n">
        <v>1.07491739</v>
      </c>
      <c r="K63" s="18" t="s">
        <v>349</v>
      </c>
      <c r="L63" s="20" t="s">
        <v>349</v>
      </c>
      <c r="M63" s="18" t="n">
        <v>31.47608785</v>
      </c>
      <c r="N63" s="20" t="n">
        <v>1.61589225</v>
      </c>
      <c r="O63" s="18" t="n">
        <v>0</v>
      </c>
      <c r="P63" s="20" t="n">
        <v>0</v>
      </c>
      <c r="Q63" s="18" t="n">
        <v>0</v>
      </c>
      <c r="R63" s="20" t="n">
        <v>0</v>
      </c>
      <c r="S63" s="18" t="n">
        <v>31.14925106</v>
      </c>
      <c r="T63" s="20" t="n">
        <v>1.54865125</v>
      </c>
    </row>
    <row r="64" spans="1:20">
      <c r="A64" s="15" t="s">
        <v>406</v>
      </c>
      <c r="B64" s="17" t="n">
        <v>3634</v>
      </c>
      <c r="C64" s="18">
        <f>(3051.0/B64*100)</f>
        <v/>
      </c>
      <c r="D64" s="19" t="n">
        <v>583</v>
      </c>
      <c r="E64" s="18" t="n">
        <v>28.81875373</v>
      </c>
      <c r="F64" s="20" t="n">
        <v>1.92025609</v>
      </c>
      <c r="G64" s="18" t="n">
        <v>7.38063503</v>
      </c>
      <c r="H64" s="20" t="n">
        <v>1.22442135</v>
      </c>
      <c r="I64" s="18" t="n">
        <v>33.0223782</v>
      </c>
      <c r="J64" s="20" t="n">
        <v>1.89356916</v>
      </c>
      <c r="K64" s="18" t="s">
        <v>349</v>
      </c>
      <c r="L64" s="20" t="s">
        <v>349</v>
      </c>
      <c r="M64" s="18" t="n">
        <v>11.39477565</v>
      </c>
      <c r="N64" s="20" t="n">
        <v>1.49204922</v>
      </c>
      <c r="O64" s="18" t="n">
        <v>0</v>
      </c>
      <c r="P64" s="20" t="n">
        <v>0</v>
      </c>
      <c r="Q64" s="18" t="n">
        <v>0</v>
      </c>
      <c r="R64" s="20" t="n">
        <v>0</v>
      </c>
      <c r="S64" s="18" t="n">
        <v>19.38345739</v>
      </c>
      <c r="T64" s="20" t="n">
        <v>1.6252245</v>
      </c>
    </row>
    <row r="65" spans="1:20">
      <c r="A65" s="15" t="s">
        <v>407</v>
      </c>
      <c r="B65" s="17" t="n">
        <v>5325</v>
      </c>
      <c r="C65" s="18">
        <f>(4467.0/B65*100)</f>
        <v/>
      </c>
      <c r="D65" s="19" t="n">
        <v>858</v>
      </c>
      <c r="E65" s="18" t="n">
        <v>26.01514293</v>
      </c>
      <c r="F65" s="20" t="n">
        <v>1.454022</v>
      </c>
      <c r="G65" s="18" t="n">
        <v>7.7015791</v>
      </c>
      <c r="H65" s="20" t="n">
        <v>1.0946707</v>
      </c>
      <c r="I65" s="18" t="n">
        <v>17.21801167</v>
      </c>
      <c r="J65" s="20" t="n">
        <v>1.43726964</v>
      </c>
      <c r="K65" s="18" t="s">
        <v>349</v>
      </c>
      <c r="L65" s="20" t="s">
        <v>349</v>
      </c>
      <c r="M65" s="18" t="n">
        <v>19.41593098</v>
      </c>
      <c r="N65" s="20" t="n">
        <v>1.40850711</v>
      </c>
      <c r="O65" s="18" t="n">
        <v>0</v>
      </c>
      <c r="P65" s="20" t="n">
        <v>0</v>
      </c>
      <c r="Q65" s="18" t="n">
        <v>0</v>
      </c>
      <c r="R65" s="20" t="n">
        <v>0</v>
      </c>
      <c r="S65" s="18" t="n">
        <v>29.64933532</v>
      </c>
      <c r="T65" s="20" t="n">
        <v>1.57822153</v>
      </c>
    </row>
    <row r="66" spans="1:2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4876</v>
      </c>
      <c r="C69" s="18">
        <f>(4045.0/B69*100)</f>
        <v/>
      </c>
      <c r="D69" s="19" t="n">
        <v>831</v>
      </c>
      <c r="E69" s="18" t="n">
        <v>49.48909096</v>
      </c>
      <c r="F69" s="20" t="n">
        <v>2.04248422</v>
      </c>
      <c r="G69" s="18" t="n">
        <v>23.74609953</v>
      </c>
      <c r="H69" s="20" t="n">
        <v>1.48298079</v>
      </c>
      <c r="I69" s="18" t="n">
        <v>26.31990865</v>
      </c>
      <c r="J69" s="20" t="n">
        <v>1.80867269</v>
      </c>
      <c r="K69" s="18" t="s">
        <v>349</v>
      </c>
      <c r="L69" s="20" t="s">
        <v>349</v>
      </c>
      <c r="M69" s="18" t="n">
        <v>0.21294213</v>
      </c>
      <c r="N69" s="20" t="n">
        <v>0.15116759</v>
      </c>
      <c r="O69" s="18" t="n">
        <v>0</v>
      </c>
      <c r="P69" s="20" t="n">
        <v>0</v>
      </c>
      <c r="Q69" s="18" t="n">
        <v>0</v>
      </c>
      <c r="R69" s="20" t="n">
        <v>0</v>
      </c>
      <c r="S69" s="18" t="n">
        <v>0.23195873</v>
      </c>
      <c r="T69" s="20" t="n">
        <v>0.1635618</v>
      </c>
    </row>
    <row r="70" spans="1:2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4692</v>
      </c>
      <c r="C74" s="18">
        <f>(3904.0/B74*100)</f>
        <v/>
      </c>
      <c r="D74" s="19" t="n">
        <v>788</v>
      </c>
      <c r="E74" s="18" t="n">
        <v>29.89977983</v>
      </c>
      <c r="F74" s="20" t="n">
        <v>1.8627427</v>
      </c>
      <c r="G74" s="18" t="n">
        <v>3.98128093</v>
      </c>
      <c r="H74" s="20" t="n">
        <v>0.7272860799999999</v>
      </c>
      <c r="I74" s="18" t="n">
        <v>18.79166602</v>
      </c>
      <c r="J74" s="20" t="n">
        <v>1.62623064</v>
      </c>
      <c r="K74" s="18" t="s">
        <v>349</v>
      </c>
      <c r="L74" s="20" t="s">
        <v>349</v>
      </c>
      <c r="M74" s="18" t="n">
        <v>20.67273907</v>
      </c>
      <c r="N74" s="20" t="n">
        <v>1.68941133</v>
      </c>
      <c r="O74" s="18" t="n">
        <v>0</v>
      </c>
      <c r="P74" s="20" t="n">
        <v>0</v>
      </c>
      <c r="Q74" s="18" t="n">
        <v>0</v>
      </c>
      <c r="R74" s="20" t="n">
        <v>0</v>
      </c>
      <c r="S74" s="18" t="n">
        <v>26.65453414</v>
      </c>
      <c r="T74" s="20" t="n">
        <v>1.86016801</v>
      </c>
    </row>
    <row r="75" spans="1:20">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5826</v>
      </c>
      <c r="C78" s="18">
        <f>(4846.0/B78*100)</f>
        <v/>
      </c>
      <c r="D78" s="19" t="n">
        <v>980</v>
      </c>
      <c r="E78" s="18" t="n">
        <v>32.13693367</v>
      </c>
      <c r="F78" s="20" t="n">
        <v>1.86857616</v>
      </c>
      <c r="G78" s="18" t="n">
        <v>15.99618937</v>
      </c>
      <c r="H78" s="20" t="n">
        <v>1.13583123</v>
      </c>
      <c r="I78" s="18" t="n">
        <v>48.9588117</v>
      </c>
      <c r="J78" s="20" t="n">
        <v>2.04908819</v>
      </c>
      <c r="K78" s="18" t="s">
        <v>349</v>
      </c>
      <c r="L78" s="20" t="s">
        <v>349</v>
      </c>
      <c r="M78" s="18" t="n">
        <v>1.10405425</v>
      </c>
      <c r="N78" s="20" t="n">
        <v>0.36944496</v>
      </c>
      <c r="O78" s="18" t="n">
        <v>0</v>
      </c>
      <c r="P78" s="20" t="n">
        <v>0</v>
      </c>
      <c r="Q78" s="18" t="n">
        <v>0</v>
      </c>
      <c r="R78" s="20" t="n">
        <v>0</v>
      </c>
      <c r="S78" s="18" t="n">
        <v>1.80401102</v>
      </c>
      <c r="T78" s="20" t="n">
        <v>0.58372244</v>
      </c>
    </row>
    <row customHeight="1" ht="25" r="79" spans="1:20">
      <c r="A79" s="15" t="s">
        <v>421</v>
      </c>
      <c r="B79" s="17" t="n">
        <v>1657</v>
      </c>
      <c r="C79" s="18">
        <f>(1382.0/B79*100)</f>
        <v/>
      </c>
      <c r="D79" s="19" t="n">
        <v>275</v>
      </c>
      <c r="E79" s="18" t="n">
        <v>27.52669301</v>
      </c>
      <c r="F79" s="20" t="n">
        <v>3.03917746</v>
      </c>
      <c r="G79" s="18" t="n">
        <v>8.20582308</v>
      </c>
      <c r="H79" s="20" t="n">
        <v>1.51520312</v>
      </c>
      <c r="I79" s="18" t="n">
        <v>27.65180252</v>
      </c>
      <c r="J79" s="20" t="n">
        <v>3.58075986</v>
      </c>
      <c r="K79" s="18" t="s">
        <v>349</v>
      </c>
      <c r="L79" s="20" t="s">
        <v>349</v>
      </c>
      <c r="M79" s="18" t="n">
        <v>16.91860704</v>
      </c>
      <c r="N79" s="20" t="n">
        <v>2.46956391</v>
      </c>
      <c r="O79" s="18" t="n">
        <v>0</v>
      </c>
      <c r="P79" s="20" t="n">
        <v>0</v>
      </c>
      <c r="Q79" s="18" t="n">
        <v>0</v>
      </c>
      <c r="R79" s="20" t="n">
        <v>0</v>
      </c>
      <c r="S79" s="18" t="n">
        <v>19.69707434</v>
      </c>
      <c r="T79" s="20" t="n">
        <v>2.55275976</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(4344.0/B44*100)</f>
        <v/>
      </c>
      <c r="D44" s="19" t="n">
        <v>871</v>
      </c>
      <c r="E44" s="18" t="n">
        <v>61.87080718</v>
      </c>
      <c r="F44" s="20" t="n">
        <v>2.26852821</v>
      </c>
      <c r="G44" s="18" t="n">
        <v>7.46452526</v>
      </c>
      <c r="H44" s="20" t="n">
        <v>1.18871629</v>
      </c>
      <c r="I44" s="18" t="s">
        <v>349</v>
      </c>
      <c r="J44" s="20" t="s">
        <v>349</v>
      </c>
      <c r="K44" s="18" t="n">
        <v>30.66466756</v>
      </c>
      <c r="L44" s="20" t="n">
        <v>2.05350649</v>
      </c>
      <c r="M44" s="18" t="n">
        <v>0</v>
      </c>
      <c r="N44" s="20" t="n">
        <v>0</v>
      </c>
      <c r="O44" s="18" t="n">
        <v>0</v>
      </c>
      <c r="P44" s="20" t="n">
        <v>0</v>
      </c>
      <c r="Q44" s="18" t="n">
        <v>0</v>
      </c>
      <c r="R44" s="20" t="n">
        <v>0</v>
      </c>
    </row>
    <row r="45" spans="1:18">
      <c r="A45" s="15" t="s">
        <v>387</v>
      </c>
      <c r="B45" s="17" t="n">
        <v>5519</v>
      </c>
      <c r="C45" s="18">
        <f>(4609.0/B45*100)</f>
        <v/>
      </c>
      <c r="D45" s="19" t="n">
        <v>910</v>
      </c>
      <c r="E45" s="18" t="n">
        <v>75.84314686</v>
      </c>
      <c r="F45" s="20" t="n">
        <v>1.62726561</v>
      </c>
      <c r="G45" s="18" t="n">
        <v>3.06370008</v>
      </c>
      <c r="H45" s="20" t="n">
        <v>0.71475655</v>
      </c>
      <c r="I45" s="18" t="s">
        <v>349</v>
      </c>
      <c r="J45" s="20" t="s">
        <v>349</v>
      </c>
      <c r="K45" s="18" t="n">
        <v>20.85378418</v>
      </c>
      <c r="L45" s="20" t="n">
        <v>1.49258122</v>
      </c>
      <c r="M45" s="18" t="n">
        <v>0</v>
      </c>
      <c r="N45" s="20" t="n">
        <v>0</v>
      </c>
      <c r="O45" s="18" t="n">
        <v>0.23936889</v>
      </c>
      <c r="P45" s="20" t="n">
        <v>0.1695727</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(5296.0/B49*100)</f>
        <v/>
      </c>
      <c r="D49" s="19" t="n">
        <v>1053</v>
      </c>
      <c r="E49" s="18" t="n">
        <v>74.14061192</v>
      </c>
      <c r="F49" s="20" t="n">
        <v>1.91374543</v>
      </c>
      <c r="G49" s="18" t="n">
        <v>5.30169093</v>
      </c>
      <c r="H49" s="20" t="n">
        <v>1.00347027</v>
      </c>
      <c r="I49" s="18" t="s">
        <v>349</v>
      </c>
      <c r="J49" s="20" t="s">
        <v>349</v>
      </c>
      <c r="K49" s="18" t="n">
        <v>20.36146023</v>
      </c>
      <c r="L49" s="20" t="n">
        <v>1.66893133</v>
      </c>
      <c r="M49" s="18" t="n">
        <v>0.10636471</v>
      </c>
      <c r="N49" s="20" t="n">
        <v>0.10698803</v>
      </c>
      <c r="O49" s="18" t="n">
        <v>0.0898722</v>
      </c>
      <c r="P49" s="20" t="n">
        <v>0.06865859000000001</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72.41608481999999</v>
      </c>
      <c r="F55" s="20" t="n">
        <v>1.56889088</v>
      </c>
      <c r="G55" s="18" t="n">
        <v>3.36891825</v>
      </c>
      <c r="H55" s="20" t="n">
        <v>0.67579626</v>
      </c>
      <c r="I55" s="18" t="s">
        <v>349</v>
      </c>
      <c r="J55" s="20" t="s">
        <v>349</v>
      </c>
      <c r="K55" s="18" t="n">
        <v>24.09948556</v>
      </c>
      <c r="L55" s="20" t="n">
        <v>1.59741886</v>
      </c>
      <c r="M55" s="18" t="n">
        <v>0</v>
      </c>
      <c r="N55" s="20" t="n">
        <v>0</v>
      </c>
      <c r="O55" s="18" t="n">
        <v>0.11551137</v>
      </c>
      <c r="P55" s="20" t="n">
        <v>0.11548177</v>
      </c>
      <c r="Q55" s="18" t="n">
        <v>0</v>
      </c>
      <c r="R55" s="20" t="n">
        <v>0</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(5457.0/B57*100)</f>
        <v/>
      </c>
      <c r="D57" s="19" t="n">
        <v>1056</v>
      </c>
      <c r="E57" s="18" t="n">
        <v>86.48960943</v>
      </c>
      <c r="F57" s="20" t="n">
        <v>1.19092313</v>
      </c>
      <c r="G57" s="18" t="n">
        <v>5.07680135</v>
      </c>
      <c r="H57" s="20" t="n">
        <v>0.84081322</v>
      </c>
      <c r="I57" s="18" t="s">
        <v>349</v>
      </c>
      <c r="J57" s="20" t="s">
        <v>349</v>
      </c>
      <c r="K57" s="18" t="n">
        <v>8.43358922</v>
      </c>
      <c r="L57" s="20" t="n">
        <v>1.07955825</v>
      </c>
      <c r="M57" s="18" t="n">
        <v>0</v>
      </c>
      <c r="N57" s="20" t="n">
        <v>0</v>
      </c>
      <c r="O57" s="18" t="n">
        <v>0</v>
      </c>
      <c r="P57" s="20" t="n">
        <v>0</v>
      </c>
      <c r="Q57" s="18" t="n">
        <v>0</v>
      </c>
      <c r="R57" s="20" t="n">
        <v>0</v>
      </c>
    </row>
    <row r="58" spans="1:18">
      <c r="A58" s="15" t="s">
        <v>400</v>
      </c>
      <c r="B58" s="17" t="n">
        <v>7267</v>
      </c>
      <c r="C58" s="18">
        <f>(6083.0/B58*100)</f>
        <v/>
      </c>
      <c r="D58" s="19" t="n">
        <v>1184</v>
      </c>
      <c r="E58" s="18" t="n">
        <v>83.12320801</v>
      </c>
      <c r="F58" s="20" t="n">
        <v>1.40433333</v>
      </c>
      <c r="G58" s="18" t="n">
        <v>5.37055808</v>
      </c>
      <c r="H58" s="20" t="n">
        <v>0.67905912</v>
      </c>
      <c r="I58" s="18" t="s">
        <v>349</v>
      </c>
      <c r="J58" s="20" t="s">
        <v>349</v>
      </c>
      <c r="K58" s="18" t="n">
        <v>11.50623391</v>
      </c>
      <c r="L58" s="20" t="n">
        <v>1.22770334</v>
      </c>
      <c r="M58" s="18" t="n">
        <v>0</v>
      </c>
      <c r="N58" s="20" t="n">
        <v>0</v>
      </c>
      <c r="O58" s="18" t="n">
        <v>0</v>
      </c>
      <c r="P58" s="20" t="n">
        <v>0</v>
      </c>
      <c r="Q58" s="18" t="n">
        <v>0</v>
      </c>
      <c r="R58" s="20" t="n">
        <v>0</v>
      </c>
    </row>
    <row r="59" spans="1:18">
      <c r="A59" s="15" t="s">
        <v>401</v>
      </c>
      <c r="B59" s="17" t="n">
        <v>4826</v>
      </c>
      <c r="C59" s="18">
        <f>(4023.0/B59*100)</f>
        <v/>
      </c>
      <c r="D59" s="19" t="n">
        <v>803</v>
      </c>
      <c r="E59" s="18" t="n">
        <v>82.95100151</v>
      </c>
      <c r="F59" s="20" t="n">
        <v>1.46203921</v>
      </c>
      <c r="G59" s="18" t="n">
        <v>4.6682329</v>
      </c>
      <c r="H59" s="20" t="n">
        <v>1.05361438</v>
      </c>
      <c r="I59" s="18" t="s">
        <v>349</v>
      </c>
      <c r="J59" s="20" t="s">
        <v>349</v>
      </c>
      <c r="K59" s="18" t="n">
        <v>12.23422564</v>
      </c>
      <c r="L59" s="20" t="n">
        <v>1.29705658</v>
      </c>
      <c r="M59" s="18" t="n">
        <v>0.14653995</v>
      </c>
      <c r="N59" s="20" t="n">
        <v>0.14707084</v>
      </c>
      <c r="O59" s="18" t="n">
        <v>0</v>
      </c>
      <c r="P59" s="20" t="n">
        <v>0</v>
      </c>
      <c r="Q59" s="18" t="n">
        <v>0</v>
      </c>
      <c r="R59" s="20" t="n">
        <v>0</v>
      </c>
    </row>
    <row r="60" spans="1:18">
      <c r="A60" s="15" t="s">
        <v>402</v>
      </c>
      <c r="B60" s="17" t="n">
        <v>4546</v>
      </c>
      <c r="C60" s="18">
        <f>(3791.0/B60*100)</f>
        <v/>
      </c>
      <c r="D60" s="19" t="n">
        <v>755</v>
      </c>
      <c r="E60" s="18" t="n">
        <v>63.40589788</v>
      </c>
      <c r="F60" s="20" t="n">
        <v>1.99604573</v>
      </c>
      <c r="G60" s="18" t="n">
        <v>6.25537582</v>
      </c>
      <c r="H60" s="20" t="n">
        <v>0.83938337</v>
      </c>
      <c r="I60" s="18" t="s">
        <v>349</v>
      </c>
      <c r="J60" s="20" t="s">
        <v>349</v>
      </c>
      <c r="K60" s="18" t="n">
        <v>30.3387263</v>
      </c>
      <c r="L60" s="20" t="n">
        <v>1.91130351</v>
      </c>
      <c r="M60" s="18" t="n">
        <v>0</v>
      </c>
      <c r="N60" s="20" t="n">
        <v>0</v>
      </c>
      <c r="O60" s="18" t="n">
        <v>0</v>
      </c>
      <c r="P60" s="20" t="n">
        <v>0</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(4430.0/B63*100)</f>
        <v/>
      </c>
      <c r="D63" s="19" t="n">
        <v>894</v>
      </c>
      <c r="E63" s="18" t="n">
        <v>60.06357524</v>
      </c>
      <c r="F63" s="20" t="n">
        <v>1.88505064</v>
      </c>
      <c r="G63" s="18" t="n">
        <v>3.05749497</v>
      </c>
      <c r="H63" s="20" t="n">
        <v>0.59737802</v>
      </c>
      <c r="I63" s="18" t="s">
        <v>349</v>
      </c>
      <c r="J63" s="20" t="s">
        <v>349</v>
      </c>
      <c r="K63" s="18" t="n">
        <v>36.87892979</v>
      </c>
      <c r="L63" s="20" t="n">
        <v>1.86273588</v>
      </c>
      <c r="M63" s="18" t="n">
        <v>0</v>
      </c>
      <c r="N63" s="20" t="n">
        <v>0</v>
      </c>
      <c r="O63" s="18" t="n">
        <v>0</v>
      </c>
      <c r="P63" s="20" t="n">
        <v>0</v>
      </c>
      <c r="Q63" s="18" t="n">
        <v>0</v>
      </c>
      <c r="R63" s="20" t="n">
        <v>0</v>
      </c>
    </row>
    <row r="64" spans="1:18">
      <c r="A64" s="15" t="s">
        <v>406</v>
      </c>
      <c r="B64" s="17" t="n">
        <v>3634</v>
      </c>
      <c r="C64" s="18">
        <f>(3051.0/B64*100)</f>
        <v/>
      </c>
      <c r="D64" s="19" t="n">
        <v>583</v>
      </c>
      <c r="E64" s="18" t="n">
        <v>62.58321798</v>
      </c>
      <c r="F64" s="20" t="n">
        <v>1.85769866</v>
      </c>
      <c r="G64" s="18" t="n">
        <v>23.13689867</v>
      </c>
      <c r="H64" s="20" t="n">
        <v>1.70738063</v>
      </c>
      <c r="I64" s="18" t="s">
        <v>349</v>
      </c>
      <c r="J64" s="20" t="s">
        <v>349</v>
      </c>
      <c r="K64" s="18" t="n">
        <v>14.27988335</v>
      </c>
      <c r="L64" s="20" t="n">
        <v>1.57591639</v>
      </c>
      <c r="M64" s="18" t="n">
        <v>0</v>
      </c>
      <c r="N64" s="20" t="n">
        <v>0</v>
      </c>
      <c r="O64" s="18" t="n">
        <v>0</v>
      </c>
      <c r="P64" s="20" t="n">
        <v>0</v>
      </c>
      <c r="Q64" s="18" t="n">
        <v>0</v>
      </c>
      <c r="R64" s="20" t="n">
        <v>0</v>
      </c>
    </row>
    <row r="65" spans="1:18">
      <c r="A65" s="15" t="s">
        <v>407</v>
      </c>
      <c r="B65" s="17" t="n">
        <v>5325</v>
      </c>
      <c r="C65" s="18">
        <f>(4467.0/B65*100)</f>
        <v/>
      </c>
      <c r="D65" s="19" t="n">
        <v>858</v>
      </c>
      <c r="E65" s="18" t="n">
        <v>67.16963787</v>
      </c>
      <c r="F65" s="20" t="n">
        <v>1.58471173</v>
      </c>
      <c r="G65" s="18" t="n">
        <v>6.90677546</v>
      </c>
      <c r="H65" s="20" t="n">
        <v>0.88763387</v>
      </c>
      <c r="I65" s="18" t="s">
        <v>349</v>
      </c>
      <c r="J65" s="20" t="s">
        <v>349</v>
      </c>
      <c r="K65" s="18" t="n">
        <v>25.92358667</v>
      </c>
      <c r="L65" s="20" t="n">
        <v>1.5697177</v>
      </c>
      <c r="M65" s="18" t="n">
        <v>0</v>
      </c>
      <c r="N65" s="20" t="n">
        <v>0</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(4045.0/B69*100)</f>
        <v/>
      </c>
      <c r="D69" s="19" t="n">
        <v>831</v>
      </c>
      <c r="E69" s="18" t="n">
        <v>76.64593474</v>
      </c>
      <c r="F69" s="20" t="n">
        <v>1.16938232</v>
      </c>
      <c r="G69" s="18" t="n">
        <v>22.68160592</v>
      </c>
      <c r="H69" s="20" t="n">
        <v>1.15372658</v>
      </c>
      <c r="I69" s="18" t="s">
        <v>349</v>
      </c>
      <c r="J69" s="20" t="s">
        <v>349</v>
      </c>
      <c r="K69" s="18" t="n">
        <v>0.67245933</v>
      </c>
      <c r="L69" s="20" t="n">
        <v>0.1632426</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(3904.0/B74*100)</f>
        <v/>
      </c>
      <c r="D74" s="19" t="n">
        <v>788</v>
      </c>
      <c r="E74" s="18" t="n">
        <v>67.49927904</v>
      </c>
      <c r="F74" s="20" t="n">
        <v>1.8688415</v>
      </c>
      <c r="G74" s="18" t="n">
        <v>8.260835</v>
      </c>
      <c r="H74" s="20" t="n">
        <v>1.05516345</v>
      </c>
      <c r="I74" s="18" t="s">
        <v>349</v>
      </c>
      <c r="J74" s="20" t="s">
        <v>349</v>
      </c>
      <c r="K74" s="18" t="n">
        <v>24.23988595</v>
      </c>
      <c r="L74" s="20" t="n">
        <v>1.74599731</v>
      </c>
      <c r="M74" s="18" t="n">
        <v>0</v>
      </c>
      <c r="N74" s="20" t="n">
        <v>0</v>
      </c>
      <c r="O74" s="18" t="n">
        <v>0</v>
      </c>
      <c r="P74" s="20" t="n">
        <v>0</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(4846.0/B78*100)</f>
        <v/>
      </c>
      <c r="D78" s="19" t="n">
        <v>980</v>
      </c>
      <c r="E78" s="18" t="n">
        <v>72.30260825000001</v>
      </c>
      <c r="F78" s="20" t="n">
        <v>1.68032983</v>
      </c>
      <c r="G78" s="18" t="n">
        <v>25.71838283</v>
      </c>
      <c r="H78" s="20" t="n">
        <v>1.66161309</v>
      </c>
      <c r="I78" s="18" t="s">
        <v>349</v>
      </c>
      <c r="J78" s="20" t="s">
        <v>349</v>
      </c>
      <c r="K78" s="18" t="n">
        <v>1.97900892</v>
      </c>
      <c r="L78" s="20" t="n">
        <v>0.46710629</v>
      </c>
      <c r="M78" s="18" t="n">
        <v>0</v>
      </c>
      <c r="N78" s="20" t="n">
        <v>0</v>
      </c>
      <c r="O78" s="18" t="n">
        <v>0</v>
      </c>
      <c r="P78" s="20" t="n">
        <v>0</v>
      </c>
      <c r="Q78" s="18" t="n">
        <v>0</v>
      </c>
      <c r="R78" s="20" t="n">
        <v>0</v>
      </c>
    </row>
    <row customHeight="1" ht="25" r="79" spans="1:18">
      <c r="A79" s="15" t="s">
        <v>421</v>
      </c>
      <c r="B79" s="17" t="n">
        <v>1657</v>
      </c>
      <c r="C79" s="18">
        <f>(1382.0/B79*100)</f>
        <v/>
      </c>
      <c r="D79" s="19" t="n">
        <v>275</v>
      </c>
      <c r="E79" s="18" t="n">
        <v>70.12547433</v>
      </c>
      <c r="F79" s="20" t="n">
        <v>2.26193706</v>
      </c>
      <c r="G79" s="18" t="n">
        <v>4.91497127</v>
      </c>
      <c r="H79" s="20" t="n">
        <v>1.50796414</v>
      </c>
      <c r="I79" s="18" t="s">
        <v>349</v>
      </c>
      <c r="J79" s="20" t="s">
        <v>349</v>
      </c>
      <c r="K79" s="18" t="n">
        <v>24.5732452</v>
      </c>
      <c r="L79" s="20" t="n">
        <v>2.15636561</v>
      </c>
      <c r="M79" s="18" t="n">
        <v>0</v>
      </c>
      <c r="N79" s="20" t="n">
        <v>0</v>
      </c>
      <c r="O79" s="18" t="n">
        <v>0.3863092</v>
      </c>
      <c r="P79" s="20" t="n">
        <v>0.42209034</v>
      </c>
      <c r="Q79" s="18" t="n">
        <v>0</v>
      </c>
      <c r="R79" s="20" t="n">
        <v>0</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17.75350606</v>
      </c>
      <c r="F44" s="20" t="n">
        <v>1.48440302</v>
      </c>
      <c r="G44" s="18" t="n">
        <v>68.43873284</v>
      </c>
      <c r="H44" s="20" t="n">
        <v>1.78963272</v>
      </c>
      <c r="I44" s="18" t="s">
        <v>349</v>
      </c>
      <c r="J44" s="20" t="s">
        <v>349</v>
      </c>
      <c r="K44" s="18" t="n">
        <v>0.81490816</v>
      </c>
      <c r="L44" s="20" t="n">
        <v>0.31392121</v>
      </c>
      <c r="M44" s="18" t="n">
        <v>0</v>
      </c>
      <c r="N44" s="20" t="n">
        <v>0</v>
      </c>
      <c r="O44" s="18" t="n">
        <v>0</v>
      </c>
      <c r="P44" s="20" t="n">
        <v>0</v>
      </c>
      <c r="Q44" s="18" t="n">
        <v>12.99285293</v>
      </c>
      <c r="R44" s="20" t="n">
        <v>1.21600153</v>
      </c>
    </row>
    <row r="45" spans="1:18">
      <c r="A45" s="15" t="s">
        <v>387</v>
      </c>
      <c r="B45" s="17" t="n">
        <v>5519</v>
      </c>
      <c r="C45" s="18">
        <f>(4632.0/B45*100)</f>
        <v/>
      </c>
      <c r="D45" s="19" t="n">
        <v>887</v>
      </c>
      <c r="E45" s="18" t="n">
        <v>32.73799161</v>
      </c>
      <c r="F45" s="20" t="n">
        <v>1.98999229</v>
      </c>
      <c r="G45" s="18" t="n">
        <v>48.05197963</v>
      </c>
      <c r="H45" s="20" t="n">
        <v>1.76318169</v>
      </c>
      <c r="I45" s="18" t="s">
        <v>349</v>
      </c>
      <c r="J45" s="20" t="s">
        <v>349</v>
      </c>
      <c r="K45" s="18" t="n">
        <v>2.00139901</v>
      </c>
      <c r="L45" s="20" t="n">
        <v>0.50226084</v>
      </c>
      <c r="M45" s="18" t="n">
        <v>0</v>
      </c>
      <c r="N45" s="20" t="n">
        <v>0</v>
      </c>
      <c r="O45" s="18" t="n">
        <v>0.09746311000000001</v>
      </c>
      <c r="P45" s="20" t="n">
        <v>0.10149308</v>
      </c>
      <c r="Q45" s="18" t="n">
        <v>17.11116664</v>
      </c>
      <c r="R45" s="20" t="n">
        <v>1.39756077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15.27627814</v>
      </c>
      <c r="F49" s="20" t="n">
        <v>1.4730399</v>
      </c>
      <c r="G49" s="18" t="n">
        <v>75.33698084</v>
      </c>
      <c r="H49" s="20" t="n">
        <v>1.87429275</v>
      </c>
      <c r="I49" s="18" t="s">
        <v>349</v>
      </c>
      <c r="J49" s="20" t="s">
        <v>349</v>
      </c>
      <c r="K49" s="18" t="n">
        <v>1.15825034</v>
      </c>
      <c r="L49" s="20" t="n">
        <v>0.40558978</v>
      </c>
      <c r="M49" s="18" t="n">
        <v>0</v>
      </c>
      <c r="N49" s="20" t="n">
        <v>0</v>
      </c>
      <c r="O49" s="18" t="n">
        <v>0</v>
      </c>
      <c r="P49" s="20" t="n">
        <v>0</v>
      </c>
      <c r="Q49" s="18" t="n">
        <v>8.22849068</v>
      </c>
      <c r="R49" s="20" t="n">
        <v>1.2047476</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31.77563438</v>
      </c>
      <c r="F55" s="20" t="n">
        <v>1.7952711</v>
      </c>
      <c r="G55" s="18" t="n">
        <v>53.90461311</v>
      </c>
      <c r="H55" s="20" t="n">
        <v>1.87915852</v>
      </c>
      <c r="I55" s="18" t="s">
        <v>349</v>
      </c>
      <c r="J55" s="20" t="s">
        <v>349</v>
      </c>
      <c r="K55" s="18" t="n">
        <v>0.51932969</v>
      </c>
      <c r="L55" s="20" t="n">
        <v>0.23035977</v>
      </c>
      <c r="M55" s="18" t="n">
        <v>0.10649611</v>
      </c>
      <c r="N55" s="20" t="n">
        <v>0.10607137</v>
      </c>
      <c r="O55" s="18" t="n">
        <v>0</v>
      </c>
      <c r="P55" s="20" t="n">
        <v>0</v>
      </c>
      <c r="Q55" s="18" t="n">
        <v>13.69392671</v>
      </c>
      <c r="R55" s="20" t="n">
        <v>1.26085893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32.39054201</v>
      </c>
      <c r="F57" s="20" t="n">
        <v>1.63667764</v>
      </c>
      <c r="G57" s="18" t="n">
        <v>64.48117207</v>
      </c>
      <c r="H57" s="20" t="n">
        <v>1.75326842</v>
      </c>
      <c r="I57" s="18" t="s">
        <v>349</v>
      </c>
      <c r="J57" s="20" t="s">
        <v>349</v>
      </c>
      <c r="K57" s="18" t="n">
        <v>0.46278477</v>
      </c>
      <c r="L57" s="20" t="n">
        <v>0.23814639</v>
      </c>
      <c r="M57" s="18" t="n">
        <v>0</v>
      </c>
      <c r="N57" s="20" t="n">
        <v>0</v>
      </c>
      <c r="O57" s="18" t="n">
        <v>0</v>
      </c>
      <c r="P57" s="20" t="n">
        <v>0</v>
      </c>
      <c r="Q57" s="18" t="n">
        <v>2.66550115</v>
      </c>
      <c r="R57" s="20" t="n">
        <v>0.6115663</v>
      </c>
    </row>
    <row r="58" spans="1:18">
      <c r="A58" s="15" t="s">
        <v>400</v>
      </c>
      <c r="B58" s="17" t="n">
        <v>7267</v>
      </c>
      <c r="C58" s="18">
        <f>(6066.0/B58*100)</f>
        <v/>
      </c>
      <c r="D58" s="19" t="n">
        <v>1201</v>
      </c>
      <c r="E58" s="18" t="n">
        <v>28.21930778</v>
      </c>
      <c r="F58" s="20" t="n">
        <v>1.59995875</v>
      </c>
      <c r="G58" s="18" t="n">
        <v>62.53457162</v>
      </c>
      <c r="H58" s="20" t="n">
        <v>1.6401386</v>
      </c>
      <c r="I58" s="18" t="s">
        <v>349</v>
      </c>
      <c r="J58" s="20" t="s">
        <v>349</v>
      </c>
      <c r="K58" s="18" t="n">
        <v>0.77159586</v>
      </c>
      <c r="L58" s="20" t="n">
        <v>0.28669305</v>
      </c>
      <c r="M58" s="18" t="n">
        <v>0</v>
      </c>
      <c r="N58" s="20" t="n">
        <v>0</v>
      </c>
      <c r="O58" s="18" t="n">
        <v>0</v>
      </c>
      <c r="P58" s="20" t="n">
        <v>0</v>
      </c>
      <c r="Q58" s="18" t="n">
        <v>8.47452475</v>
      </c>
      <c r="R58" s="20" t="n">
        <v>1.12130157</v>
      </c>
    </row>
    <row r="59" spans="1:18">
      <c r="A59" s="15" t="s">
        <v>401</v>
      </c>
      <c r="B59" s="17" t="n">
        <v>4826</v>
      </c>
      <c r="C59" s="18">
        <f>(4022.0/B59*100)</f>
        <v/>
      </c>
      <c r="D59" s="19" t="n">
        <v>804</v>
      </c>
      <c r="E59" s="18" t="n">
        <v>36.8377562</v>
      </c>
      <c r="F59" s="20" t="n">
        <v>2.20520356</v>
      </c>
      <c r="G59" s="18" t="n">
        <v>53.37101606</v>
      </c>
      <c r="H59" s="20" t="n">
        <v>2.10148452</v>
      </c>
      <c r="I59" s="18" t="s">
        <v>349</v>
      </c>
      <c r="J59" s="20" t="s">
        <v>349</v>
      </c>
      <c r="K59" s="18" t="n">
        <v>0.0549179</v>
      </c>
      <c r="L59" s="20" t="n">
        <v>0.05523251</v>
      </c>
      <c r="M59" s="18" t="n">
        <v>0</v>
      </c>
      <c r="N59" s="20" t="n">
        <v>0</v>
      </c>
      <c r="O59" s="18" t="n">
        <v>0</v>
      </c>
      <c r="P59" s="20" t="n">
        <v>0</v>
      </c>
      <c r="Q59" s="18" t="n">
        <v>9.73630983</v>
      </c>
      <c r="R59" s="20" t="n">
        <v>1.24894989</v>
      </c>
    </row>
    <row r="60" spans="1:18">
      <c r="A60" s="15" t="s">
        <v>402</v>
      </c>
      <c r="B60" s="17" t="n">
        <v>4546</v>
      </c>
      <c r="C60" s="18">
        <f>(3784.0/B60*100)</f>
        <v/>
      </c>
      <c r="D60" s="19" t="n">
        <v>762</v>
      </c>
      <c r="E60" s="18" t="n">
        <v>20.43832653</v>
      </c>
      <c r="F60" s="20" t="n">
        <v>1.84166565</v>
      </c>
      <c r="G60" s="18" t="n">
        <v>61.9453474</v>
      </c>
      <c r="H60" s="20" t="n">
        <v>2.03361675</v>
      </c>
      <c r="I60" s="18" t="s">
        <v>349</v>
      </c>
      <c r="J60" s="20" t="s">
        <v>349</v>
      </c>
      <c r="K60" s="18" t="n">
        <v>0.77344503</v>
      </c>
      <c r="L60" s="20" t="n">
        <v>0.34393437</v>
      </c>
      <c r="M60" s="18" t="n">
        <v>0</v>
      </c>
      <c r="N60" s="20" t="n">
        <v>0</v>
      </c>
      <c r="O60" s="18" t="n">
        <v>0.160862</v>
      </c>
      <c r="P60" s="20" t="n">
        <v>0.18178864</v>
      </c>
      <c r="Q60" s="18" t="n">
        <v>16.68201904</v>
      </c>
      <c r="R60" s="20" t="n">
        <v>1.45236246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19.60847845</v>
      </c>
      <c r="F63" s="20" t="n">
        <v>1.44430509</v>
      </c>
      <c r="G63" s="18" t="n">
        <v>61.95832548</v>
      </c>
      <c r="H63" s="20" t="n">
        <v>1.9127328</v>
      </c>
      <c r="I63" s="18" t="s">
        <v>349</v>
      </c>
      <c r="J63" s="20" t="s">
        <v>349</v>
      </c>
      <c r="K63" s="18" t="n">
        <v>1.25212159</v>
      </c>
      <c r="L63" s="20" t="n">
        <v>0.39405617</v>
      </c>
      <c r="M63" s="18" t="n">
        <v>0</v>
      </c>
      <c r="N63" s="20" t="n">
        <v>0</v>
      </c>
      <c r="O63" s="18" t="n">
        <v>0.08955584</v>
      </c>
      <c r="P63" s="20" t="n">
        <v>0.0895909</v>
      </c>
      <c r="Q63" s="18" t="n">
        <v>17.09151865</v>
      </c>
      <c r="R63" s="20" t="n">
        <v>1.34486993</v>
      </c>
    </row>
    <row r="64" spans="1:18">
      <c r="A64" s="15" t="s">
        <v>406</v>
      </c>
      <c r="B64" s="17" t="n">
        <v>3634</v>
      </c>
      <c r="C64" s="18">
        <f>(3021.0/B64*100)</f>
        <v/>
      </c>
      <c r="D64" s="19" t="n">
        <v>613</v>
      </c>
      <c r="E64" s="18" t="n">
        <v>8.084358079999999</v>
      </c>
      <c r="F64" s="20" t="n">
        <v>1.08627525</v>
      </c>
      <c r="G64" s="18" t="n">
        <v>84.51185804000001</v>
      </c>
      <c r="H64" s="20" t="n">
        <v>1.6212462</v>
      </c>
      <c r="I64" s="18" t="s">
        <v>349</v>
      </c>
      <c r="J64" s="20" t="s">
        <v>349</v>
      </c>
      <c r="K64" s="18" t="n">
        <v>1.85201282</v>
      </c>
      <c r="L64" s="20" t="n">
        <v>0.58237918</v>
      </c>
      <c r="M64" s="18" t="n">
        <v>0</v>
      </c>
      <c r="N64" s="20" t="n">
        <v>0</v>
      </c>
      <c r="O64" s="18" t="n">
        <v>0</v>
      </c>
      <c r="P64" s="20" t="n">
        <v>0</v>
      </c>
      <c r="Q64" s="18" t="n">
        <v>5.55177106</v>
      </c>
      <c r="R64" s="20" t="n">
        <v>0.99529078</v>
      </c>
    </row>
    <row r="65" spans="1:18">
      <c r="A65" s="15" t="s">
        <v>407</v>
      </c>
      <c r="B65" s="17" t="n">
        <v>5325</v>
      </c>
      <c r="C65" s="18">
        <f>(4455.0/B65*100)</f>
        <v/>
      </c>
      <c r="D65" s="19" t="n">
        <v>870</v>
      </c>
      <c r="E65" s="18" t="n">
        <v>18.82715559</v>
      </c>
      <c r="F65" s="20" t="n">
        <v>1.57758798</v>
      </c>
      <c r="G65" s="18" t="n">
        <v>67.89218837</v>
      </c>
      <c r="H65" s="20" t="n">
        <v>1.85273792</v>
      </c>
      <c r="I65" s="18" t="s">
        <v>349</v>
      </c>
      <c r="J65" s="20" t="s">
        <v>349</v>
      </c>
      <c r="K65" s="18" t="n">
        <v>2.15920035</v>
      </c>
      <c r="L65" s="20" t="n">
        <v>0.41322197</v>
      </c>
      <c r="M65" s="18" t="n">
        <v>0</v>
      </c>
      <c r="N65" s="20" t="n">
        <v>0</v>
      </c>
      <c r="O65" s="18" t="n">
        <v>0</v>
      </c>
      <c r="P65" s="20" t="n">
        <v>0</v>
      </c>
      <c r="Q65" s="18" t="n">
        <v>11.12145568</v>
      </c>
      <c r="R65" s="20" t="n">
        <v>1.16062645</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18.58331458</v>
      </c>
      <c r="F69" s="20" t="n">
        <v>1.5785487</v>
      </c>
      <c r="G69" s="18" t="n">
        <v>81.31525383</v>
      </c>
      <c r="H69" s="20" t="n">
        <v>1.58810192</v>
      </c>
      <c r="I69" s="18" t="s">
        <v>349</v>
      </c>
      <c r="J69" s="20" t="s">
        <v>349</v>
      </c>
      <c r="K69" s="18" t="n">
        <v>0</v>
      </c>
      <c r="L69" s="20" t="n">
        <v>0</v>
      </c>
      <c r="M69" s="18" t="n">
        <v>0</v>
      </c>
      <c r="N69" s="20" t="n">
        <v>0</v>
      </c>
      <c r="O69" s="18" t="n">
        <v>0</v>
      </c>
      <c r="P69" s="20" t="n">
        <v>0</v>
      </c>
      <c r="Q69" s="18" t="n">
        <v>0.10143158</v>
      </c>
      <c r="R69" s="20" t="n">
        <v>0.10124299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11.43406975</v>
      </c>
      <c r="F74" s="20" t="n">
        <v>1.18813912</v>
      </c>
      <c r="G74" s="18" t="n">
        <v>77.88749787</v>
      </c>
      <c r="H74" s="20" t="n">
        <v>1.46469631</v>
      </c>
      <c r="I74" s="18" t="s">
        <v>349</v>
      </c>
      <c r="J74" s="20" t="s">
        <v>349</v>
      </c>
      <c r="K74" s="18" t="n">
        <v>3.89027018</v>
      </c>
      <c r="L74" s="20" t="n">
        <v>0.78996062</v>
      </c>
      <c r="M74" s="18" t="n">
        <v>0</v>
      </c>
      <c r="N74" s="20" t="n">
        <v>0</v>
      </c>
      <c r="O74" s="18" t="n">
        <v>0</v>
      </c>
      <c r="P74" s="20" t="n">
        <v>0</v>
      </c>
      <c r="Q74" s="18" t="n">
        <v>6.78816221</v>
      </c>
      <c r="R74" s="20" t="n">
        <v>0.84119705</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16.62108768</v>
      </c>
      <c r="F78" s="20" t="n">
        <v>1.49140199</v>
      </c>
      <c r="G78" s="18" t="n">
        <v>82.91800250999999</v>
      </c>
      <c r="H78" s="20" t="n">
        <v>1.5110354</v>
      </c>
      <c r="I78" s="18" t="s">
        <v>349</v>
      </c>
      <c r="J78" s="20" t="s">
        <v>349</v>
      </c>
      <c r="K78" s="18" t="n">
        <v>0</v>
      </c>
      <c r="L78" s="20" t="n">
        <v>0</v>
      </c>
      <c r="M78" s="18" t="n">
        <v>0</v>
      </c>
      <c r="N78" s="20" t="n">
        <v>0</v>
      </c>
      <c r="O78" s="18" t="n">
        <v>0</v>
      </c>
      <c r="P78" s="20" t="n">
        <v>0</v>
      </c>
      <c r="Q78" s="18" t="n">
        <v>0.46090981</v>
      </c>
      <c r="R78" s="20" t="n">
        <v>0.27099326</v>
      </c>
    </row>
    <row customHeight="1" ht="25" r="79" spans="1:18">
      <c r="A79" s="15" t="s">
        <v>421</v>
      </c>
      <c r="B79" s="17" t="n">
        <v>1657</v>
      </c>
      <c r="C79" s="18">
        <f>(1378.0/B79*100)</f>
        <v/>
      </c>
      <c r="D79" s="19" t="n">
        <v>279</v>
      </c>
      <c r="E79" s="18" t="n">
        <v>12.58232246</v>
      </c>
      <c r="F79" s="20" t="n">
        <v>1.58858808</v>
      </c>
      <c r="G79" s="18" t="n">
        <v>79.93547839</v>
      </c>
      <c r="H79" s="20" t="n">
        <v>2.35857804</v>
      </c>
      <c r="I79" s="18" t="s">
        <v>349</v>
      </c>
      <c r="J79" s="20" t="s">
        <v>349</v>
      </c>
      <c r="K79" s="18" t="n">
        <v>2.14722233</v>
      </c>
      <c r="L79" s="20" t="n">
        <v>0.91929555</v>
      </c>
      <c r="M79" s="18" t="n">
        <v>0</v>
      </c>
      <c r="N79" s="20" t="n">
        <v>0</v>
      </c>
      <c r="O79" s="18" t="n">
        <v>0</v>
      </c>
      <c r="P79" s="20" t="n">
        <v>0</v>
      </c>
      <c r="Q79" s="18" t="n">
        <v>5.33497682</v>
      </c>
      <c r="R79" s="20" t="n">
        <v>1.55141291</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46.4551207</v>
      </c>
      <c r="F44" s="20" t="n">
        <v>2.09080325</v>
      </c>
      <c r="G44" s="18" t="n">
        <v>39.58944886</v>
      </c>
      <c r="H44" s="20" t="n">
        <v>2.03673235</v>
      </c>
      <c r="I44" s="18" t="s">
        <v>349</v>
      </c>
      <c r="J44" s="20" t="s">
        <v>349</v>
      </c>
      <c r="K44" s="18" t="n">
        <v>1.02233459</v>
      </c>
      <c r="L44" s="20" t="n">
        <v>0.3797705</v>
      </c>
      <c r="M44" s="18" t="n">
        <v>0</v>
      </c>
      <c r="N44" s="20" t="n">
        <v>0</v>
      </c>
      <c r="O44" s="18" t="n">
        <v>0.17687682</v>
      </c>
      <c r="P44" s="20" t="n">
        <v>0.13857999</v>
      </c>
      <c r="Q44" s="18" t="n">
        <v>12.75621903</v>
      </c>
      <c r="R44" s="20" t="n">
        <v>1.34321078</v>
      </c>
    </row>
    <row r="45" spans="1:18">
      <c r="A45" s="15" t="s">
        <v>387</v>
      </c>
      <c r="B45" s="17" t="n">
        <v>5519</v>
      </c>
      <c r="C45" s="18">
        <f>(4632.0/B45*100)</f>
        <v/>
      </c>
      <c r="D45" s="19" t="n">
        <v>887</v>
      </c>
      <c r="E45" s="18" t="n">
        <v>64.89901741</v>
      </c>
      <c r="F45" s="20" t="n">
        <v>1.5188145</v>
      </c>
      <c r="G45" s="18" t="n">
        <v>20.06837408</v>
      </c>
      <c r="H45" s="20" t="n">
        <v>1.18523327</v>
      </c>
      <c r="I45" s="18" t="s">
        <v>349</v>
      </c>
      <c r="J45" s="20" t="s">
        <v>349</v>
      </c>
      <c r="K45" s="18" t="n">
        <v>2.1773054</v>
      </c>
      <c r="L45" s="20" t="n">
        <v>0.53373531</v>
      </c>
      <c r="M45" s="18" t="n">
        <v>0.30747258</v>
      </c>
      <c r="N45" s="20" t="n">
        <v>0.17836814</v>
      </c>
      <c r="O45" s="18" t="n">
        <v>1.03853247</v>
      </c>
      <c r="P45" s="20" t="n">
        <v>0.33827886</v>
      </c>
      <c r="Q45" s="18" t="n">
        <v>11.50929806</v>
      </c>
      <c r="R45" s="20" t="n">
        <v>1.12770062</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48.97201266</v>
      </c>
      <c r="F49" s="20" t="n">
        <v>2.03760819</v>
      </c>
      <c r="G49" s="18" t="n">
        <v>43.91846664</v>
      </c>
      <c r="H49" s="20" t="n">
        <v>1.99026662</v>
      </c>
      <c r="I49" s="18" t="s">
        <v>349</v>
      </c>
      <c r="J49" s="20" t="s">
        <v>349</v>
      </c>
      <c r="K49" s="18" t="n">
        <v>1.26230178</v>
      </c>
      <c r="L49" s="20" t="n">
        <v>0.41800596</v>
      </c>
      <c r="M49" s="18" t="n">
        <v>0</v>
      </c>
      <c r="N49" s="20" t="n">
        <v>0</v>
      </c>
      <c r="O49" s="18" t="n">
        <v>0.15488716</v>
      </c>
      <c r="P49" s="20" t="n">
        <v>0.15464576</v>
      </c>
      <c r="Q49" s="18" t="n">
        <v>5.69233176</v>
      </c>
      <c r="R49" s="20" t="n">
        <v>0.90617288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54.99517135</v>
      </c>
      <c r="F55" s="20" t="n">
        <v>1.59517321</v>
      </c>
      <c r="G55" s="18" t="n">
        <v>37.50508996</v>
      </c>
      <c r="H55" s="20" t="n">
        <v>1.46729187</v>
      </c>
      <c r="I55" s="18" t="s">
        <v>349</v>
      </c>
      <c r="J55" s="20" t="s">
        <v>349</v>
      </c>
      <c r="K55" s="18" t="n">
        <v>0.9618705400000001</v>
      </c>
      <c r="L55" s="20" t="n">
        <v>0.31429128</v>
      </c>
      <c r="M55" s="18" t="n">
        <v>0.10649611</v>
      </c>
      <c r="N55" s="20" t="n">
        <v>0.10607137</v>
      </c>
      <c r="O55" s="18" t="n">
        <v>0.21550538</v>
      </c>
      <c r="P55" s="20" t="n">
        <v>0.15250627</v>
      </c>
      <c r="Q55" s="18" t="n">
        <v>6.21586665</v>
      </c>
      <c r="R55" s="20" t="n">
        <v>0.76912769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63.69828141</v>
      </c>
      <c r="F57" s="20" t="n">
        <v>1.68152449</v>
      </c>
      <c r="G57" s="18" t="n">
        <v>31.05994306</v>
      </c>
      <c r="H57" s="20" t="n">
        <v>1.48628374</v>
      </c>
      <c r="I57" s="18" t="s">
        <v>349</v>
      </c>
      <c r="J57" s="20" t="s">
        <v>349</v>
      </c>
      <c r="K57" s="18" t="n">
        <v>0.46278477</v>
      </c>
      <c r="L57" s="20" t="n">
        <v>0.23814639</v>
      </c>
      <c r="M57" s="18" t="n">
        <v>0</v>
      </c>
      <c r="N57" s="20" t="n">
        <v>0</v>
      </c>
      <c r="O57" s="18" t="n">
        <v>0</v>
      </c>
      <c r="P57" s="20" t="n">
        <v>0</v>
      </c>
      <c r="Q57" s="18" t="n">
        <v>4.77899076</v>
      </c>
      <c r="R57" s="20" t="n">
        <v>0.8474009</v>
      </c>
    </row>
    <row r="58" spans="1:18">
      <c r="A58" s="15" t="s">
        <v>400</v>
      </c>
      <c r="B58" s="17" t="n">
        <v>7267</v>
      </c>
      <c r="C58" s="18">
        <f>(6066.0/B58*100)</f>
        <v/>
      </c>
      <c r="D58" s="19" t="n">
        <v>1201</v>
      </c>
      <c r="E58" s="18" t="n">
        <v>61.79015012</v>
      </c>
      <c r="F58" s="20" t="n">
        <v>1.61587481</v>
      </c>
      <c r="G58" s="18" t="n">
        <v>30.13977717</v>
      </c>
      <c r="H58" s="20" t="n">
        <v>1.47456149</v>
      </c>
      <c r="I58" s="18" t="s">
        <v>349</v>
      </c>
      <c r="J58" s="20" t="s">
        <v>349</v>
      </c>
      <c r="K58" s="18" t="n">
        <v>0.77159586</v>
      </c>
      <c r="L58" s="20" t="n">
        <v>0.28669305</v>
      </c>
      <c r="M58" s="18" t="n">
        <v>0</v>
      </c>
      <c r="N58" s="20" t="n">
        <v>0</v>
      </c>
      <c r="O58" s="18" t="n">
        <v>0.27371308</v>
      </c>
      <c r="P58" s="20" t="n">
        <v>0.13061116</v>
      </c>
      <c r="Q58" s="18" t="n">
        <v>7.02476377</v>
      </c>
      <c r="R58" s="20" t="n">
        <v>0.90705139</v>
      </c>
    </row>
    <row r="59" spans="1:18">
      <c r="A59" s="15" t="s">
        <v>401</v>
      </c>
      <c r="B59" s="17" t="n">
        <v>4826</v>
      </c>
      <c r="C59" s="18">
        <f>(4022.0/B59*100)</f>
        <v/>
      </c>
      <c r="D59" s="19" t="n">
        <v>804</v>
      </c>
      <c r="E59" s="18" t="n">
        <v>66.35498905999999</v>
      </c>
      <c r="F59" s="20" t="n">
        <v>2.07530785</v>
      </c>
      <c r="G59" s="18" t="n">
        <v>30.95110685</v>
      </c>
      <c r="H59" s="20" t="n">
        <v>2.03843909</v>
      </c>
      <c r="I59" s="18" t="s">
        <v>349</v>
      </c>
      <c r="J59" s="20" t="s">
        <v>349</v>
      </c>
      <c r="K59" s="18" t="n">
        <v>0.25231216</v>
      </c>
      <c r="L59" s="20" t="n">
        <v>0.15982722</v>
      </c>
      <c r="M59" s="18" t="n">
        <v>0</v>
      </c>
      <c r="N59" s="20" t="n">
        <v>0</v>
      </c>
      <c r="O59" s="18" t="n">
        <v>0</v>
      </c>
      <c r="P59" s="20" t="n">
        <v>0</v>
      </c>
      <c r="Q59" s="18" t="n">
        <v>2.44159192</v>
      </c>
      <c r="R59" s="20" t="n">
        <v>0.55054726</v>
      </c>
    </row>
    <row r="60" spans="1:18">
      <c r="A60" s="15" t="s">
        <v>402</v>
      </c>
      <c r="B60" s="17" t="n">
        <v>4546</v>
      </c>
      <c r="C60" s="18">
        <f>(3784.0/B60*100)</f>
        <v/>
      </c>
      <c r="D60" s="19" t="n">
        <v>762</v>
      </c>
      <c r="E60" s="18" t="n">
        <v>52.31843942</v>
      </c>
      <c r="F60" s="20" t="n">
        <v>2.19157117</v>
      </c>
      <c r="G60" s="18" t="n">
        <v>33.53297325</v>
      </c>
      <c r="H60" s="20" t="n">
        <v>2.07414681</v>
      </c>
      <c r="I60" s="18" t="s">
        <v>349</v>
      </c>
      <c r="J60" s="20" t="s">
        <v>349</v>
      </c>
      <c r="K60" s="18" t="n">
        <v>0.8849919000000001</v>
      </c>
      <c r="L60" s="20" t="n">
        <v>0.36095455</v>
      </c>
      <c r="M60" s="18" t="n">
        <v>0</v>
      </c>
      <c r="N60" s="20" t="n">
        <v>0</v>
      </c>
      <c r="O60" s="18" t="n">
        <v>1.0259108</v>
      </c>
      <c r="P60" s="20" t="n">
        <v>0.49142726</v>
      </c>
      <c r="Q60" s="18" t="n">
        <v>12.23768463</v>
      </c>
      <c r="R60" s="20" t="n">
        <v>1.26783245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55.63591854</v>
      </c>
      <c r="F63" s="20" t="n">
        <v>1.76860344</v>
      </c>
      <c r="G63" s="18" t="n">
        <v>34.72872209</v>
      </c>
      <c r="H63" s="20" t="n">
        <v>1.72862665</v>
      </c>
      <c r="I63" s="18" t="s">
        <v>349</v>
      </c>
      <c r="J63" s="20" t="s">
        <v>349</v>
      </c>
      <c r="K63" s="18" t="n">
        <v>1.34503338</v>
      </c>
      <c r="L63" s="20" t="n">
        <v>0.40416304</v>
      </c>
      <c r="M63" s="18" t="n">
        <v>0</v>
      </c>
      <c r="N63" s="20" t="n">
        <v>0</v>
      </c>
      <c r="O63" s="18" t="n">
        <v>0</v>
      </c>
      <c r="P63" s="20" t="n">
        <v>0</v>
      </c>
      <c r="Q63" s="18" t="n">
        <v>8.290325989999999</v>
      </c>
      <c r="R63" s="20" t="n">
        <v>1.02226376</v>
      </c>
    </row>
    <row r="64" spans="1:18">
      <c r="A64" s="15" t="s">
        <v>406</v>
      </c>
      <c r="B64" s="17" t="n">
        <v>3634</v>
      </c>
      <c r="C64" s="18">
        <f>(3021.0/B64*100)</f>
        <v/>
      </c>
      <c r="D64" s="19" t="n">
        <v>613</v>
      </c>
      <c r="E64" s="18" t="n">
        <v>46.7184482</v>
      </c>
      <c r="F64" s="20" t="n">
        <v>2.00056711</v>
      </c>
      <c r="G64" s="18" t="n">
        <v>48.65030601</v>
      </c>
      <c r="H64" s="20" t="n">
        <v>2.1228784</v>
      </c>
      <c r="I64" s="18" t="s">
        <v>349</v>
      </c>
      <c r="J64" s="20" t="s">
        <v>349</v>
      </c>
      <c r="K64" s="18" t="n">
        <v>2.07472973</v>
      </c>
      <c r="L64" s="20" t="n">
        <v>0.6190520900000001</v>
      </c>
      <c r="M64" s="18" t="n">
        <v>0</v>
      </c>
      <c r="N64" s="20" t="n">
        <v>0</v>
      </c>
      <c r="O64" s="18" t="n">
        <v>0</v>
      </c>
      <c r="P64" s="20" t="n">
        <v>0</v>
      </c>
      <c r="Q64" s="18" t="n">
        <v>2.55651605</v>
      </c>
      <c r="R64" s="20" t="n">
        <v>0.7065678399999999</v>
      </c>
    </row>
    <row r="65" spans="1:18">
      <c r="A65" s="15" t="s">
        <v>407</v>
      </c>
      <c r="B65" s="17" t="n">
        <v>5325</v>
      </c>
      <c r="C65" s="18">
        <f>(4455.0/B65*100)</f>
        <v/>
      </c>
      <c r="D65" s="19" t="n">
        <v>870</v>
      </c>
      <c r="E65" s="18" t="n">
        <v>47.77921026</v>
      </c>
      <c r="F65" s="20" t="n">
        <v>1.87216214</v>
      </c>
      <c r="G65" s="18" t="n">
        <v>41.64200948</v>
      </c>
      <c r="H65" s="20" t="n">
        <v>2.02031688</v>
      </c>
      <c r="I65" s="18" t="s">
        <v>349</v>
      </c>
      <c r="J65" s="20" t="s">
        <v>349</v>
      </c>
      <c r="K65" s="18" t="n">
        <v>2.37342045</v>
      </c>
      <c r="L65" s="20" t="n">
        <v>0.45677629</v>
      </c>
      <c r="M65" s="18" t="n">
        <v>0.8054885899999999</v>
      </c>
      <c r="N65" s="20" t="n">
        <v>0.36019694</v>
      </c>
      <c r="O65" s="18" t="n">
        <v>0</v>
      </c>
      <c r="P65" s="20" t="n">
        <v>0</v>
      </c>
      <c r="Q65" s="18" t="n">
        <v>7.39987123</v>
      </c>
      <c r="R65" s="20" t="n">
        <v>0.98943805</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46.81078286</v>
      </c>
      <c r="F69" s="20" t="n">
        <v>1.9269046</v>
      </c>
      <c r="G69" s="18" t="n">
        <v>52.95388801</v>
      </c>
      <c r="H69" s="20" t="n">
        <v>1.92685</v>
      </c>
      <c r="I69" s="18" t="s">
        <v>349</v>
      </c>
      <c r="J69" s="20" t="s">
        <v>349</v>
      </c>
      <c r="K69" s="18" t="n">
        <v>0</v>
      </c>
      <c r="L69" s="20" t="n">
        <v>0</v>
      </c>
      <c r="M69" s="18" t="n">
        <v>0</v>
      </c>
      <c r="N69" s="20" t="n">
        <v>0</v>
      </c>
      <c r="O69" s="18" t="n">
        <v>0</v>
      </c>
      <c r="P69" s="20" t="n">
        <v>0</v>
      </c>
      <c r="Q69" s="18" t="n">
        <v>0.23532913</v>
      </c>
      <c r="R69" s="20" t="n">
        <v>0.1657543</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50.26193723</v>
      </c>
      <c r="F74" s="20" t="n">
        <v>1.588242</v>
      </c>
      <c r="G74" s="18" t="n">
        <v>38.10962959</v>
      </c>
      <c r="H74" s="20" t="n">
        <v>1.6187267</v>
      </c>
      <c r="I74" s="18" t="s">
        <v>349</v>
      </c>
      <c r="J74" s="20" t="s">
        <v>349</v>
      </c>
      <c r="K74" s="18" t="n">
        <v>4.05122827</v>
      </c>
      <c r="L74" s="20" t="n">
        <v>0.77856514</v>
      </c>
      <c r="M74" s="18" t="n">
        <v>0</v>
      </c>
      <c r="N74" s="20" t="n">
        <v>0</v>
      </c>
      <c r="O74" s="18" t="n">
        <v>0</v>
      </c>
      <c r="P74" s="20" t="n">
        <v>0</v>
      </c>
      <c r="Q74" s="18" t="n">
        <v>7.57720491</v>
      </c>
      <c r="R74" s="20" t="n">
        <v>0.80718497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29.64084982</v>
      </c>
      <c r="F78" s="20" t="n">
        <v>1.88028102</v>
      </c>
      <c r="G78" s="18" t="n">
        <v>70.24799387</v>
      </c>
      <c r="H78" s="20" t="n">
        <v>1.89247025</v>
      </c>
      <c r="I78" s="18" t="s">
        <v>349</v>
      </c>
      <c r="J78" s="20" t="s">
        <v>349</v>
      </c>
      <c r="K78" s="18" t="n">
        <v>0</v>
      </c>
      <c r="L78" s="20" t="n">
        <v>0</v>
      </c>
      <c r="M78" s="18" t="n">
        <v>0</v>
      </c>
      <c r="N78" s="20" t="n">
        <v>0</v>
      </c>
      <c r="O78" s="18" t="n">
        <v>0</v>
      </c>
      <c r="P78" s="20" t="n">
        <v>0</v>
      </c>
      <c r="Q78" s="18" t="n">
        <v>0.11115631</v>
      </c>
      <c r="R78" s="20" t="n">
        <v>0.11059347</v>
      </c>
    </row>
    <row customHeight="1" ht="25" r="79" spans="1:18">
      <c r="A79" s="15" t="s">
        <v>421</v>
      </c>
      <c r="B79" s="17" t="n">
        <v>1657</v>
      </c>
      <c r="C79" s="18">
        <f>(1378.0/B79*100)</f>
        <v/>
      </c>
      <c r="D79" s="19" t="n">
        <v>279</v>
      </c>
      <c r="E79" s="18" t="n">
        <v>42.78436973</v>
      </c>
      <c r="F79" s="20" t="n">
        <v>3.82560729</v>
      </c>
      <c r="G79" s="18" t="n">
        <v>47.57132928</v>
      </c>
      <c r="H79" s="20" t="n">
        <v>4.31749065</v>
      </c>
      <c r="I79" s="18" t="s">
        <v>349</v>
      </c>
      <c r="J79" s="20" t="s">
        <v>349</v>
      </c>
      <c r="K79" s="18" t="n">
        <v>2.14722233</v>
      </c>
      <c r="L79" s="20" t="n">
        <v>0.91929555</v>
      </c>
      <c r="M79" s="18" t="n">
        <v>0</v>
      </c>
      <c r="N79" s="20" t="n">
        <v>0</v>
      </c>
      <c r="O79" s="18" t="n">
        <v>0</v>
      </c>
      <c r="P79" s="20" t="n">
        <v>0</v>
      </c>
      <c r="Q79" s="18" t="n">
        <v>7.49707866</v>
      </c>
      <c r="R79" s="20" t="n">
        <v>1.33413267</v>
      </c>
    </row>
    <row r="80" spans="1:18">
      <c r="A80" s="15" t="s">
        <v>422</v>
      </c>
      <c r="B80" s="17" t="n">
        <v>7841</v>
      </c>
      <c r="C80" s="18">
        <f>(6513.0/B80*100)</f>
        <v/>
      </c>
      <c r="D80" s="19" t="n">
        <v>1328</v>
      </c>
      <c r="E80" s="18" t="n">
        <v>50.48190279</v>
      </c>
      <c r="F80" s="20" t="n">
        <v>1.98688417</v>
      </c>
      <c r="G80" s="18" t="n">
        <v>49.40402008</v>
      </c>
      <c r="H80" s="20" t="n">
        <v>1.9682512</v>
      </c>
      <c r="I80" s="18" t="s">
        <v>349</v>
      </c>
      <c r="J80" s="20" t="s">
        <v>349</v>
      </c>
      <c r="K80" s="18" t="n">
        <v>0</v>
      </c>
      <c r="L80" s="20" t="n">
        <v>0</v>
      </c>
      <c r="M80" s="18" t="n">
        <v>0</v>
      </c>
      <c r="N80" s="20" t="n">
        <v>0</v>
      </c>
      <c r="O80" s="18" t="n">
        <v>0</v>
      </c>
      <c r="P80" s="20" t="n">
        <v>0</v>
      </c>
      <c r="Q80" s="18" t="n">
        <v>0.11407713</v>
      </c>
      <c r="R80" s="20" t="n">
        <v>0.1615405</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58.72942109</v>
      </c>
      <c r="F44" s="20" t="n">
        <v>1.8688907</v>
      </c>
      <c r="G44" s="18" t="n">
        <v>10.75034788</v>
      </c>
      <c r="H44" s="20" t="n">
        <v>1.16880554</v>
      </c>
      <c r="I44" s="18" t="s">
        <v>349</v>
      </c>
      <c r="J44" s="20" t="s">
        <v>349</v>
      </c>
      <c r="K44" s="18" t="n">
        <v>1.16444546</v>
      </c>
      <c r="L44" s="20" t="n">
        <v>0.40032134</v>
      </c>
      <c r="M44" s="18" t="n">
        <v>0</v>
      </c>
      <c r="N44" s="20" t="n">
        <v>0</v>
      </c>
      <c r="O44" s="18" t="n">
        <v>0</v>
      </c>
      <c r="P44" s="20" t="n">
        <v>0</v>
      </c>
      <c r="Q44" s="18" t="n">
        <v>29.35578557</v>
      </c>
      <c r="R44" s="20" t="n">
        <v>1.78712489</v>
      </c>
    </row>
    <row r="45" spans="1:18">
      <c r="A45" s="15" t="s">
        <v>387</v>
      </c>
      <c r="B45" s="17" t="n">
        <v>5519</v>
      </c>
      <c r="C45" s="18">
        <f>(4632.0/B45*100)</f>
        <v/>
      </c>
      <c r="D45" s="19" t="n">
        <v>887</v>
      </c>
      <c r="E45" s="18" t="n">
        <v>60.19259184</v>
      </c>
      <c r="F45" s="20" t="n">
        <v>1.60749867</v>
      </c>
      <c r="G45" s="18" t="n">
        <v>4.17490529</v>
      </c>
      <c r="H45" s="20" t="n">
        <v>0.80725599</v>
      </c>
      <c r="I45" s="18" t="s">
        <v>349</v>
      </c>
      <c r="J45" s="20" t="s">
        <v>349</v>
      </c>
      <c r="K45" s="18" t="n">
        <v>2.48871271</v>
      </c>
      <c r="L45" s="20" t="n">
        <v>0.55702252</v>
      </c>
      <c r="M45" s="18" t="n">
        <v>0.22379362</v>
      </c>
      <c r="N45" s="20" t="n">
        <v>0.17054022</v>
      </c>
      <c r="O45" s="18" t="n">
        <v>0</v>
      </c>
      <c r="P45" s="20" t="n">
        <v>0</v>
      </c>
      <c r="Q45" s="18" t="n">
        <v>32.91999655</v>
      </c>
      <c r="R45" s="20" t="n">
        <v>1.59346156</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67.68059028</v>
      </c>
      <c r="F49" s="20" t="n">
        <v>1.74856274</v>
      </c>
      <c r="G49" s="18" t="n">
        <v>10.68529519</v>
      </c>
      <c r="H49" s="20" t="n">
        <v>1.30541733</v>
      </c>
      <c r="I49" s="18" t="s">
        <v>349</v>
      </c>
      <c r="J49" s="20" t="s">
        <v>349</v>
      </c>
      <c r="K49" s="18" t="n">
        <v>1.36948552</v>
      </c>
      <c r="L49" s="20" t="n">
        <v>0.43467003</v>
      </c>
      <c r="M49" s="18" t="n">
        <v>0</v>
      </c>
      <c r="N49" s="20" t="n">
        <v>0</v>
      </c>
      <c r="O49" s="18" t="n">
        <v>0</v>
      </c>
      <c r="P49" s="20" t="n">
        <v>0</v>
      </c>
      <c r="Q49" s="18" t="n">
        <v>20.26462901</v>
      </c>
      <c r="R49" s="20" t="n">
        <v>1.54975931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62.07275761</v>
      </c>
      <c r="F55" s="20" t="n">
        <v>1.7164739</v>
      </c>
      <c r="G55" s="18" t="n">
        <v>5.58133182</v>
      </c>
      <c r="H55" s="20" t="n">
        <v>0.86463972</v>
      </c>
      <c r="I55" s="18" t="s">
        <v>349</v>
      </c>
      <c r="J55" s="20" t="s">
        <v>349</v>
      </c>
      <c r="K55" s="18" t="n">
        <v>1.42535263</v>
      </c>
      <c r="L55" s="20" t="n">
        <v>0.40117395</v>
      </c>
      <c r="M55" s="18" t="n">
        <v>0.10649611</v>
      </c>
      <c r="N55" s="20" t="n">
        <v>0.10607137</v>
      </c>
      <c r="O55" s="18" t="n">
        <v>0.29698301</v>
      </c>
      <c r="P55" s="20" t="n">
        <v>0.20850796</v>
      </c>
      <c r="Q55" s="18" t="n">
        <v>30.51707881</v>
      </c>
      <c r="R55" s="20" t="n">
        <v>1.5665587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82.28534071999999</v>
      </c>
      <c r="F57" s="20" t="n">
        <v>1.46279622</v>
      </c>
      <c r="G57" s="18" t="n">
        <v>5.01243521</v>
      </c>
      <c r="H57" s="20" t="n">
        <v>0.62418957</v>
      </c>
      <c r="I57" s="18" t="s">
        <v>349</v>
      </c>
      <c r="J57" s="20" t="s">
        <v>349</v>
      </c>
      <c r="K57" s="18" t="n">
        <v>0.55475463</v>
      </c>
      <c r="L57" s="20" t="n">
        <v>0.25518188</v>
      </c>
      <c r="M57" s="18" t="n">
        <v>0</v>
      </c>
      <c r="N57" s="20" t="n">
        <v>0</v>
      </c>
      <c r="O57" s="18" t="n">
        <v>0</v>
      </c>
      <c r="P57" s="20" t="n">
        <v>0</v>
      </c>
      <c r="Q57" s="18" t="n">
        <v>12.14746944</v>
      </c>
      <c r="R57" s="20" t="n">
        <v>1.44113396</v>
      </c>
    </row>
    <row r="58" spans="1:18">
      <c r="A58" s="15" t="s">
        <v>400</v>
      </c>
      <c r="B58" s="17" t="n">
        <v>7267</v>
      </c>
      <c r="C58" s="18">
        <f>(6066.0/B58*100)</f>
        <v/>
      </c>
      <c r="D58" s="19" t="n">
        <v>1201</v>
      </c>
      <c r="E58" s="18" t="n">
        <v>73.48083023</v>
      </c>
      <c r="F58" s="20" t="n">
        <v>1.39960507</v>
      </c>
      <c r="G58" s="18" t="n">
        <v>4.53290567</v>
      </c>
      <c r="H58" s="20" t="n">
        <v>0.65313954</v>
      </c>
      <c r="I58" s="18" t="s">
        <v>349</v>
      </c>
      <c r="J58" s="20" t="s">
        <v>349</v>
      </c>
      <c r="K58" s="18" t="n">
        <v>0.8948369</v>
      </c>
      <c r="L58" s="20" t="n">
        <v>0.31191409</v>
      </c>
      <c r="M58" s="18" t="n">
        <v>0</v>
      </c>
      <c r="N58" s="20" t="n">
        <v>0</v>
      </c>
      <c r="O58" s="18" t="n">
        <v>0</v>
      </c>
      <c r="P58" s="20" t="n">
        <v>0</v>
      </c>
      <c r="Q58" s="18" t="n">
        <v>21.0914272</v>
      </c>
      <c r="R58" s="20" t="n">
        <v>1.34075254</v>
      </c>
    </row>
    <row r="59" spans="1:18">
      <c r="A59" s="15" t="s">
        <v>401</v>
      </c>
      <c r="B59" s="17" t="n">
        <v>4826</v>
      </c>
      <c r="C59" s="18">
        <f>(4022.0/B59*100)</f>
        <v/>
      </c>
      <c r="D59" s="19" t="n">
        <v>804</v>
      </c>
      <c r="E59" s="18" t="n">
        <v>71.37287875</v>
      </c>
      <c r="F59" s="20" t="n">
        <v>2.17255672</v>
      </c>
      <c r="G59" s="18" t="n">
        <v>6.22906731</v>
      </c>
      <c r="H59" s="20" t="n">
        <v>1.21212748</v>
      </c>
      <c r="I59" s="18" t="s">
        <v>349</v>
      </c>
      <c r="J59" s="20" t="s">
        <v>349</v>
      </c>
      <c r="K59" s="18" t="n">
        <v>0.25231216</v>
      </c>
      <c r="L59" s="20" t="n">
        <v>0.15982722</v>
      </c>
      <c r="M59" s="18" t="n">
        <v>0</v>
      </c>
      <c r="N59" s="20" t="n">
        <v>0</v>
      </c>
      <c r="O59" s="18" t="n">
        <v>0</v>
      </c>
      <c r="P59" s="20" t="n">
        <v>0</v>
      </c>
      <c r="Q59" s="18" t="n">
        <v>22.14574177</v>
      </c>
      <c r="R59" s="20" t="n">
        <v>2.01771577</v>
      </c>
    </row>
    <row r="60" spans="1:18">
      <c r="A60" s="15" t="s">
        <v>402</v>
      </c>
      <c r="B60" s="17" t="n">
        <v>4546</v>
      </c>
      <c r="C60" s="18">
        <f>(3784.0/B60*100)</f>
        <v/>
      </c>
      <c r="D60" s="19" t="n">
        <v>762</v>
      </c>
      <c r="E60" s="18" t="n">
        <v>44.37301813</v>
      </c>
      <c r="F60" s="20" t="n">
        <v>2.21756055</v>
      </c>
      <c r="G60" s="18" t="n">
        <v>12.90039259</v>
      </c>
      <c r="H60" s="20" t="n">
        <v>1.47597843</v>
      </c>
      <c r="I60" s="18" t="s">
        <v>349</v>
      </c>
      <c r="J60" s="20" t="s">
        <v>349</v>
      </c>
      <c r="K60" s="18" t="n">
        <v>0.9985507</v>
      </c>
      <c r="L60" s="20" t="n">
        <v>0.37810314</v>
      </c>
      <c r="M60" s="18" t="n">
        <v>0</v>
      </c>
      <c r="N60" s="20" t="n">
        <v>0</v>
      </c>
      <c r="O60" s="18" t="n">
        <v>0.160862</v>
      </c>
      <c r="P60" s="20" t="n">
        <v>0.18178864</v>
      </c>
      <c r="Q60" s="18" t="n">
        <v>41.56717657</v>
      </c>
      <c r="R60" s="20" t="n">
        <v>2.19000143</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44.94043905</v>
      </c>
      <c r="F63" s="20" t="n">
        <v>1.86392077</v>
      </c>
      <c r="G63" s="18" t="n">
        <v>11.26620287</v>
      </c>
      <c r="H63" s="20" t="n">
        <v>1.16398882</v>
      </c>
      <c r="I63" s="18" t="s">
        <v>349</v>
      </c>
      <c r="J63" s="20" t="s">
        <v>349</v>
      </c>
      <c r="K63" s="18" t="n">
        <v>2.12741174</v>
      </c>
      <c r="L63" s="20" t="n">
        <v>0.5240999</v>
      </c>
      <c r="M63" s="18" t="n">
        <v>0</v>
      </c>
      <c r="N63" s="20" t="n">
        <v>0</v>
      </c>
      <c r="O63" s="18" t="n">
        <v>0</v>
      </c>
      <c r="P63" s="20" t="n">
        <v>0</v>
      </c>
      <c r="Q63" s="18" t="n">
        <v>41.66594634</v>
      </c>
      <c r="R63" s="20" t="n">
        <v>1.91654396</v>
      </c>
    </row>
    <row r="64" spans="1:18">
      <c r="A64" s="15" t="s">
        <v>406</v>
      </c>
      <c r="B64" s="17" t="n">
        <v>3634</v>
      </c>
      <c r="C64" s="18">
        <f>(3021.0/B64*100)</f>
        <v/>
      </c>
      <c r="D64" s="19" t="n">
        <v>613</v>
      </c>
      <c r="E64" s="18" t="n">
        <v>52.27152146</v>
      </c>
      <c r="F64" s="20" t="n">
        <v>1.93214823</v>
      </c>
      <c r="G64" s="18" t="n">
        <v>21.6051869</v>
      </c>
      <c r="H64" s="20" t="n">
        <v>1.67336454</v>
      </c>
      <c r="I64" s="18" t="s">
        <v>349</v>
      </c>
      <c r="J64" s="20" t="s">
        <v>349</v>
      </c>
      <c r="K64" s="18" t="n">
        <v>2.65161839</v>
      </c>
      <c r="L64" s="20" t="n">
        <v>0.70119201</v>
      </c>
      <c r="M64" s="18" t="n">
        <v>0</v>
      </c>
      <c r="N64" s="20" t="n">
        <v>0</v>
      </c>
      <c r="O64" s="18" t="n">
        <v>0</v>
      </c>
      <c r="P64" s="20" t="n">
        <v>0</v>
      </c>
      <c r="Q64" s="18" t="n">
        <v>23.47167326</v>
      </c>
      <c r="R64" s="20" t="n">
        <v>1.71592876</v>
      </c>
    </row>
    <row r="65" spans="1:18">
      <c r="A65" s="15" t="s">
        <v>407</v>
      </c>
      <c r="B65" s="17" t="n">
        <v>5325</v>
      </c>
      <c r="C65" s="18">
        <f>(4455.0/B65*100)</f>
        <v/>
      </c>
      <c r="D65" s="19" t="n">
        <v>870</v>
      </c>
      <c r="E65" s="18" t="n">
        <v>53.46029417</v>
      </c>
      <c r="F65" s="20" t="n">
        <v>1.87069368</v>
      </c>
      <c r="G65" s="18" t="n">
        <v>15.69769772</v>
      </c>
      <c r="H65" s="20" t="n">
        <v>1.31272001</v>
      </c>
      <c r="I65" s="18" t="s">
        <v>349</v>
      </c>
      <c r="J65" s="20" t="s">
        <v>349</v>
      </c>
      <c r="K65" s="18" t="n">
        <v>3.01241526</v>
      </c>
      <c r="L65" s="20" t="n">
        <v>0.49001416</v>
      </c>
      <c r="M65" s="18" t="n">
        <v>0</v>
      </c>
      <c r="N65" s="20" t="n">
        <v>0</v>
      </c>
      <c r="O65" s="18" t="n">
        <v>0</v>
      </c>
      <c r="P65" s="20" t="n">
        <v>0</v>
      </c>
      <c r="Q65" s="18" t="n">
        <v>27.82959284</v>
      </c>
      <c r="R65" s="20" t="n">
        <v>1.72849556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75.67123583999999</v>
      </c>
      <c r="F69" s="20" t="n">
        <v>1.96369954</v>
      </c>
      <c r="G69" s="18" t="n">
        <v>23.98993178</v>
      </c>
      <c r="H69" s="20" t="n">
        <v>1.93252138</v>
      </c>
      <c r="I69" s="18" t="s">
        <v>349</v>
      </c>
      <c r="J69" s="20" t="s">
        <v>349</v>
      </c>
      <c r="K69" s="18" t="n">
        <v>0</v>
      </c>
      <c r="L69" s="20" t="n">
        <v>0</v>
      </c>
      <c r="M69" s="18" t="n">
        <v>0</v>
      </c>
      <c r="N69" s="20" t="n">
        <v>0</v>
      </c>
      <c r="O69" s="18" t="n">
        <v>0</v>
      </c>
      <c r="P69" s="20" t="n">
        <v>0</v>
      </c>
      <c r="Q69" s="18" t="n">
        <v>0.33883237</v>
      </c>
      <c r="R69" s="20" t="n">
        <v>0.25296234</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53.21732376</v>
      </c>
      <c r="F74" s="20" t="n">
        <v>1.88246661</v>
      </c>
      <c r="G74" s="18" t="n">
        <v>14.40183877</v>
      </c>
      <c r="H74" s="20" t="n">
        <v>1.26427768</v>
      </c>
      <c r="I74" s="18" t="s">
        <v>349</v>
      </c>
      <c r="J74" s="20" t="s">
        <v>349</v>
      </c>
      <c r="K74" s="18" t="n">
        <v>4.52825237</v>
      </c>
      <c r="L74" s="20" t="n">
        <v>0.86024933</v>
      </c>
      <c r="M74" s="18" t="n">
        <v>0</v>
      </c>
      <c r="N74" s="20" t="n">
        <v>0</v>
      </c>
      <c r="O74" s="18" t="n">
        <v>0</v>
      </c>
      <c r="P74" s="20" t="n">
        <v>0</v>
      </c>
      <c r="Q74" s="18" t="n">
        <v>27.85258511</v>
      </c>
      <c r="R74" s="20" t="n">
        <v>1.51753394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81.15730047</v>
      </c>
      <c r="F78" s="20" t="n">
        <v>1.93095663</v>
      </c>
      <c r="G78" s="18" t="n">
        <v>17.6431566</v>
      </c>
      <c r="H78" s="20" t="n">
        <v>1.85321173</v>
      </c>
      <c r="I78" s="18" t="s">
        <v>349</v>
      </c>
      <c r="J78" s="20" t="s">
        <v>349</v>
      </c>
      <c r="K78" s="18" t="n">
        <v>0</v>
      </c>
      <c r="L78" s="20" t="n">
        <v>0</v>
      </c>
      <c r="M78" s="18" t="n">
        <v>0</v>
      </c>
      <c r="N78" s="20" t="n">
        <v>0</v>
      </c>
      <c r="O78" s="18" t="n">
        <v>0</v>
      </c>
      <c r="P78" s="20" t="n">
        <v>0</v>
      </c>
      <c r="Q78" s="18" t="n">
        <v>1.19954293</v>
      </c>
      <c r="R78" s="20" t="n">
        <v>0.41312821</v>
      </c>
    </row>
    <row customHeight="1" ht="25" r="79" spans="1:18">
      <c r="A79" s="15" t="s">
        <v>421</v>
      </c>
      <c r="B79" s="17" t="n">
        <v>1657</v>
      </c>
      <c r="C79" s="18">
        <f>(1378.0/B79*100)</f>
        <v/>
      </c>
      <c r="D79" s="19" t="n">
        <v>279</v>
      </c>
      <c r="E79" s="18" t="n">
        <v>53.73612445</v>
      </c>
      <c r="F79" s="20" t="n">
        <v>2.91429168</v>
      </c>
      <c r="G79" s="18" t="n">
        <v>26.75364157</v>
      </c>
      <c r="H79" s="20" t="n">
        <v>3.64198319</v>
      </c>
      <c r="I79" s="18" t="s">
        <v>349</v>
      </c>
      <c r="J79" s="20" t="s">
        <v>349</v>
      </c>
      <c r="K79" s="18" t="n">
        <v>2.14722233</v>
      </c>
      <c r="L79" s="20" t="n">
        <v>0.91929555</v>
      </c>
      <c r="M79" s="18" t="n">
        <v>0</v>
      </c>
      <c r="N79" s="20" t="n">
        <v>0</v>
      </c>
      <c r="O79" s="18" t="n">
        <v>0</v>
      </c>
      <c r="P79" s="20" t="n">
        <v>0</v>
      </c>
      <c r="Q79" s="18" t="n">
        <v>17.36301164</v>
      </c>
      <c r="R79" s="20" t="n">
        <v>1.99204454</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41.45737729</v>
      </c>
      <c r="F44" s="20" t="n">
        <v>2.21554508</v>
      </c>
      <c r="G44" s="18" t="n">
        <v>52.74862997</v>
      </c>
      <c r="H44" s="20" t="n">
        <v>2.34717211</v>
      </c>
      <c r="I44" s="18" t="s">
        <v>349</v>
      </c>
      <c r="J44" s="20" t="s">
        <v>349</v>
      </c>
      <c r="K44" s="18" t="n">
        <v>1.2683158</v>
      </c>
      <c r="L44" s="20" t="n">
        <v>0.43923826</v>
      </c>
      <c r="M44" s="18" t="n">
        <v>0</v>
      </c>
      <c r="N44" s="20" t="n">
        <v>0</v>
      </c>
      <c r="O44" s="18" t="n">
        <v>0</v>
      </c>
      <c r="P44" s="20" t="n">
        <v>0</v>
      </c>
      <c r="Q44" s="18" t="n">
        <v>4.52567694</v>
      </c>
      <c r="R44" s="20" t="n">
        <v>0.85932517</v>
      </c>
    </row>
    <row r="45" spans="1:18">
      <c r="A45" s="15" t="s">
        <v>387</v>
      </c>
      <c r="B45" s="17" t="n">
        <v>5519</v>
      </c>
      <c r="C45" s="18">
        <f>(4632.0/B45*100)</f>
        <v/>
      </c>
      <c r="D45" s="19" t="n">
        <v>887</v>
      </c>
      <c r="E45" s="18" t="n">
        <v>53.74988098</v>
      </c>
      <c r="F45" s="20" t="n">
        <v>1.89349605</v>
      </c>
      <c r="G45" s="18" t="n">
        <v>36.78314419</v>
      </c>
      <c r="H45" s="20" t="n">
        <v>1.59817624</v>
      </c>
      <c r="I45" s="18" t="s">
        <v>349</v>
      </c>
      <c r="J45" s="20" t="s">
        <v>349</v>
      </c>
      <c r="K45" s="18" t="n">
        <v>2.64721863</v>
      </c>
      <c r="L45" s="20" t="n">
        <v>0.5685807899999999</v>
      </c>
      <c r="M45" s="18" t="n">
        <v>0</v>
      </c>
      <c r="N45" s="20" t="n">
        <v>0</v>
      </c>
      <c r="O45" s="18" t="n">
        <v>0.11443824</v>
      </c>
      <c r="P45" s="20" t="n">
        <v>0.12271546</v>
      </c>
      <c r="Q45" s="18" t="n">
        <v>6.70531796</v>
      </c>
      <c r="R45" s="20" t="n">
        <v>0.93603134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50.95505927</v>
      </c>
      <c r="F49" s="20" t="n">
        <v>1.68925866</v>
      </c>
      <c r="G49" s="18" t="n">
        <v>44.38252865</v>
      </c>
      <c r="H49" s="20" t="n">
        <v>1.67417311</v>
      </c>
      <c r="I49" s="18" t="s">
        <v>349</v>
      </c>
      <c r="J49" s="20" t="s">
        <v>349</v>
      </c>
      <c r="K49" s="18" t="n">
        <v>1.53623765</v>
      </c>
      <c r="L49" s="20" t="n">
        <v>0.45064175</v>
      </c>
      <c r="M49" s="18" t="n">
        <v>0</v>
      </c>
      <c r="N49" s="20" t="n">
        <v>0</v>
      </c>
      <c r="O49" s="18" t="n">
        <v>0</v>
      </c>
      <c r="P49" s="20" t="n">
        <v>0</v>
      </c>
      <c r="Q49" s="18" t="n">
        <v>3.12617444</v>
      </c>
      <c r="R49" s="20" t="n">
        <v>0.61642904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48.73389811</v>
      </c>
      <c r="F55" s="20" t="n">
        <v>1.91743784</v>
      </c>
      <c r="G55" s="18" t="n">
        <v>46.48568112</v>
      </c>
      <c r="H55" s="20" t="n">
        <v>1.9638166</v>
      </c>
      <c r="I55" s="18" t="s">
        <v>349</v>
      </c>
      <c r="J55" s="20" t="s">
        <v>349</v>
      </c>
      <c r="K55" s="18" t="n">
        <v>1.42535263</v>
      </c>
      <c r="L55" s="20" t="n">
        <v>0.40117395</v>
      </c>
      <c r="M55" s="18" t="n">
        <v>0.10649611</v>
      </c>
      <c r="N55" s="20" t="n">
        <v>0.10607137</v>
      </c>
      <c r="O55" s="18" t="n">
        <v>0</v>
      </c>
      <c r="P55" s="20" t="n">
        <v>0</v>
      </c>
      <c r="Q55" s="18" t="n">
        <v>3.24857203</v>
      </c>
      <c r="R55" s="20" t="n">
        <v>0.630964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54.87676328</v>
      </c>
      <c r="F57" s="20" t="n">
        <v>1.80407584</v>
      </c>
      <c r="G57" s="18" t="n">
        <v>43.17805721</v>
      </c>
      <c r="H57" s="20" t="n">
        <v>1.71766363</v>
      </c>
      <c r="I57" s="18" t="s">
        <v>349</v>
      </c>
      <c r="J57" s="20" t="s">
        <v>349</v>
      </c>
      <c r="K57" s="18" t="n">
        <v>0.55475463</v>
      </c>
      <c r="L57" s="20" t="n">
        <v>0.25518188</v>
      </c>
      <c r="M57" s="18" t="n">
        <v>0</v>
      </c>
      <c r="N57" s="20" t="n">
        <v>0</v>
      </c>
      <c r="O57" s="18" t="n">
        <v>0</v>
      </c>
      <c r="P57" s="20" t="n">
        <v>0</v>
      </c>
      <c r="Q57" s="18" t="n">
        <v>1.39042488</v>
      </c>
      <c r="R57" s="20" t="n">
        <v>0.39466756</v>
      </c>
    </row>
    <row r="58" spans="1:18">
      <c r="A58" s="15" t="s">
        <v>400</v>
      </c>
      <c r="B58" s="17" t="n">
        <v>7267</v>
      </c>
      <c r="C58" s="18">
        <f>(6066.0/B58*100)</f>
        <v/>
      </c>
      <c r="D58" s="19" t="n">
        <v>1201</v>
      </c>
      <c r="E58" s="18" t="n">
        <v>61.63788033</v>
      </c>
      <c r="F58" s="20" t="n">
        <v>1.84477638</v>
      </c>
      <c r="G58" s="18" t="n">
        <v>35.91240785</v>
      </c>
      <c r="H58" s="20" t="n">
        <v>1.85352851</v>
      </c>
      <c r="I58" s="18" t="s">
        <v>349</v>
      </c>
      <c r="J58" s="20" t="s">
        <v>349</v>
      </c>
      <c r="K58" s="18" t="n">
        <v>0.8948369</v>
      </c>
      <c r="L58" s="20" t="n">
        <v>0.31191409</v>
      </c>
      <c r="M58" s="18" t="n">
        <v>0</v>
      </c>
      <c r="N58" s="20" t="n">
        <v>0</v>
      </c>
      <c r="O58" s="18" t="n">
        <v>0.11610332</v>
      </c>
      <c r="P58" s="20" t="n">
        <v>0.11616145</v>
      </c>
      <c r="Q58" s="18" t="n">
        <v>1.43877159</v>
      </c>
      <c r="R58" s="20" t="n">
        <v>0.39035412</v>
      </c>
    </row>
    <row r="59" spans="1:18">
      <c r="A59" s="15" t="s">
        <v>401</v>
      </c>
      <c r="B59" s="17" t="n">
        <v>4826</v>
      </c>
      <c r="C59" s="18">
        <f>(4022.0/B59*100)</f>
        <v/>
      </c>
      <c r="D59" s="19" t="n">
        <v>804</v>
      </c>
      <c r="E59" s="18" t="n">
        <v>71.01530083999999</v>
      </c>
      <c r="F59" s="20" t="n">
        <v>1.87133927</v>
      </c>
      <c r="G59" s="18" t="n">
        <v>27.05304567</v>
      </c>
      <c r="H59" s="20" t="n">
        <v>1.94681796</v>
      </c>
      <c r="I59" s="18" t="s">
        <v>349</v>
      </c>
      <c r="J59" s="20" t="s">
        <v>349</v>
      </c>
      <c r="K59" s="18" t="n">
        <v>0.25231216</v>
      </c>
      <c r="L59" s="20" t="n">
        <v>0.15982722</v>
      </c>
      <c r="M59" s="18" t="n">
        <v>0</v>
      </c>
      <c r="N59" s="20" t="n">
        <v>0</v>
      </c>
      <c r="O59" s="18" t="n">
        <v>0</v>
      </c>
      <c r="P59" s="20" t="n">
        <v>0</v>
      </c>
      <c r="Q59" s="18" t="n">
        <v>1.67934132</v>
      </c>
      <c r="R59" s="20" t="n">
        <v>0.48848972</v>
      </c>
    </row>
    <row r="60" spans="1:18">
      <c r="A60" s="15" t="s">
        <v>402</v>
      </c>
      <c r="B60" s="17" t="n">
        <v>4546</v>
      </c>
      <c r="C60" s="18">
        <f>(3784.0/B60*100)</f>
        <v/>
      </c>
      <c r="D60" s="19" t="n">
        <v>762</v>
      </c>
      <c r="E60" s="18" t="n">
        <v>39.92816094</v>
      </c>
      <c r="F60" s="20" t="n">
        <v>2.04264519</v>
      </c>
      <c r="G60" s="18" t="n">
        <v>56.8858715</v>
      </c>
      <c r="H60" s="20" t="n">
        <v>2.03305776</v>
      </c>
      <c r="I60" s="18" t="s">
        <v>349</v>
      </c>
      <c r="J60" s="20" t="s">
        <v>349</v>
      </c>
      <c r="K60" s="18" t="n">
        <v>1.12209838</v>
      </c>
      <c r="L60" s="20" t="n">
        <v>0.39695047</v>
      </c>
      <c r="M60" s="18" t="n">
        <v>0</v>
      </c>
      <c r="N60" s="20" t="n">
        <v>0</v>
      </c>
      <c r="O60" s="18" t="n">
        <v>0</v>
      </c>
      <c r="P60" s="20" t="n">
        <v>0</v>
      </c>
      <c r="Q60" s="18" t="n">
        <v>2.06386919</v>
      </c>
      <c r="R60" s="20" t="n">
        <v>0.51763487</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60.07250591</v>
      </c>
      <c r="F63" s="20" t="n">
        <v>1.94464052</v>
      </c>
      <c r="G63" s="18" t="n">
        <v>34.16991024</v>
      </c>
      <c r="H63" s="20" t="n">
        <v>1.68704149</v>
      </c>
      <c r="I63" s="18" t="s">
        <v>349</v>
      </c>
      <c r="J63" s="20" t="s">
        <v>349</v>
      </c>
      <c r="K63" s="18" t="n">
        <v>2.12741174</v>
      </c>
      <c r="L63" s="20" t="n">
        <v>0.5240999</v>
      </c>
      <c r="M63" s="18" t="n">
        <v>0</v>
      </c>
      <c r="N63" s="20" t="n">
        <v>0</v>
      </c>
      <c r="O63" s="18" t="n">
        <v>0</v>
      </c>
      <c r="P63" s="20" t="n">
        <v>0</v>
      </c>
      <c r="Q63" s="18" t="n">
        <v>3.63017211</v>
      </c>
      <c r="R63" s="20" t="n">
        <v>0.76282005</v>
      </c>
    </row>
    <row r="64" spans="1:18">
      <c r="A64" s="15" t="s">
        <v>406</v>
      </c>
      <c r="B64" s="17" t="n">
        <v>3634</v>
      </c>
      <c r="C64" s="18">
        <f>(3021.0/B64*100)</f>
        <v/>
      </c>
      <c r="D64" s="19" t="n">
        <v>613</v>
      </c>
      <c r="E64" s="18" t="n">
        <v>31.38768212</v>
      </c>
      <c r="F64" s="20" t="n">
        <v>2.03204659</v>
      </c>
      <c r="G64" s="18" t="n">
        <v>64.56804385</v>
      </c>
      <c r="H64" s="20" t="n">
        <v>1.97797571</v>
      </c>
      <c r="I64" s="18" t="s">
        <v>349</v>
      </c>
      <c r="J64" s="20" t="s">
        <v>349</v>
      </c>
      <c r="K64" s="18" t="n">
        <v>2.83087184</v>
      </c>
      <c r="L64" s="20" t="n">
        <v>0.7199715800000001</v>
      </c>
      <c r="M64" s="18" t="n">
        <v>0</v>
      </c>
      <c r="N64" s="20" t="n">
        <v>0</v>
      </c>
      <c r="O64" s="18" t="n">
        <v>0</v>
      </c>
      <c r="P64" s="20" t="n">
        <v>0</v>
      </c>
      <c r="Q64" s="18" t="n">
        <v>1.2134022</v>
      </c>
      <c r="R64" s="20" t="n">
        <v>0.44888045</v>
      </c>
    </row>
    <row r="65" spans="1:18">
      <c r="A65" s="15" t="s">
        <v>407</v>
      </c>
      <c r="B65" s="17" t="n">
        <v>5325</v>
      </c>
      <c r="C65" s="18">
        <f>(4455.0/B65*100)</f>
        <v/>
      </c>
      <c r="D65" s="19" t="n">
        <v>870</v>
      </c>
      <c r="E65" s="18" t="n">
        <v>39.61256516</v>
      </c>
      <c r="F65" s="20" t="n">
        <v>1.83216604</v>
      </c>
      <c r="G65" s="18" t="n">
        <v>54.14418616</v>
      </c>
      <c r="H65" s="20" t="n">
        <v>1.86545848</v>
      </c>
      <c r="I65" s="18" t="s">
        <v>349</v>
      </c>
      <c r="J65" s="20" t="s">
        <v>349</v>
      </c>
      <c r="K65" s="18" t="n">
        <v>3.31875921</v>
      </c>
      <c r="L65" s="20" t="n">
        <v>0.55663937</v>
      </c>
      <c r="M65" s="18" t="n">
        <v>0</v>
      </c>
      <c r="N65" s="20" t="n">
        <v>0</v>
      </c>
      <c r="O65" s="18" t="n">
        <v>0</v>
      </c>
      <c r="P65" s="20" t="n">
        <v>0</v>
      </c>
      <c r="Q65" s="18" t="n">
        <v>2.92448947</v>
      </c>
      <c r="R65" s="20" t="n">
        <v>0.59433112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50.2279832</v>
      </c>
      <c r="F69" s="20" t="n">
        <v>1.9506051</v>
      </c>
      <c r="G69" s="18" t="n">
        <v>49.53460409</v>
      </c>
      <c r="H69" s="20" t="n">
        <v>1.96865859</v>
      </c>
      <c r="I69" s="18" t="s">
        <v>349</v>
      </c>
      <c r="J69" s="20" t="s">
        <v>349</v>
      </c>
      <c r="K69" s="18" t="n">
        <v>0</v>
      </c>
      <c r="L69" s="20" t="n">
        <v>0</v>
      </c>
      <c r="M69" s="18" t="n">
        <v>0</v>
      </c>
      <c r="N69" s="20" t="n">
        <v>0</v>
      </c>
      <c r="O69" s="18" t="n">
        <v>0</v>
      </c>
      <c r="P69" s="20" t="n">
        <v>0</v>
      </c>
      <c r="Q69" s="18" t="n">
        <v>0.23741272</v>
      </c>
      <c r="R69" s="20" t="n">
        <v>0.16776992</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45.40094328</v>
      </c>
      <c r="F74" s="20" t="n">
        <v>1.72321187</v>
      </c>
      <c r="G74" s="18" t="n">
        <v>46.56425319</v>
      </c>
      <c r="H74" s="20" t="n">
        <v>1.85072197</v>
      </c>
      <c r="I74" s="18" t="s">
        <v>349</v>
      </c>
      <c r="J74" s="20" t="s">
        <v>349</v>
      </c>
      <c r="K74" s="18" t="n">
        <v>5.02075301</v>
      </c>
      <c r="L74" s="20" t="n">
        <v>0.9557015800000001</v>
      </c>
      <c r="M74" s="18" t="n">
        <v>0</v>
      </c>
      <c r="N74" s="20" t="n">
        <v>0</v>
      </c>
      <c r="O74" s="18" t="n">
        <v>0</v>
      </c>
      <c r="P74" s="20" t="n">
        <v>0</v>
      </c>
      <c r="Q74" s="18" t="n">
        <v>3.01405053</v>
      </c>
      <c r="R74" s="20" t="n">
        <v>0.66206743</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13.6592379</v>
      </c>
      <c r="F78" s="20" t="n">
        <v>1.68720129</v>
      </c>
      <c r="G78" s="18" t="n">
        <v>86.34076210000001</v>
      </c>
      <c r="H78" s="20" t="n">
        <v>1.68720129</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(1378.0/B79*100)</f>
        <v/>
      </c>
      <c r="D79" s="19" t="n">
        <v>279</v>
      </c>
      <c r="E79" s="18" t="n">
        <v>34.68861736</v>
      </c>
      <c r="F79" s="20" t="n">
        <v>3.89965915</v>
      </c>
      <c r="G79" s="18" t="n">
        <v>59.27483271</v>
      </c>
      <c r="H79" s="20" t="n">
        <v>3.73619818</v>
      </c>
      <c r="I79" s="18" t="s">
        <v>349</v>
      </c>
      <c r="J79" s="20" t="s">
        <v>349</v>
      </c>
      <c r="K79" s="18" t="n">
        <v>2.48986036</v>
      </c>
      <c r="L79" s="20" t="n">
        <v>1.08644796</v>
      </c>
      <c r="M79" s="18" t="n">
        <v>0</v>
      </c>
      <c r="N79" s="20" t="n">
        <v>0</v>
      </c>
      <c r="O79" s="18" t="n">
        <v>0</v>
      </c>
      <c r="P79" s="20" t="n">
        <v>0</v>
      </c>
      <c r="Q79" s="18" t="n">
        <v>3.54668957</v>
      </c>
      <c r="R79" s="20" t="n">
        <v>1.30396287</v>
      </c>
    </row>
    <row r="80" spans="1:18">
      <c r="A80" s="15" t="s">
        <v>422</v>
      </c>
      <c r="B80" s="17" t="n">
        <v>7841</v>
      </c>
      <c r="C80" s="18">
        <f>(6513.0/B80*100)</f>
        <v/>
      </c>
      <c r="D80" s="19" t="n">
        <v>1328</v>
      </c>
      <c r="E80" s="18" t="n">
        <v>44.75662782</v>
      </c>
      <c r="F80" s="20" t="n">
        <v>2.30602177</v>
      </c>
      <c r="G80" s="18" t="n">
        <v>55.04233129</v>
      </c>
      <c r="H80" s="20" t="n">
        <v>2.2965833</v>
      </c>
      <c r="I80" s="18" t="s">
        <v>349</v>
      </c>
      <c r="J80" s="20" t="s">
        <v>349</v>
      </c>
      <c r="K80" s="18" t="n">
        <v>0</v>
      </c>
      <c r="L80" s="20" t="n">
        <v>0</v>
      </c>
      <c r="M80" s="18" t="n">
        <v>0</v>
      </c>
      <c r="N80" s="20" t="n">
        <v>0</v>
      </c>
      <c r="O80" s="18" t="n">
        <v>0</v>
      </c>
      <c r="P80" s="20" t="n">
        <v>0</v>
      </c>
      <c r="Q80" s="18" t="n">
        <v>0.20104089</v>
      </c>
      <c r="R80" s="20" t="n">
        <v>0.18234909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67.65614426</v>
      </c>
      <c r="F44" s="20" t="n">
        <v>2.60276534</v>
      </c>
      <c r="G44" s="18" t="n">
        <v>26.85452448</v>
      </c>
      <c r="H44" s="20" t="n">
        <v>2.63806949</v>
      </c>
      <c r="I44" s="18" t="s">
        <v>349</v>
      </c>
      <c r="J44" s="20" t="s">
        <v>349</v>
      </c>
      <c r="K44" s="18" t="n">
        <v>1.39488197</v>
      </c>
      <c r="L44" s="20" t="n">
        <v>0.42103573</v>
      </c>
      <c r="M44" s="18" t="n">
        <v>0</v>
      </c>
      <c r="N44" s="20" t="n">
        <v>0</v>
      </c>
      <c r="O44" s="18" t="n">
        <v>0</v>
      </c>
      <c r="P44" s="20" t="n">
        <v>0</v>
      </c>
      <c r="Q44" s="18" t="n">
        <v>4.09444929</v>
      </c>
      <c r="R44" s="20" t="n">
        <v>0.83368936</v>
      </c>
    </row>
    <row r="45" spans="1:18">
      <c r="A45" s="15" t="s">
        <v>387</v>
      </c>
      <c r="B45" s="17" t="n">
        <v>5519</v>
      </c>
      <c r="C45" s="18">
        <f>(4632.0/B45*100)</f>
        <v/>
      </c>
      <c r="D45" s="19" t="n">
        <v>887</v>
      </c>
      <c r="E45" s="18" t="n">
        <v>74.15781939</v>
      </c>
      <c r="F45" s="20" t="n">
        <v>1.68443221</v>
      </c>
      <c r="G45" s="18" t="n">
        <v>17.01619349</v>
      </c>
      <c r="H45" s="20" t="n">
        <v>1.43545221</v>
      </c>
      <c r="I45" s="18" t="s">
        <v>349</v>
      </c>
      <c r="J45" s="20" t="s">
        <v>349</v>
      </c>
      <c r="K45" s="18" t="n">
        <v>3.15440531</v>
      </c>
      <c r="L45" s="20" t="n">
        <v>0.5747136900000001</v>
      </c>
      <c r="M45" s="18" t="n">
        <v>0</v>
      </c>
      <c r="N45" s="20" t="n">
        <v>0</v>
      </c>
      <c r="O45" s="18" t="n">
        <v>0.11443824</v>
      </c>
      <c r="P45" s="20" t="n">
        <v>0.12271546</v>
      </c>
      <c r="Q45" s="18" t="n">
        <v>5.55714357</v>
      </c>
      <c r="R45" s="20" t="n">
        <v>0.93661743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78.60795586</v>
      </c>
      <c r="F49" s="20" t="n">
        <v>1.74115788</v>
      </c>
      <c r="G49" s="18" t="n">
        <v>16.77580159</v>
      </c>
      <c r="H49" s="20" t="n">
        <v>1.48789944</v>
      </c>
      <c r="I49" s="18" t="s">
        <v>349</v>
      </c>
      <c r="J49" s="20" t="s">
        <v>349</v>
      </c>
      <c r="K49" s="18" t="n">
        <v>1.80469173</v>
      </c>
      <c r="L49" s="20" t="n">
        <v>0.50951445</v>
      </c>
      <c r="M49" s="18" t="n">
        <v>0</v>
      </c>
      <c r="N49" s="20" t="n">
        <v>0</v>
      </c>
      <c r="O49" s="18" t="n">
        <v>0</v>
      </c>
      <c r="P49" s="20" t="n">
        <v>0</v>
      </c>
      <c r="Q49" s="18" t="n">
        <v>2.81155082</v>
      </c>
      <c r="R49" s="20" t="n">
        <v>0.59354991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70.97916571</v>
      </c>
      <c r="F55" s="20" t="n">
        <v>1.97876959</v>
      </c>
      <c r="G55" s="18" t="n">
        <v>24.38587687</v>
      </c>
      <c r="H55" s="20" t="n">
        <v>1.96449037</v>
      </c>
      <c r="I55" s="18" t="s">
        <v>349</v>
      </c>
      <c r="J55" s="20" t="s">
        <v>349</v>
      </c>
      <c r="K55" s="18" t="n">
        <v>1.42535263</v>
      </c>
      <c r="L55" s="20" t="n">
        <v>0.40117395</v>
      </c>
      <c r="M55" s="18" t="n">
        <v>0.10649611</v>
      </c>
      <c r="N55" s="20" t="n">
        <v>0.10607137</v>
      </c>
      <c r="O55" s="18" t="n">
        <v>0</v>
      </c>
      <c r="P55" s="20" t="n">
        <v>0</v>
      </c>
      <c r="Q55" s="18" t="n">
        <v>3.10310869</v>
      </c>
      <c r="R55" s="20" t="n">
        <v>0.55983338</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84.46552607</v>
      </c>
      <c r="F57" s="20" t="n">
        <v>1.18451437</v>
      </c>
      <c r="G57" s="18" t="n">
        <v>14.3302129</v>
      </c>
      <c r="H57" s="20" t="n">
        <v>1.13656179</v>
      </c>
      <c r="I57" s="18" t="s">
        <v>349</v>
      </c>
      <c r="J57" s="20" t="s">
        <v>349</v>
      </c>
      <c r="K57" s="18" t="n">
        <v>0.63003658</v>
      </c>
      <c r="L57" s="20" t="n">
        <v>0.26551049</v>
      </c>
      <c r="M57" s="18" t="n">
        <v>0</v>
      </c>
      <c r="N57" s="20" t="n">
        <v>0</v>
      </c>
      <c r="O57" s="18" t="n">
        <v>0</v>
      </c>
      <c r="P57" s="20" t="n">
        <v>0</v>
      </c>
      <c r="Q57" s="18" t="n">
        <v>0.57422445</v>
      </c>
      <c r="R57" s="20" t="n">
        <v>0.27730721</v>
      </c>
    </row>
    <row r="58" spans="1:18">
      <c r="A58" s="15" t="s">
        <v>400</v>
      </c>
      <c r="B58" s="17" t="n">
        <v>7267</v>
      </c>
      <c r="C58" s="18">
        <f>(6066.0/B58*100)</f>
        <v/>
      </c>
      <c r="D58" s="19" t="n">
        <v>1201</v>
      </c>
      <c r="E58" s="18" t="n">
        <v>78.50671011</v>
      </c>
      <c r="F58" s="20" t="n">
        <v>1.5389132</v>
      </c>
      <c r="G58" s="18" t="n">
        <v>19.17472687</v>
      </c>
      <c r="H58" s="20" t="n">
        <v>1.42211701</v>
      </c>
      <c r="I58" s="18" t="s">
        <v>349</v>
      </c>
      <c r="J58" s="20" t="s">
        <v>349</v>
      </c>
      <c r="K58" s="18" t="n">
        <v>0.8948369</v>
      </c>
      <c r="L58" s="20" t="n">
        <v>0.31191409</v>
      </c>
      <c r="M58" s="18" t="n">
        <v>0</v>
      </c>
      <c r="N58" s="20" t="n">
        <v>0</v>
      </c>
      <c r="O58" s="18" t="n">
        <v>0.11610332</v>
      </c>
      <c r="P58" s="20" t="n">
        <v>0.11616145</v>
      </c>
      <c r="Q58" s="18" t="n">
        <v>1.30762279</v>
      </c>
      <c r="R58" s="20" t="n">
        <v>0.36127925</v>
      </c>
    </row>
    <row r="59" spans="1:18">
      <c r="A59" s="15" t="s">
        <v>401</v>
      </c>
      <c r="B59" s="17" t="n">
        <v>4826</v>
      </c>
      <c r="C59" s="18">
        <f>(4022.0/B59*100)</f>
        <v/>
      </c>
      <c r="D59" s="19" t="n">
        <v>804</v>
      </c>
      <c r="E59" s="18" t="n">
        <v>90.21667555000001</v>
      </c>
      <c r="F59" s="20" t="n">
        <v>1.1758184</v>
      </c>
      <c r="G59" s="18" t="n">
        <v>7.84002047</v>
      </c>
      <c r="H59" s="20" t="n">
        <v>1.09691402</v>
      </c>
      <c r="I59" s="18" t="s">
        <v>349</v>
      </c>
      <c r="J59" s="20" t="s">
        <v>349</v>
      </c>
      <c r="K59" s="18" t="n">
        <v>0.25231216</v>
      </c>
      <c r="L59" s="20" t="n">
        <v>0.15982722</v>
      </c>
      <c r="M59" s="18" t="n">
        <v>0</v>
      </c>
      <c r="N59" s="20" t="n">
        <v>0</v>
      </c>
      <c r="O59" s="18" t="n">
        <v>0</v>
      </c>
      <c r="P59" s="20" t="n">
        <v>0</v>
      </c>
      <c r="Q59" s="18" t="n">
        <v>1.69099182</v>
      </c>
      <c r="R59" s="20" t="n">
        <v>0.48579176</v>
      </c>
    </row>
    <row r="60" spans="1:18">
      <c r="A60" s="15" t="s">
        <v>402</v>
      </c>
      <c r="B60" s="17" t="n">
        <v>4546</v>
      </c>
      <c r="C60" s="18">
        <f>(3784.0/B60*100)</f>
        <v/>
      </c>
      <c r="D60" s="19" t="n">
        <v>762</v>
      </c>
      <c r="E60" s="18" t="n">
        <v>44.8161854</v>
      </c>
      <c r="F60" s="20" t="n">
        <v>1.99237421</v>
      </c>
      <c r="G60" s="18" t="n">
        <v>51.82319884</v>
      </c>
      <c r="H60" s="20" t="n">
        <v>2.12313479</v>
      </c>
      <c r="I60" s="18" t="s">
        <v>349</v>
      </c>
      <c r="J60" s="20" t="s">
        <v>349</v>
      </c>
      <c r="K60" s="18" t="n">
        <v>1.60155717</v>
      </c>
      <c r="L60" s="20" t="n">
        <v>0.38795957</v>
      </c>
      <c r="M60" s="18" t="n">
        <v>0</v>
      </c>
      <c r="N60" s="20" t="n">
        <v>0</v>
      </c>
      <c r="O60" s="18" t="n">
        <v>0</v>
      </c>
      <c r="P60" s="20" t="n">
        <v>0</v>
      </c>
      <c r="Q60" s="18" t="n">
        <v>1.75905859</v>
      </c>
      <c r="R60" s="20" t="n">
        <v>0.51732869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78.71862625</v>
      </c>
      <c r="F63" s="20" t="n">
        <v>1.47320266</v>
      </c>
      <c r="G63" s="18" t="n">
        <v>15.87541152</v>
      </c>
      <c r="H63" s="20" t="n">
        <v>1.48331046</v>
      </c>
      <c r="I63" s="18" t="s">
        <v>349</v>
      </c>
      <c r="J63" s="20" t="s">
        <v>349</v>
      </c>
      <c r="K63" s="18" t="n">
        <v>2.12741174</v>
      </c>
      <c r="L63" s="20" t="n">
        <v>0.5240999</v>
      </c>
      <c r="M63" s="18" t="n">
        <v>0</v>
      </c>
      <c r="N63" s="20" t="n">
        <v>0</v>
      </c>
      <c r="O63" s="18" t="n">
        <v>0</v>
      </c>
      <c r="P63" s="20" t="n">
        <v>0</v>
      </c>
      <c r="Q63" s="18" t="n">
        <v>3.27855049</v>
      </c>
      <c r="R63" s="20" t="n">
        <v>0.67083037</v>
      </c>
    </row>
    <row r="64" spans="1:18">
      <c r="A64" s="15" t="s">
        <v>406</v>
      </c>
      <c r="B64" s="17" t="n">
        <v>3634</v>
      </c>
      <c r="C64" s="18">
        <f>(3021.0/B64*100)</f>
        <v/>
      </c>
      <c r="D64" s="19" t="n">
        <v>613</v>
      </c>
      <c r="E64" s="18" t="n">
        <v>51.93801494</v>
      </c>
      <c r="F64" s="20" t="n">
        <v>2.2493986</v>
      </c>
      <c r="G64" s="18" t="n">
        <v>43.73024473</v>
      </c>
      <c r="H64" s="20" t="n">
        <v>2.18371392</v>
      </c>
      <c r="I64" s="18" t="s">
        <v>349</v>
      </c>
      <c r="J64" s="20" t="s">
        <v>349</v>
      </c>
      <c r="K64" s="18" t="n">
        <v>2.83087184</v>
      </c>
      <c r="L64" s="20" t="n">
        <v>0.7199715800000001</v>
      </c>
      <c r="M64" s="18" t="n">
        <v>0</v>
      </c>
      <c r="N64" s="20" t="n">
        <v>0</v>
      </c>
      <c r="O64" s="18" t="n">
        <v>0.21927478</v>
      </c>
      <c r="P64" s="20" t="n">
        <v>0.21750734</v>
      </c>
      <c r="Q64" s="18" t="n">
        <v>1.28159371</v>
      </c>
      <c r="R64" s="20" t="n">
        <v>0.4828919</v>
      </c>
    </row>
    <row r="65" spans="1:18">
      <c r="A65" s="15" t="s">
        <v>407</v>
      </c>
      <c r="B65" s="17" t="n">
        <v>5325</v>
      </c>
      <c r="C65" s="18">
        <f>(4455.0/B65*100)</f>
        <v/>
      </c>
      <c r="D65" s="19" t="n">
        <v>870</v>
      </c>
      <c r="E65" s="18" t="n">
        <v>68.70423583</v>
      </c>
      <c r="F65" s="20" t="n">
        <v>1.73529352</v>
      </c>
      <c r="G65" s="18" t="n">
        <v>25.68794903</v>
      </c>
      <c r="H65" s="20" t="n">
        <v>1.66850056</v>
      </c>
      <c r="I65" s="18" t="s">
        <v>349</v>
      </c>
      <c r="J65" s="20" t="s">
        <v>349</v>
      </c>
      <c r="K65" s="18" t="n">
        <v>3.4184207</v>
      </c>
      <c r="L65" s="20" t="n">
        <v>0.56402571</v>
      </c>
      <c r="M65" s="18" t="n">
        <v>0</v>
      </c>
      <c r="N65" s="20" t="n">
        <v>0</v>
      </c>
      <c r="O65" s="18" t="n">
        <v>0</v>
      </c>
      <c r="P65" s="20" t="n">
        <v>0</v>
      </c>
      <c r="Q65" s="18" t="n">
        <v>2.18939444</v>
      </c>
      <c r="R65" s="20" t="n">
        <v>0.46263666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69.10153819</v>
      </c>
      <c r="F69" s="20" t="n">
        <v>2.22775568</v>
      </c>
      <c r="G69" s="18" t="n">
        <v>30.77384588</v>
      </c>
      <c r="H69" s="20" t="n">
        <v>2.22998287</v>
      </c>
      <c r="I69" s="18" t="s">
        <v>349</v>
      </c>
      <c r="J69" s="20" t="s">
        <v>349</v>
      </c>
      <c r="K69" s="18" t="n">
        <v>0</v>
      </c>
      <c r="L69" s="20" t="n">
        <v>0</v>
      </c>
      <c r="M69" s="18" t="n">
        <v>0</v>
      </c>
      <c r="N69" s="20" t="n">
        <v>0</v>
      </c>
      <c r="O69" s="18" t="n">
        <v>0</v>
      </c>
      <c r="P69" s="20" t="n">
        <v>0</v>
      </c>
      <c r="Q69" s="18" t="n">
        <v>0.12461592</v>
      </c>
      <c r="R69" s="20" t="n">
        <v>0.12429946</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81.9216182</v>
      </c>
      <c r="F74" s="20" t="n">
        <v>1.55379681</v>
      </c>
      <c r="G74" s="18" t="n">
        <v>10.29997636</v>
      </c>
      <c r="H74" s="20" t="n">
        <v>1.08399214</v>
      </c>
      <c r="I74" s="18" t="s">
        <v>349</v>
      </c>
      <c r="J74" s="20" t="s">
        <v>349</v>
      </c>
      <c r="K74" s="18" t="n">
        <v>5.09634279</v>
      </c>
      <c r="L74" s="20" t="n">
        <v>0.9562932</v>
      </c>
      <c r="M74" s="18" t="n">
        <v>0</v>
      </c>
      <c r="N74" s="20" t="n">
        <v>0</v>
      </c>
      <c r="O74" s="18" t="n">
        <v>0</v>
      </c>
      <c r="P74" s="20" t="n">
        <v>0</v>
      </c>
      <c r="Q74" s="18" t="n">
        <v>2.68206265</v>
      </c>
      <c r="R74" s="20" t="n">
        <v>0.67400221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37.53639107</v>
      </c>
      <c r="F78" s="20" t="n">
        <v>2.2155591</v>
      </c>
      <c r="G78" s="18" t="n">
        <v>62.46360893</v>
      </c>
      <c r="H78" s="20" t="n">
        <v>2.2155591</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(1378.0/B79*100)</f>
        <v/>
      </c>
      <c r="D79" s="19" t="n">
        <v>279</v>
      </c>
      <c r="E79" s="18" t="n">
        <v>72.22963325000001</v>
      </c>
      <c r="F79" s="20" t="n">
        <v>3.12941032</v>
      </c>
      <c r="G79" s="18" t="n">
        <v>22.17548489</v>
      </c>
      <c r="H79" s="20" t="n">
        <v>2.99174371</v>
      </c>
      <c r="I79" s="18" t="s">
        <v>349</v>
      </c>
      <c r="J79" s="20" t="s">
        <v>349</v>
      </c>
      <c r="K79" s="18" t="n">
        <v>2.81963656</v>
      </c>
      <c r="L79" s="20" t="n">
        <v>1.14508549</v>
      </c>
      <c r="M79" s="18" t="n">
        <v>0</v>
      </c>
      <c r="N79" s="20" t="n">
        <v>0</v>
      </c>
      <c r="O79" s="18" t="n">
        <v>0</v>
      </c>
      <c r="P79" s="20" t="n">
        <v>0</v>
      </c>
      <c r="Q79" s="18" t="n">
        <v>2.77524531</v>
      </c>
      <c r="R79" s="20" t="n">
        <v>1.35500049</v>
      </c>
    </row>
    <row r="80" spans="1:18">
      <c r="A80" s="15" t="s">
        <v>422</v>
      </c>
      <c r="B80" s="17" t="n">
        <v>7841</v>
      </c>
      <c r="C80" s="18">
        <f>(6513.0/B80*100)</f>
        <v/>
      </c>
      <c r="D80" s="19" t="n">
        <v>1328</v>
      </c>
      <c r="E80" s="18" t="n">
        <v>70.70684252</v>
      </c>
      <c r="F80" s="20" t="n">
        <v>1.9932598</v>
      </c>
      <c r="G80" s="18" t="n">
        <v>29.17600462</v>
      </c>
      <c r="H80" s="20" t="n">
        <v>1.99138725</v>
      </c>
      <c r="I80" s="18" t="s">
        <v>349</v>
      </c>
      <c r="J80" s="20" t="s">
        <v>349</v>
      </c>
      <c r="K80" s="18" t="n">
        <v>0</v>
      </c>
      <c r="L80" s="20" t="n">
        <v>0</v>
      </c>
      <c r="M80" s="18" t="n">
        <v>0</v>
      </c>
      <c r="N80" s="20" t="n">
        <v>0</v>
      </c>
      <c r="O80" s="18" t="n">
        <v>0</v>
      </c>
      <c r="P80" s="20" t="n">
        <v>0</v>
      </c>
      <c r="Q80" s="18" t="n">
        <v>0.11715285</v>
      </c>
      <c r="R80" s="20" t="n">
        <v>0.16157198</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586</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(4338.0/B44*100)</f>
        <v/>
      </c>
      <c r="D44" s="19" t="n">
        <v>877</v>
      </c>
      <c r="E44" s="18" t="n">
        <v>25.42647958</v>
      </c>
      <c r="F44" s="20" t="n">
        <v>2.02048436</v>
      </c>
      <c r="G44" s="18" t="n">
        <v>4.89807598</v>
      </c>
      <c r="H44" s="20" t="n">
        <v>0.9013595599999999</v>
      </c>
      <c r="I44" s="18" t="n">
        <v>20.40127053</v>
      </c>
      <c r="J44" s="20" t="n">
        <v>2.03490811</v>
      </c>
      <c r="K44" s="18" t="s">
        <v>349</v>
      </c>
      <c r="L44" s="20" t="s">
        <v>349</v>
      </c>
      <c r="M44" s="18" t="n">
        <v>2.66183008</v>
      </c>
      <c r="N44" s="20" t="n">
        <v>0.48462403</v>
      </c>
      <c r="O44" s="18" t="n">
        <v>0</v>
      </c>
      <c r="P44" s="20" t="n">
        <v>0</v>
      </c>
      <c r="Q44" s="18" t="n">
        <v>0</v>
      </c>
      <c r="R44" s="20" t="n">
        <v>0</v>
      </c>
      <c r="S44" s="18" t="n">
        <v>46.61234383</v>
      </c>
      <c r="T44" s="20" t="n">
        <v>2.35114253</v>
      </c>
    </row>
    <row r="45" spans="1:20">
      <c r="A45" s="15" t="s">
        <v>387</v>
      </c>
      <c r="B45" s="17" t="n">
        <v>5519</v>
      </c>
      <c r="C45" s="18">
        <f>(4632.0/B45*100)</f>
        <v/>
      </c>
      <c r="D45" s="19" t="n">
        <v>887</v>
      </c>
      <c r="E45" s="18" t="n">
        <v>42.42684872</v>
      </c>
      <c r="F45" s="20" t="n">
        <v>1.58768511</v>
      </c>
      <c r="G45" s="18" t="n">
        <v>4.52940452</v>
      </c>
      <c r="H45" s="20" t="n">
        <v>0.65981148</v>
      </c>
      <c r="I45" s="18" t="n">
        <v>13.77826767</v>
      </c>
      <c r="J45" s="20" t="n">
        <v>1.40586175</v>
      </c>
      <c r="K45" s="18" t="s">
        <v>349</v>
      </c>
      <c r="L45" s="20" t="s">
        <v>349</v>
      </c>
      <c r="M45" s="18" t="n">
        <v>4.36122896</v>
      </c>
      <c r="N45" s="20" t="n">
        <v>0.6857752</v>
      </c>
      <c r="O45" s="18" t="n">
        <v>0</v>
      </c>
      <c r="P45" s="20" t="n">
        <v>0</v>
      </c>
      <c r="Q45" s="18" t="n">
        <v>0</v>
      </c>
      <c r="R45" s="20" t="n">
        <v>0</v>
      </c>
      <c r="S45" s="18" t="n">
        <v>34.90425013</v>
      </c>
      <c r="T45" s="20" t="n">
        <v>1.64236264</v>
      </c>
    </row>
    <row r="46" spans="1:20">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6349</v>
      </c>
      <c r="C49" s="18">
        <f>(5279.0/B49*100)</f>
        <v/>
      </c>
      <c r="D49" s="19" t="n">
        <v>1070</v>
      </c>
      <c r="E49" s="18" t="n">
        <v>37.1067008</v>
      </c>
      <c r="F49" s="20" t="n">
        <v>1.93992506</v>
      </c>
      <c r="G49" s="18" t="n">
        <v>2.09538827</v>
      </c>
      <c r="H49" s="20" t="n">
        <v>0.54491921</v>
      </c>
      <c r="I49" s="18" t="n">
        <v>14.14229413</v>
      </c>
      <c r="J49" s="20" t="n">
        <v>1.45213016</v>
      </c>
      <c r="K49" s="18" t="s">
        <v>349</v>
      </c>
      <c r="L49" s="20" t="s">
        <v>349</v>
      </c>
      <c r="M49" s="18" t="n">
        <v>2.53539584</v>
      </c>
      <c r="N49" s="20" t="n">
        <v>0.57595962</v>
      </c>
      <c r="O49" s="18" t="n">
        <v>0</v>
      </c>
      <c r="P49" s="20" t="n">
        <v>0</v>
      </c>
      <c r="Q49" s="18" t="n">
        <v>0</v>
      </c>
      <c r="R49" s="20" t="n">
        <v>0</v>
      </c>
      <c r="S49" s="18" t="n">
        <v>44.12022096</v>
      </c>
      <c r="T49" s="20" t="n">
        <v>2.15452449</v>
      </c>
    </row>
    <row r="50" spans="1:20">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5316</v>
      </c>
      <c r="C55" s="18">
        <f>(4432.0/B55*100)</f>
        <v/>
      </c>
      <c r="D55" s="19" t="n">
        <v>884</v>
      </c>
      <c r="E55" s="18" t="n">
        <v>24.58147844</v>
      </c>
      <c r="F55" s="20" t="n">
        <v>1.76786587</v>
      </c>
      <c r="G55" s="18" t="n">
        <v>3.29357779</v>
      </c>
      <c r="H55" s="20" t="n">
        <v>0.67012439</v>
      </c>
      <c r="I55" s="18" t="n">
        <v>14.79660313</v>
      </c>
      <c r="J55" s="20" t="n">
        <v>1.41825119</v>
      </c>
      <c r="K55" s="18" t="s">
        <v>349</v>
      </c>
      <c r="L55" s="20" t="s">
        <v>349</v>
      </c>
      <c r="M55" s="18" t="n">
        <v>2.58321501</v>
      </c>
      <c r="N55" s="20" t="n">
        <v>0.49365071</v>
      </c>
      <c r="O55" s="18" t="n">
        <v>0.10649611</v>
      </c>
      <c r="P55" s="20" t="n">
        <v>0.10607137</v>
      </c>
      <c r="Q55" s="18" t="n">
        <v>0</v>
      </c>
      <c r="R55" s="20" t="n">
        <v>0</v>
      </c>
      <c r="S55" s="18" t="n">
        <v>54.63862951</v>
      </c>
      <c r="T55" s="20" t="n">
        <v>1.99240225</v>
      </c>
    </row>
    <row r="56" spans="1:2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6513</v>
      </c>
      <c r="C57" s="18">
        <f>(5428.0/B57*100)</f>
        <v/>
      </c>
      <c r="D57" s="19" t="n">
        <v>1085</v>
      </c>
      <c r="E57" s="18" t="n">
        <v>69.96192395</v>
      </c>
      <c r="F57" s="20" t="n">
        <v>1.5172114</v>
      </c>
      <c r="G57" s="18" t="n">
        <v>2.57432884</v>
      </c>
      <c r="H57" s="20" t="n">
        <v>0.50181793</v>
      </c>
      <c r="I57" s="18" t="n">
        <v>11.57637973</v>
      </c>
      <c r="J57" s="20" t="n">
        <v>1.0186679</v>
      </c>
      <c r="K57" s="18" t="s">
        <v>349</v>
      </c>
      <c r="L57" s="20" t="s">
        <v>349</v>
      </c>
      <c r="M57" s="18" t="n">
        <v>1.03263707</v>
      </c>
      <c r="N57" s="20" t="n">
        <v>0.33428348</v>
      </c>
      <c r="O57" s="18" t="n">
        <v>0</v>
      </c>
      <c r="P57" s="20" t="n">
        <v>0</v>
      </c>
      <c r="Q57" s="18" t="n">
        <v>0</v>
      </c>
      <c r="R57" s="20" t="n">
        <v>0</v>
      </c>
      <c r="S57" s="18" t="n">
        <v>14.8547304</v>
      </c>
      <c r="T57" s="20" t="n">
        <v>1.3809389</v>
      </c>
    </row>
    <row r="58" spans="1:20">
      <c r="A58" s="15" t="s">
        <v>400</v>
      </c>
      <c r="B58" s="17" t="n">
        <v>7267</v>
      </c>
      <c r="C58" s="18">
        <f>(6066.0/B58*100)</f>
        <v/>
      </c>
      <c r="D58" s="19" t="n">
        <v>1201</v>
      </c>
      <c r="E58" s="18" t="n">
        <v>57.74230236</v>
      </c>
      <c r="F58" s="20" t="n">
        <v>2.16175326</v>
      </c>
      <c r="G58" s="18" t="n">
        <v>2.66953057</v>
      </c>
      <c r="H58" s="20" t="n">
        <v>0.7258507</v>
      </c>
      <c r="I58" s="18" t="n">
        <v>9.23980639</v>
      </c>
      <c r="J58" s="20" t="n">
        <v>1.11152888</v>
      </c>
      <c r="K58" s="18" t="s">
        <v>349</v>
      </c>
      <c r="L58" s="20" t="s">
        <v>349</v>
      </c>
      <c r="M58" s="18" t="n">
        <v>2.51962064</v>
      </c>
      <c r="N58" s="20" t="n">
        <v>0.5298094</v>
      </c>
      <c r="O58" s="18" t="n">
        <v>0</v>
      </c>
      <c r="P58" s="20" t="n">
        <v>0</v>
      </c>
      <c r="Q58" s="18" t="n">
        <v>0</v>
      </c>
      <c r="R58" s="20" t="n">
        <v>0</v>
      </c>
      <c r="S58" s="18" t="n">
        <v>27.82874003</v>
      </c>
      <c r="T58" s="20" t="n">
        <v>1.59437977</v>
      </c>
    </row>
    <row r="59" spans="1:20">
      <c r="A59" s="15" t="s">
        <v>401</v>
      </c>
      <c r="B59" s="17" t="n">
        <v>4826</v>
      </c>
      <c r="C59" s="18">
        <f>(4022.0/B59*100)</f>
        <v/>
      </c>
      <c r="D59" s="19" t="n">
        <v>804</v>
      </c>
      <c r="E59" s="18" t="n">
        <v>58.26152835</v>
      </c>
      <c r="F59" s="20" t="n">
        <v>2.18308531</v>
      </c>
      <c r="G59" s="18" t="n">
        <v>0.59793813</v>
      </c>
      <c r="H59" s="20" t="n">
        <v>0.30136575</v>
      </c>
      <c r="I59" s="18" t="n">
        <v>7.95540059</v>
      </c>
      <c r="J59" s="20" t="n">
        <v>1.02234073</v>
      </c>
      <c r="K59" s="18" t="s">
        <v>349</v>
      </c>
      <c r="L59" s="20" t="s">
        <v>349</v>
      </c>
      <c r="M59" s="18" t="n">
        <v>1.46356589</v>
      </c>
      <c r="N59" s="20" t="n">
        <v>0.67469146</v>
      </c>
      <c r="O59" s="18" t="n">
        <v>0</v>
      </c>
      <c r="P59" s="20" t="n">
        <v>0</v>
      </c>
      <c r="Q59" s="18" t="n">
        <v>0</v>
      </c>
      <c r="R59" s="20" t="n">
        <v>0</v>
      </c>
      <c r="S59" s="18" t="n">
        <v>31.72156704</v>
      </c>
      <c r="T59" s="20" t="n">
        <v>1.8491455</v>
      </c>
    </row>
    <row r="60" spans="1:20">
      <c r="A60" s="15" t="s">
        <v>402</v>
      </c>
      <c r="B60" s="17" t="n">
        <v>4546</v>
      </c>
      <c r="C60" s="18">
        <f>(3784.0/B60*100)</f>
        <v/>
      </c>
      <c r="D60" s="19" t="n">
        <v>762</v>
      </c>
      <c r="E60" s="18" t="n">
        <v>33.29544986</v>
      </c>
      <c r="F60" s="20" t="n">
        <v>1.7172556</v>
      </c>
      <c r="G60" s="18" t="n">
        <v>3.16972515</v>
      </c>
      <c r="H60" s="20" t="n">
        <v>0.65193964</v>
      </c>
      <c r="I60" s="18" t="n">
        <v>28.85769652</v>
      </c>
      <c r="J60" s="20" t="n">
        <v>1.68699066</v>
      </c>
      <c r="K60" s="18" t="s">
        <v>349</v>
      </c>
      <c r="L60" s="20" t="s">
        <v>349</v>
      </c>
      <c r="M60" s="18" t="n">
        <v>4.00674288</v>
      </c>
      <c r="N60" s="20" t="n">
        <v>0.70865125</v>
      </c>
      <c r="O60" s="18" t="n">
        <v>0</v>
      </c>
      <c r="P60" s="20" t="n">
        <v>0</v>
      </c>
      <c r="Q60" s="18" t="n">
        <v>0.160862</v>
      </c>
      <c r="R60" s="20" t="n">
        <v>0.18178864</v>
      </c>
      <c r="S60" s="18" t="n">
        <v>30.5095236</v>
      </c>
      <c r="T60" s="20" t="n">
        <v>2.09844391</v>
      </c>
    </row>
    <row r="61" spans="1:2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5324</v>
      </c>
      <c r="C63" s="18">
        <f>(4443.0/B63*100)</f>
        <v/>
      </c>
      <c r="D63" s="19" t="n">
        <v>881</v>
      </c>
      <c r="E63" s="18" t="n">
        <v>24.19513833</v>
      </c>
      <c r="F63" s="20" t="n">
        <v>1.64061103</v>
      </c>
      <c r="G63" s="18" t="n">
        <v>2.52691096</v>
      </c>
      <c r="H63" s="20" t="n">
        <v>0.55058208</v>
      </c>
      <c r="I63" s="18" t="n">
        <v>8.556559740000001</v>
      </c>
      <c r="J63" s="20" t="n">
        <v>1.03189751</v>
      </c>
      <c r="K63" s="18" t="s">
        <v>349</v>
      </c>
      <c r="L63" s="20" t="s">
        <v>349</v>
      </c>
      <c r="M63" s="18" t="n">
        <v>4.76788894</v>
      </c>
      <c r="N63" s="20" t="n">
        <v>0.82599218</v>
      </c>
      <c r="O63" s="18" t="n">
        <v>0</v>
      </c>
      <c r="P63" s="20" t="n">
        <v>0</v>
      </c>
      <c r="Q63" s="18" t="n">
        <v>0</v>
      </c>
      <c r="R63" s="20" t="n">
        <v>0</v>
      </c>
      <c r="S63" s="18" t="n">
        <v>59.95350202</v>
      </c>
      <c r="T63" s="20" t="n">
        <v>1.64448032</v>
      </c>
    </row>
    <row r="64" spans="1:20">
      <c r="A64" s="15" t="s">
        <v>406</v>
      </c>
      <c r="B64" s="17" t="n">
        <v>3634</v>
      </c>
      <c r="C64" s="18">
        <f>(3021.0/B64*100)</f>
        <v/>
      </c>
      <c r="D64" s="19" t="n">
        <v>613</v>
      </c>
      <c r="E64" s="18" t="n">
        <v>28.74893646</v>
      </c>
      <c r="F64" s="20" t="n">
        <v>1.91739859</v>
      </c>
      <c r="G64" s="18" t="n">
        <v>2.13840362</v>
      </c>
      <c r="H64" s="20" t="n">
        <v>0.57563941</v>
      </c>
      <c r="I64" s="18" t="n">
        <v>42.42203463</v>
      </c>
      <c r="J64" s="20" t="n">
        <v>2.02161831</v>
      </c>
      <c r="K64" s="18" t="s">
        <v>349</v>
      </c>
      <c r="L64" s="20" t="s">
        <v>349</v>
      </c>
      <c r="M64" s="18" t="n">
        <v>3.53013722</v>
      </c>
      <c r="N64" s="20" t="n">
        <v>0.79601164</v>
      </c>
      <c r="O64" s="18" t="n">
        <v>0</v>
      </c>
      <c r="P64" s="20" t="n">
        <v>0</v>
      </c>
      <c r="Q64" s="18" t="n">
        <v>0</v>
      </c>
      <c r="R64" s="20" t="n">
        <v>0</v>
      </c>
      <c r="S64" s="18" t="n">
        <v>23.16048806</v>
      </c>
      <c r="T64" s="20" t="n">
        <v>1.4739275</v>
      </c>
    </row>
    <row r="65" spans="1:20">
      <c r="A65" s="15" t="s">
        <v>407</v>
      </c>
      <c r="B65" s="17" t="n">
        <v>5325</v>
      </c>
      <c r="C65" s="18">
        <f>(4455.0/B65*100)</f>
        <v/>
      </c>
      <c r="D65" s="19" t="n">
        <v>870</v>
      </c>
      <c r="E65" s="18" t="n">
        <v>25.73747459</v>
      </c>
      <c r="F65" s="20" t="n">
        <v>1.68134862</v>
      </c>
      <c r="G65" s="18" t="n">
        <v>1.87710242</v>
      </c>
      <c r="H65" s="20" t="n">
        <v>0.54623735</v>
      </c>
      <c r="I65" s="18" t="n">
        <v>15.61842086</v>
      </c>
      <c r="J65" s="20" t="n">
        <v>1.35873996</v>
      </c>
      <c r="K65" s="18" t="s">
        <v>349</v>
      </c>
      <c r="L65" s="20" t="s">
        <v>349</v>
      </c>
      <c r="M65" s="18" t="n">
        <v>5.93474683</v>
      </c>
      <c r="N65" s="20" t="n">
        <v>0.7490727</v>
      </c>
      <c r="O65" s="18" t="n">
        <v>0</v>
      </c>
      <c r="P65" s="20" t="n">
        <v>0</v>
      </c>
      <c r="Q65" s="18" t="n">
        <v>0</v>
      </c>
      <c r="R65" s="20" t="n">
        <v>0</v>
      </c>
      <c r="S65" s="18" t="n">
        <v>50.83225529</v>
      </c>
      <c r="T65" s="20" t="n">
        <v>1.84718446</v>
      </c>
    </row>
    <row r="66" spans="1:2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4876</v>
      </c>
      <c r="C69" s="18">
        <f>(4064.0/B69*100)</f>
        <v/>
      </c>
      <c r="D69" s="19" t="n">
        <v>812</v>
      </c>
      <c r="E69" s="18" t="n">
        <v>73.02055805000001</v>
      </c>
      <c r="F69" s="20" t="n">
        <v>1.86342082</v>
      </c>
      <c r="G69" s="18" t="n">
        <v>6.35440017</v>
      </c>
      <c r="H69" s="20" t="n">
        <v>0.89215237</v>
      </c>
      <c r="I69" s="18" t="n">
        <v>19.95373242</v>
      </c>
      <c r="J69" s="20" t="n">
        <v>1.82986267</v>
      </c>
      <c r="K69" s="18" t="s">
        <v>349</v>
      </c>
      <c r="L69" s="20" t="s">
        <v>349</v>
      </c>
      <c r="M69" s="18" t="n">
        <v>0</v>
      </c>
      <c r="N69" s="20" t="n">
        <v>0</v>
      </c>
      <c r="O69" s="18" t="n">
        <v>0</v>
      </c>
      <c r="P69" s="20" t="n">
        <v>0</v>
      </c>
      <c r="Q69" s="18" t="n">
        <v>0</v>
      </c>
      <c r="R69" s="20" t="n">
        <v>0</v>
      </c>
      <c r="S69" s="18" t="n">
        <v>0.67130935</v>
      </c>
      <c r="T69" s="20" t="n">
        <v>0.34780376</v>
      </c>
    </row>
    <row r="70" spans="1:2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4692</v>
      </c>
      <c r="C74" s="18">
        <f>(3898.0/B74*100)</f>
        <v/>
      </c>
      <c r="D74" s="19" t="n">
        <v>794</v>
      </c>
      <c r="E74" s="18" t="n">
        <v>37.49139154</v>
      </c>
      <c r="F74" s="20" t="n">
        <v>1.89884637</v>
      </c>
      <c r="G74" s="18" t="n">
        <v>0.5042167</v>
      </c>
      <c r="H74" s="20" t="n">
        <v>0.24569954</v>
      </c>
      <c r="I74" s="18" t="n">
        <v>14.08791753</v>
      </c>
      <c r="J74" s="20" t="n">
        <v>1.30760427</v>
      </c>
      <c r="K74" s="18" t="s">
        <v>349</v>
      </c>
      <c r="L74" s="20" t="s">
        <v>349</v>
      </c>
      <c r="M74" s="18" t="n">
        <v>7.5695143</v>
      </c>
      <c r="N74" s="20" t="n">
        <v>1.15592117</v>
      </c>
      <c r="O74" s="18" t="n">
        <v>0</v>
      </c>
      <c r="P74" s="20" t="n">
        <v>0</v>
      </c>
      <c r="Q74" s="18" t="n">
        <v>0</v>
      </c>
      <c r="R74" s="20" t="n">
        <v>0</v>
      </c>
      <c r="S74" s="18" t="n">
        <v>40.34695993</v>
      </c>
      <c r="T74" s="20" t="n">
        <v>1.63191031</v>
      </c>
    </row>
    <row r="75" spans="1:20">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5826</v>
      </c>
      <c r="C78" s="18">
        <f>(4847.0/B78*100)</f>
        <v/>
      </c>
      <c r="D78" s="19" t="n">
        <v>979</v>
      </c>
      <c r="E78" s="18" t="n">
        <v>58.3855564</v>
      </c>
      <c r="F78" s="20" t="n">
        <v>2.32608206</v>
      </c>
      <c r="G78" s="18" t="n">
        <v>1.44654827</v>
      </c>
      <c r="H78" s="20" t="n">
        <v>0.39802432</v>
      </c>
      <c r="I78" s="18" t="n">
        <v>35.79143461</v>
      </c>
      <c r="J78" s="20" t="n">
        <v>2.36164354</v>
      </c>
      <c r="K78" s="18" t="s">
        <v>349</v>
      </c>
      <c r="L78" s="20" t="s">
        <v>349</v>
      </c>
      <c r="M78" s="18" t="n">
        <v>0.11462347</v>
      </c>
      <c r="N78" s="20" t="n">
        <v>0.11735094</v>
      </c>
      <c r="O78" s="18" t="n">
        <v>0</v>
      </c>
      <c r="P78" s="20" t="n">
        <v>0</v>
      </c>
      <c r="Q78" s="18" t="n">
        <v>0</v>
      </c>
      <c r="R78" s="20" t="n">
        <v>0</v>
      </c>
      <c r="S78" s="18" t="n">
        <v>4.26183725</v>
      </c>
      <c r="T78" s="20" t="n">
        <v>0.5715996</v>
      </c>
    </row>
    <row customHeight="1" ht="25" r="79" spans="1:20">
      <c r="A79" s="15" t="s">
        <v>421</v>
      </c>
      <c r="B79" s="17" t="n">
        <v>1657</v>
      </c>
      <c r="C79" s="18">
        <f>(1378.0/B79*100)</f>
        <v/>
      </c>
      <c r="D79" s="19" t="n">
        <v>279</v>
      </c>
      <c r="E79" s="18" t="n">
        <v>35.00448551</v>
      </c>
      <c r="F79" s="20" t="n">
        <v>3.8466545</v>
      </c>
      <c r="G79" s="18" t="n">
        <v>1.76652048</v>
      </c>
      <c r="H79" s="20" t="n">
        <v>0.5733059700000001</v>
      </c>
      <c r="I79" s="18" t="n">
        <v>19.97509469</v>
      </c>
      <c r="J79" s="20" t="n">
        <v>2.93667226</v>
      </c>
      <c r="K79" s="18" t="s">
        <v>349</v>
      </c>
      <c r="L79" s="20" t="s">
        <v>349</v>
      </c>
      <c r="M79" s="18" t="n">
        <v>4.21753371</v>
      </c>
      <c r="N79" s="20" t="n">
        <v>1.49892891</v>
      </c>
      <c r="O79" s="18" t="n">
        <v>0</v>
      </c>
      <c r="P79" s="20" t="n">
        <v>0</v>
      </c>
      <c r="Q79" s="18" t="n">
        <v>0</v>
      </c>
      <c r="R79" s="20" t="n">
        <v>0</v>
      </c>
      <c r="S79" s="18" t="n">
        <v>39.03636562</v>
      </c>
      <c r="T79" s="20" t="n">
        <v>3.76827593</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67.54564886</v>
      </c>
      <c r="F44" s="20" t="n">
        <v>2.05802905</v>
      </c>
      <c r="G44" s="18" t="n">
        <v>2.43312399</v>
      </c>
      <c r="H44" s="20" t="n">
        <v>0.56513046</v>
      </c>
      <c r="I44" s="18" t="s">
        <v>349</v>
      </c>
      <c r="J44" s="20" t="s">
        <v>349</v>
      </c>
      <c r="K44" s="18" t="n">
        <v>2.72746207</v>
      </c>
      <c r="L44" s="20" t="n">
        <v>0.50620734</v>
      </c>
      <c r="M44" s="18" t="n">
        <v>0.10415445</v>
      </c>
      <c r="N44" s="20" t="n">
        <v>0.10567792</v>
      </c>
      <c r="O44" s="18" t="n">
        <v>0</v>
      </c>
      <c r="P44" s="20" t="n">
        <v>0</v>
      </c>
      <c r="Q44" s="18" t="n">
        <v>27.18961063</v>
      </c>
      <c r="R44" s="20" t="n">
        <v>1.95410525</v>
      </c>
    </row>
    <row r="45" spans="1:18">
      <c r="A45" s="15" t="s">
        <v>387</v>
      </c>
      <c r="B45" s="17" t="n">
        <v>5519</v>
      </c>
      <c r="C45" s="18">
        <f>(4632.0/B45*100)</f>
        <v/>
      </c>
      <c r="D45" s="19" t="n">
        <v>887</v>
      </c>
      <c r="E45" s="18" t="n">
        <v>71.78805516</v>
      </c>
      <c r="F45" s="20" t="n">
        <v>1.42257077</v>
      </c>
      <c r="G45" s="18" t="n">
        <v>2.09457286</v>
      </c>
      <c r="H45" s="20" t="n">
        <v>0.49593079</v>
      </c>
      <c r="I45" s="18" t="s">
        <v>349</v>
      </c>
      <c r="J45" s="20" t="s">
        <v>349</v>
      </c>
      <c r="K45" s="18" t="n">
        <v>4.92932094</v>
      </c>
      <c r="L45" s="20" t="n">
        <v>0.72858458</v>
      </c>
      <c r="M45" s="18" t="n">
        <v>0.13568147</v>
      </c>
      <c r="N45" s="20" t="n">
        <v>0.13027657</v>
      </c>
      <c r="O45" s="18" t="n">
        <v>0</v>
      </c>
      <c r="P45" s="20" t="n">
        <v>0</v>
      </c>
      <c r="Q45" s="18" t="n">
        <v>21.05236957</v>
      </c>
      <c r="R45" s="20" t="n">
        <v>1.28659991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74.38765551</v>
      </c>
      <c r="F49" s="20" t="n">
        <v>1.73730218</v>
      </c>
      <c r="G49" s="18" t="n">
        <v>3.35805867</v>
      </c>
      <c r="H49" s="20" t="n">
        <v>0.79724593</v>
      </c>
      <c r="I49" s="18" t="s">
        <v>349</v>
      </c>
      <c r="J49" s="20" t="s">
        <v>349</v>
      </c>
      <c r="K49" s="18" t="n">
        <v>2.79553494</v>
      </c>
      <c r="L49" s="20" t="n">
        <v>0.61241067</v>
      </c>
      <c r="M49" s="18" t="n">
        <v>0.14169763</v>
      </c>
      <c r="N49" s="20" t="n">
        <v>0.14895055</v>
      </c>
      <c r="O49" s="18" t="n">
        <v>0</v>
      </c>
      <c r="P49" s="20" t="n">
        <v>0</v>
      </c>
      <c r="Q49" s="18" t="n">
        <v>19.31705325</v>
      </c>
      <c r="R49" s="20" t="n">
        <v>1.39976568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71.10195158000001</v>
      </c>
      <c r="F55" s="20" t="n">
        <v>1.42635978</v>
      </c>
      <c r="G55" s="18" t="n">
        <v>3.79138509</v>
      </c>
      <c r="H55" s="20" t="n">
        <v>0.79068649</v>
      </c>
      <c r="I55" s="18" t="s">
        <v>349</v>
      </c>
      <c r="J55" s="20" t="s">
        <v>349</v>
      </c>
      <c r="K55" s="18" t="n">
        <v>2.58321501</v>
      </c>
      <c r="L55" s="20" t="n">
        <v>0.49365071</v>
      </c>
      <c r="M55" s="18" t="n">
        <v>0.10649611</v>
      </c>
      <c r="N55" s="20" t="n">
        <v>0.10607137</v>
      </c>
      <c r="O55" s="18" t="n">
        <v>0</v>
      </c>
      <c r="P55" s="20" t="n">
        <v>0</v>
      </c>
      <c r="Q55" s="18" t="n">
        <v>22.41695221</v>
      </c>
      <c r="R55" s="20" t="n">
        <v>1.32476577</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87.16916929999999</v>
      </c>
      <c r="F57" s="20" t="n">
        <v>1.40944264</v>
      </c>
      <c r="G57" s="18" t="n">
        <v>3.8014344</v>
      </c>
      <c r="H57" s="20" t="n">
        <v>0.7255703999999999</v>
      </c>
      <c r="I57" s="18" t="s">
        <v>349</v>
      </c>
      <c r="J57" s="20" t="s">
        <v>349</v>
      </c>
      <c r="K57" s="18" t="n">
        <v>1.12746362</v>
      </c>
      <c r="L57" s="20" t="n">
        <v>0.36850824</v>
      </c>
      <c r="M57" s="18" t="n">
        <v>0</v>
      </c>
      <c r="N57" s="20" t="n">
        <v>0</v>
      </c>
      <c r="O57" s="18" t="n">
        <v>0</v>
      </c>
      <c r="P57" s="20" t="n">
        <v>0</v>
      </c>
      <c r="Q57" s="18" t="n">
        <v>7.90193269</v>
      </c>
      <c r="R57" s="20" t="n">
        <v>1.00515808</v>
      </c>
    </row>
    <row r="58" spans="1:18">
      <c r="A58" s="15" t="s">
        <v>400</v>
      </c>
      <c r="B58" s="17" t="n">
        <v>7267</v>
      </c>
      <c r="C58" s="18">
        <f>(6066.0/B58*100)</f>
        <v/>
      </c>
      <c r="D58" s="19" t="n">
        <v>1201</v>
      </c>
      <c r="E58" s="18" t="n">
        <v>82.85590281</v>
      </c>
      <c r="F58" s="20" t="n">
        <v>1.33268866</v>
      </c>
      <c r="G58" s="18" t="n">
        <v>0.87284619</v>
      </c>
      <c r="H58" s="20" t="n">
        <v>0.33455784</v>
      </c>
      <c r="I58" s="18" t="s">
        <v>349</v>
      </c>
      <c r="J58" s="20" t="s">
        <v>349</v>
      </c>
      <c r="K58" s="18" t="n">
        <v>3.18551699</v>
      </c>
      <c r="L58" s="20" t="n">
        <v>0.5528969</v>
      </c>
      <c r="M58" s="18" t="n">
        <v>0</v>
      </c>
      <c r="N58" s="20" t="n">
        <v>0</v>
      </c>
      <c r="O58" s="18" t="n">
        <v>0</v>
      </c>
      <c r="P58" s="20" t="n">
        <v>0</v>
      </c>
      <c r="Q58" s="18" t="n">
        <v>13.08573401</v>
      </c>
      <c r="R58" s="20" t="n">
        <v>1.26561442</v>
      </c>
    </row>
    <row r="59" spans="1:18">
      <c r="A59" s="15" t="s">
        <v>401</v>
      </c>
      <c r="B59" s="17" t="n">
        <v>4826</v>
      </c>
      <c r="C59" s="18">
        <f>(4022.0/B59*100)</f>
        <v/>
      </c>
      <c r="D59" s="19" t="n">
        <v>804</v>
      </c>
      <c r="E59" s="18" t="n">
        <v>76.76844366</v>
      </c>
      <c r="F59" s="20" t="n">
        <v>1.94042621</v>
      </c>
      <c r="G59" s="18" t="n">
        <v>2.09282164</v>
      </c>
      <c r="H59" s="20" t="n">
        <v>0.5834635500000001</v>
      </c>
      <c r="I59" s="18" t="s">
        <v>349</v>
      </c>
      <c r="J59" s="20" t="s">
        <v>349</v>
      </c>
      <c r="K59" s="18" t="n">
        <v>1.67869308</v>
      </c>
      <c r="L59" s="20" t="n">
        <v>0.84094836</v>
      </c>
      <c r="M59" s="18" t="n">
        <v>0</v>
      </c>
      <c r="N59" s="20" t="n">
        <v>0</v>
      </c>
      <c r="O59" s="18" t="n">
        <v>0</v>
      </c>
      <c r="P59" s="20" t="n">
        <v>0</v>
      </c>
      <c r="Q59" s="18" t="n">
        <v>19.46004161</v>
      </c>
      <c r="R59" s="20" t="n">
        <v>1.52376422</v>
      </c>
    </row>
    <row r="60" spans="1:18">
      <c r="A60" s="15" t="s">
        <v>402</v>
      </c>
      <c r="B60" s="17" t="n">
        <v>4546</v>
      </c>
      <c r="C60" s="18">
        <f>(3784.0/B60*100)</f>
        <v/>
      </c>
      <c r="D60" s="19" t="n">
        <v>762</v>
      </c>
      <c r="E60" s="18" t="n">
        <v>70.06380985</v>
      </c>
      <c r="F60" s="20" t="n">
        <v>2.12266178</v>
      </c>
      <c r="G60" s="18" t="n">
        <v>2.52409203</v>
      </c>
      <c r="H60" s="20" t="n">
        <v>0.7312041500000001</v>
      </c>
      <c r="I60" s="18" t="s">
        <v>349</v>
      </c>
      <c r="J60" s="20" t="s">
        <v>349</v>
      </c>
      <c r="K60" s="18" t="n">
        <v>5.51184501</v>
      </c>
      <c r="L60" s="20" t="n">
        <v>0.85959262</v>
      </c>
      <c r="M60" s="18" t="n">
        <v>0</v>
      </c>
      <c r="N60" s="20" t="n">
        <v>0</v>
      </c>
      <c r="O60" s="18" t="n">
        <v>0.160862</v>
      </c>
      <c r="P60" s="20" t="n">
        <v>0.18178864</v>
      </c>
      <c r="Q60" s="18" t="n">
        <v>21.73939111</v>
      </c>
      <c r="R60" s="20" t="n">
        <v>1.89783051</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58.03763623</v>
      </c>
      <c r="F63" s="20" t="n">
        <v>1.95460683</v>
      </c>
      <c r="G63" s="18" t="n">
        <v>2.55630679</v>
      </c>
      <c r="H63" s="20" t="n">
        <v>0.64503482</v>
      </c>
      <c r="I63" s="18" t="s">
        <v>349</v>
      </c>
      <c r="J63" s="20" t="s">
        <v>349</v>
      </c>
      <c r="K63" s="18" t="n">
        <v>5.06836569</v>
      </c>
      <c r="L63" s="20" t="n">
        <v>0.8529851000000001</v>
      </c>
      <c r="M63" s="18" t="n">
        <v>0</v>
      </c>
      <c r="N63" s="20" t="n">
        <v>0</v>
      </c>
      <c r="O63" s="18" t="n">
        <v>0</v>
      </c>
      <c r="P63" s="20" t="n">
        <v>0</v>
      </c>
      <c r="Q63" s="18" t="n">
        <v>34.33769128</v>
      </c>
      <c r="R63" s="20" t="n">
        <v>1.81253176</v>
      </c>
    </row>
    <row r="64" spans="1:18">
      <c r="A64" s="15" t="s">
        <v>406</v>
      </c>
      <c r="B64" s="17" t="n">
        <v>3634</v>
      </c>
      <c r="C64" s="18">
        <f>(3021.0/B64*100)</f>
        <v/>
      </c>
      <c r="D64" s="19" t="n">
        <v>613</v>
      </c>
      <c r="E64" s="18" t="n">
        <v>82.27293176000001</v>
      </c>
      <c r="F64" s="20" t="n">
        <v>1.58087534</v>
      </c>
      <c r="G64" s="18" t="n">
        <v>4.65154468</v>
      </c>
      <c r="H64" s="20" t="n">
        <v>0.87533196</v>
      </c>
      <c r="I64" s="18" t="s">
        <v>349</v>
      </c>
      <c r="J64" s="20" t="s">
        <v>349</v>
      </c>
      <c r="K64" s="18" t="n">
        <v>3.53013722</v>
      </c>
      <c r="L64" s="20" t="n">
        <v>0.79601164</v>
      </c>
      <c r="M64" s="18" t="n">
        <v>0</v>
      </c>
      <c r="N64" s="20" t="n">
        <v>0</v>
      </c>
      <c r="O64" s="18" t="n">
        <v>0</v>
      </c>
      <c r="P64" s="20" t="n">
        <v>0</v>
      </c>
      <c r="Q64" s="18" t="n">
        <v>9.545386329999999</v>
      </c>
      <c r="R64" s="20" t="n">
        <v>1.20346108</v>
      </c>
    </row>
    <row r="65" spans="1:18">
      <c r="A65" s="15" t="s">
        <v>407</v>
      </c>
      <c r="B65" s="17" t="n">
        <v>5325</v>
      </c>
      <c r="C65" s="18">
        <f>(4455.0/B65*100)</f>
        <v/>
      </c>
      <c r="D65" s="19" t="n">
        <v>870</v>
      </c>
      <c r="E65" s="18" t="n">
        <v>69.55337926</v>
      </c>
      <c r="F65" s="20" t="n">
        <v>1.80199227</v>
      </c>
      <c r="G65" s="18" t="n">
        <v>2.34691571</v>
      </c>
      <c r="H65" s="20" t="n">
        <v>0.49316945</v>
      </c>
      <c r="I65" s="18" t="s">
        <v>349</v>
      </c>
      <c r="J65" s="20" t="s">
        <v>349</v>
      </c>
      <c r="K65" s="18" t="n">
        <v>6.32480835</v>
      </c>
      <c r="L65" s="20" t="n">
        <v>0.7479471</v>
      </c>
      <c r="M65" s="18" t="n">
        <v>0</v>
      </c>
      <c r="N65" s="20" t="n">
        <v>0</v>
      </c>
      <c r="O65" s="18" t="n">
        <v>0</v>
      </c>
      <c r="P65" s="20" t="n">
        <v>0</v>
      </c>
      <c r="Q65" s="18" t="n">
        <v>21.77489668</v>
      </c>
      <c r="R65" s="20" t="n">
        <v>1.71342203</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87.31407613</v>
      </c>
      <c r="F69" s="20" t="n">
        <v>1.12404068</v>
      </c>
      <c r="G69" s="18" t="n">
        <v>12.45970183</v>
      </c>
      <c r="H69" s="20" t="n">
        <v>1.12835878</v>
      </c>
      <c r="I69" s="18" t="s">
        <v>349</v>
      </c>
      <c r="J69" s="20" t="s">
        <v>349</v>
      </c>
      <c r="K69" s="18" t="n">
        <v>0</v>
      </c>
      <c r="L69" s="20" t="n">
        <v>0</v>
      </c>
      <c r="M69" s="18" t="n">
        <v>0</v>
      </c>
      <c r="N69" s="20" t="n">
        <v>0</v>
      </c>
      <c r="O69" s="18" t="n">
        <v>0</v>
      </c>
      <c r="P69" s="20" t="n">
        <v>0</v>
      </c>
      <c r="Q69" s="18" t="n">
        <v>0.22622204</v>
      </c>
      <c r="R69" s="20" t="n">
        <v>0.16020109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77.12358985</v>
      </c>
      <c r="F74" s="20" t="n">
        <v>1.61404505</v>
      </c>
      <c r="G74" s="18" t="n">
        <v>1.29413172</v>
      </c>
      <c r="H74" s="20" t="n">
        <v>0.41478088</v>
      </c>
      <c r="I74" s="18" t="s">
        <v>349</v>
      </c>
      <c r="J74" s="20" t="s">
        <v>349</v>
      </c>
      <c r="K74" s="18" t="n">
        <v>7.70087767</v>
      </c>
      <c r="L74" s="20" t="n">
        <v>1.1591541</v>
      </c>
      <c r="M74" s="18" t="n">
        <v>0</v>
      </c>
      <c r="N74" s="20" t="n">
        <v>0</v>
      </c>
      <c r="O74" s="18" t="n">
        <v>0</v>
      </c>
      <c r="P74" s="20" t="n">
        <v>0</v>
      </c>
      <c r="Q74" s="18" t="n">
        <v>13.88140076</v>
      </c>
      <c r="R74" s="20" t="n">
        <v>1.30916677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93.38380414</v>
      </c>
      <c r="F78" s="20" t="n">
        <v>0.94096183</v>
      </c>
      <c r="G78" s="18" t="n">
        <v>4.70629118</v>
      </c>
      <c r="H78" s="20" t="n">
        <v>0.71991718</v>
      </c>
      <c r="I78" s="18" t="s">
        <v>349</v>
      </c>
      <c r="J78" s="20" t="s">
        <v>349</v>
      </c>
      <c r="K78" s="18" t="n">
        <v>0.11462347</v>
      </c>
      <c r="L78" s="20" t="n">
        <v>0.11735094</v>
      </c>
      <c r="M78" s="18" t="n">
        <v>0</v>
      </c>
      <c r="N78" s="20" t="n">
        <v>0</v>
      </c>
      <c r="O78" s="18" t="n">
        <v>0</v>
      </c>
      <c r="P78" s="20" t="n">
        <v>0</v>
      </c>
      <c r="Q78" s="18" t="n">
        <v>1.79528121</v>
      </c>
      <c r="R78" s="20" t="n">
        <v>0.44716858</v>
      </c>
    </row>
    <row customHeight="1" ht="25" r="79" spans="1:18">
      <c r="A79" s="15" t="s">
        <v>421</v>
      </c>
      <c r="B79" s="17" t="n">
        <v>1657</v>
      </c>
      <c r="C79" s="18">
        <f>(1378.0/B79*100)</f>
        <v/>
      </c>
      <c r="D79" s="19" t="n">
        <v>279</v>
      </c>
      <c r="E79" s="18" t="n">
        <v>72.60996359000001</v>
      </c>
      <c r="F79" s="20" t="n">
        <v>3.08250414</v>
      </c>
      <c r="G79" s="18" t="n">
        <v>2.78490252</v>
      </c>
      <c r="H79" s="20" t="n">
        <v>1.14565829</v>
      </c>
      <c r="I79" s="18" t="s">
        <v>349</v>
      </c>
      <c r="J79" s="20" t="s">
        <v>349</v>
      </c>
      <c r="K79" s="18" t="n">
        <v>4.74551236</v>
      </c>
      <c r="L79" s="20" t="n">
        <v>1.60770559</v>
      </c>
      <c r="M79" s="18" t="n">
        <v>0</v>
      </c>
      <c r="N79" s="20" t="n">
        <v>0</v>
      </c>
      <c r="O79" s="18" t="n">
        <v>0</v>
      </c>
      <c r="P79" s="20" t="n">
        <v>0</v>
      </c>
      <c r="Q79" s="18" t="n">
        <v>19.85962153</v>
      </c>
      <c r="R79" s="20" t="n">
        <v>2.53190095</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36.26471246</v>
      </c>
      <c r="F44" s="20" t="n">
        <v>1.83755035</v>
      </c>
      <c r="G44" s="18" t="n">
        <v>52.74568379</v>
      </c>
      <c r="H44" s="20" t="n">
        <v>2.06200052</v>
      </c>
      <c r="I44" s="18" t="s">
        <v>349</v>
      </c>
      <c r="J44" s="20" t="s">
        <v>349</v>
      </c>
      <c r="K44" s="18" t="n">
        <v>3.21809489</v>
      </c>
      <c r="L44" s="20" t="n">
        <v>0.5028657</v>
      </c>
      <c r="M44" s="18" t="n">
        <v>0</v>
      </c>
      <c r="N44" s="20" t="n">
        <v>0</v>
      </c>
      <c r="O44" s="18" t="n">
        <v>0</v>
      </c>
      <c r="P44" s="20" t="n">
        <v>0</v>
      </c>
      <c r="Q44" s="18" t="n">
        <v>7.77150887</v>
      </c>
      <c r="R44" s="20" t="n">
        <v>0.97734009</v>
      </c>
    </row>
    <row r="45" spans="1:18">
      <c r="A45" s="15" t="s">
        <v>387</v>
      </c>
      <c r="B45" s="17" t="n">
        <v>5519</v>
      </c>
      <c r="C45" s="18">
        <f>(4632.0/B45*100)</f>
        <v/>
      </c>
      <c r="D45" s="19" t="n">
        <v>887</v>
      </c>
      <c r="E45" s="18" t="n">
        <v>55.30265638</v>
      </c>
      <c r="F45" s="20" t="n">
        <v>1.57361473</v>
      </c>
      <c r="G45" s="18" t="n">
        <v>30.02726729</v>
      </c>
      <c r="H45" s="20" t="n">
        <v>1.5843248</v>
      </c>
      <c r="I45" s="18" t="s">
        <v>349</v>
      </c>
      <c r="J45" s="20" t="s">
        <v>349</v>
      </c>
      <c r="K45" s="18" t="n">
        <v>6.20198874</v>
      </c>
      <c r="L45" s="20" t="n">
        <v>0.7965413099999999</v>
      </c>
      <c r="M45" s="18" t="n">
        <v>0.08937158000000001</v>
      </c>
      <c r="N45" s="20" t="n">
        <v>0.09036636000000001</v>
      </c>
      <c r="O45" s="18" t="n">
        <v>0.28915027</v>
      </c>
      <c r="P45" s="20" t="n">
        <v>0.21469825</v>
      </c>
      <c r="Q45" s="18" t="n">
        <v>8.08956573</v>
      </c>
      <c r="R45" s="20" t="n">
        <v>0.95301471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41.88343173</v>
      </c>
      <c r="F49" s="20" t="n">
        <v>2.10611225</v>
      </c>
      <c r="G49" s="18" t="n">
        <v>46.7632237</v>
      </c>
      <c r="H49" s="20" t="n">
        <v>2.57568409</v>
      </c>
      <c r="I49" s="18" t="s">
        <v>349</v>
      </c>
      <c r="J49" s="20" t="s">
        <v>349</v>
      </c>
      <c r="K49" s="18" t="n">
        <v>3.02203858</v>
      </c>
      <c r="L49" s="20" t="n">
        <v>0.63556236</v>
      </c>
      <c r="M49" s="18" t="n">
        <v>0.14169763</v>
      </c>
      <c r="N49" s="20" t="n">
        <v>0.14895055</v>
      </c>
      <c r="O49" s="18" t="n">
        <v>0</v>
      </c>
      <c r="P49" s="20" t="n">
        <v>0</v>
      </c>
      <c r="Q49" s="18" t="n">
        <v>8.189608359999999</v>
      </c>
      <c r="R49" s="20" t="n">
        <v>1.14648417</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28.93877912</v>
      </c>
      <c r="F55" s="20" t="n">
        <v>1.94104119</v>
      </c>
      <c r="G55" s="18" t="n">
        <v>58.2087611</v>
      </c>
      <c r="H55" s="20" t="n">
        <v>1.92091448</v>
      </c>
      <c r="I55" s="18" t="s">
        <v>349</v>
      </c>
      <c r="J55" s="20" t="s">
        <v>349</v>
      </c>
      <c r="K55" s="18" t="n">
        <v>2.98665823</v>
      </c>
      <c r="L55" s="20" t="n">
        <v>0.50170617</v>
      </c>
      <c r="M55" s="18" t="n">
        <v>0.10649611</v>
      </c>
      <c r="N55" s="20" t="n">
        <v>0.10607137</v>
      </c>
      <c r="O55" s="18" t="n">
        <v>0.09857472</v>
      </c>
      <c r="P55" s="20" t="n">
        <v>0.10578216</v>
      </c>
      <c r="Q55" s="18" t="n">
        <v>9.660730709999999</v>
      </c>
      <c r="R55" s="20" t="n">
        <v>1.13798809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43.32577219</v>
      </c>
      <c r="F57" s="20" t="n">
        <v>1.73018111</v>
      </c>
      <c r="G57" s="18" t="n">
        <v>53.39083842</v>
      </c>
      <c r="H57" s="20" t="n">
        <v>1.7504225</v>
      </c>
      <c r="I57" s="18" t="s">
        <v>349</v>
      </c>
      <c r="J57" s="20" t="s">
        <v>349</v>
      </c>
      <c r="K57" s="18" t="n">
        <v>1.12746362</v>
      </c>
      <c r="L57" s="20" t="n">
        <v>0.36850824</v>
      </c>
      <c r="M57" s="18" t="n">
        <v>0</v>
      </c>
      <c r="N57" s="20" t="n">
        <v>0</v>
      </c>
      <c r="O57" s="18" t="n">
        <v>0</v>
      </c>
      <c r="P57" s="20" t="n">
        <v>0</v>
      </c>
      <c r="Q57" s="18" t="n">
        <v>2.15592577</v>
      </c>
      <c r="R57" s="20" t="n">
        <v>0.48364309</v>
      </c>
    </row>
    <row r="58" spans="1:18">
      <c r="A58" s="15" t="s">
        <v>400</v>
      </c>
      <c r="B58" s="17" t="n">
        <v>7267</v>
      </c>
      <c r="C58" s="18">
        <f>(6066.0/B58*100)</f>
        <v/>
      </c>
      <c r="D58" s="19" t="n">
        <v>1201</v>
      </c>
      <c r="E58" s="18" t="n">
        <v>56.8140591</v>
      </c>
      <c r="F58" s="20" t="n">
        <v>1.70093395</v>
      </c>
      <c r="G58" s="18" t="n">
        <v>33.29633115</v>
      </c>
      <c r="H58" s="20" t="n">
        <v>1.6130762</v>
      </c>
      <c r="I58" s="18" t="s">
        <v>349</v>
      </c>
      <c r="J58" s="20" t="s">
        <v>349</v>
      </c>
      <c r="K58" s="18" t="n">
        <v>3.82520072</v>
      </c>
      <c r="L58" s="20" t="n">
        <v>0.63639654</v>
      </c>
      <c r="M58" s="18" t="n">
        <v>0</v>
      </c>
      <c r="N58" s="20" t="n">
        <v>0</v>
      </c>
      <c r="O58" s="18" t="n">
        <v>0</v>
      </c>
      <c r="P58" s="20" t="n">
        <v>0</v>
      </c>
      <c r="Q58" s="18" t="n">
        <v>6.06440902</v>
      </c>
      <c r="R58" s="20" t="n">
        <v>0.79673641</v>
      </c>
    </row>
    <row r="59" spans="1:18">
      <c r="A59" s="15" t="s">
        <v>401</v>
      </c>
      <c r="B59" s="17" t="n">
        <v>4826</v>
      </c>
      <c r="C59" s="18">
        <f>(4022.0/B59*100)</f>
        <v/>
      </c>
      <c r="D59" s="19" t="n">
        <v>804</v>
      </c>
      <c r="E59" s="18" t="n">
        <v>51.63155149</v>
      </c>
      <c r="F59" s="20" t="n">
        <v>2.47744078</v>
      </c>
      <c r="G59" s="18" t="n">
        <v>39.83915483</v>
      </c>
      <c r="H59" s="20" t="n">
        <v>2.26812735</v>
      </c>
      <c r="I59" s="18" t="s">
        <v>349</v>
      </c>
      <c r="J59" s="20" t="s">
        <v>349</v>
      </c>
      <c r="K59" s="18" t="n">
        <v>1.79137958</v>
      </c>
      <c r="L59" s="20" t="n">
        <v>0.8435363</v>
      </c>
      <c r="M59" s="18" t="n">
        <v>0</v>
      </c>
      <c r="N59" s="20" t="n">
        <v>0</v>
      </c>
      <c r="O59" s="18" t="n">
        <v>0</v>
      </c>
      <c r="P59" s="20" t="n">
        <v>0</v>
      </c>
      <c r="Q59" s="18" t="n">
        <v>6.7379141</v>
      </c>
      <c r="R59" s="20" t="n">
        <v>0.94563511</v>
      </c>
    </row>
    <row r="60" spans="1:18">
      <c r="A60" s="15" t="s">
        <v>402</v>
      </c>
      <c r="B60" s="17" t="n">
        <v>4546</v>
      </c>
      <c r="C60" s="18">
        <f>(3784.0/B60*100)</f>
        <v/>
      </c>
      <c r="D60" s="19" t="n">
        <v>762</v>
      </c>
      <c r="E60" s="18" t="n">
        <v>39.10339276</v>
      </c>
      <c r="F60" s="20" t="n">
        <v>1.85902427</v>
      </c>
      <c r="G60" s="18" t="n">
        <v>42.75472705</v>
      </c>
      <c r="H60" s="20" t="n">
        <v>2.06703048</v>
      </c>
      <c r="I60" s="18" t="s">
        <v>349</v>
      </c>
      <c r="J60" s="20" t="s">
        <v>349</v>
      </c>
      <c r="K60" s="18" t="n">
        <v>6.92632789</v>
      </c>
      <c r="L60" s="20" t="n">
        <v>0.8904234</v>
      </c>
      <c r="M60" s="18" t="n">
        <v>0</v>
      </c>
      <c r="N60" s="20" t="n">
        <v>0</v>
      </c>
      <c r="O60" s="18" t="n">
        <v>0.160862</v>
      </c>
      <c r="P60" s="20" t="n">
        <v>0.18178864</v>
      </c>
      <c r="Q60" s="18" t="n">
        <v>11.05469031</v>
      </c>
      <c r="R60" s="20" t="n">
        <v>1.38608413</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35.74023015</v>
      </c>
      <c r="F63" s="20" t="n">
        <v>1.86664217</v>
      </c>
      <c r="G63" s="18" t="n">
        <v>42.24773083</v>
      </c>
      <c r="H63" s="20" t="n">
        <v>1.75099851</v>
      </c>
      <c r="I63" s="18" t="s">
        <v>349</v>
      </c>
      <c r="J63" s="20" t="s">
        <v>349</v>
      </c>
      <c r="K63" s="18" t="n">
        <v>5.68094391</v>
      </c>
      <c r="L63" s="20" t="n">
        <v>0.86756627</v>
      </c>
      <c r="M63" s="18" t="n">
        <v>0</v>
      </c>
      <c r="N63" s="20" t="n">
        <v>0</v>
      </c>
      <c r="O63" s="18" t="n">
        <v>0</v>
      </c>
      <c r="P63" s="20" t="n">
        <v>0</v>
      </c>
      <c r="Q63" s="18" t="n">
        <v>16.33109511</v>
      </c>
      <c r="R63" s="20" t="n">
        <v>1.37884356</v>
      </c>
    </row>
    <row r="64" spans="1:18">
      <c r="A64" s="15" t="s">
        <v>406</v>
      </c>
      <c r="B64" s="17" t="n">
        <v>3634</v>
      </c>
      <c r="C64" s="18">
        <f>(3021.0/B64*100)</f>
        <v/>
      </c>
      <c r="D64" s="19" t="n">
        <v>613</v>
      </c>
      <c r="E64" s="18" t="n">
        <v>20.03671993</v>
      </c>
      <c r="F64" s="20" t="n">
        <v>1.6806052</v>
      </c>
      <c r="G64" s="18" t="n">
        <v>68.89286536</v>
      </c>
      <c r="H64" s="20" t="n">
        <v>1.76506304</v>
      </c>
      <c r="I64" s="18" t="s">
        <v>349</v>
      </c>
      <c r="J64" s="20" t="s">
        <v>349</v>
      </c>
      <c r="K64" s="18" t="n">
        <v>4.01663746</v>
      </c>
      <c r="L64" s="20" t="n">
        <v>0.84316786</v>
      </c>
      <c r="M64" s="18" t="n">
        <v>0</v>
      </c>
      <c r="N64" s="20" t="n">
        <v>0</v>
      </c>
      <c r="O64" s="18" t="n">
        <v>0</v>
      </c>
      <c r="P64" s="20" t="n">
        <v>0</v>
      </c>
      <c r="Q64" s="18" t="n">
        <v>7.05377725</v>
      </c>
      <c r="R64" s="20" t="n">
        <v>0.9585032999999999</v>
      </c>
    </row>
    <row r="65" spans="1:18">
      <c r="A65" s="15" t="s">
        <v>407</v>
      </c>
      <c r="B65" s="17" t="n">
        <v>5325</v>
      </c>
      <c r="C65" s="18">
        <f>(4455.0/B65*100)</f>
        <v/>
      </c>
      <c r="D65" s="19" t="n">
        <v>870</v>
      </c>
      <c r="E65" s="18" t="n">
        <v>32.43220436</v>
      </c>
      <c r="F65" s="20" t="n">
        <v>1.45694457</v>
      </c>
      <c r="G65" s="18" t="n">
        <v>51.26161739</v>
      </c>
      <c r="H65" s="20" t="n">
        <v>1.64800966</v>
      </c>
      <c r="I65" s="18" t="s">
        <v>349</v>
      </c>
      <c r="J65" s="20" t="s">
        <v>349</v>
      </c>
      <c r="K65" s="18" t="n">
        <v>7.35862135</v>
      </c>
      <c r="L65" s="20" t="n">
        <v>0.8387261</v>
      </c>
      <c r="M65" s="18" t="n">
        <v>0</v>
      </c>
      <c r="N65" s="20" t="n">
        <v>0</v>
      </c>
      <c r="O65" s="18" t="n">
        <v>0</v>
      </c>
      <c r="P65" s="20" t="n">
        <v>0</v>
      </c>
      <c r="Q65" s="18" t="n">
        <v>8.9475569</v>
      </c>
      <c r="R65" s="20" t="n">
        <v>0.9045619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45.13077015</v>
      </c>
      <c r="F69" s="20" t="n">
        <v>1.66553606</v>
      </c>
      <c r="G69" s="18" t="n">
        <v>54.76779827</v>
      </c>
      <c r="H69" s="20" t="n">
        <v>1.66923898</v>
      </c>
      <c r="I69" s="18" t="s">
        <v>349</v>
      </c>
      <c r="J69" s="20" t="s">
        <v>349</v>
      </c>
      <c r="K69" s="18" t="n">
        <v>0</v>
      </c>
      <c r="L69" s="20" t="n">
        <v>0</v>
      </c>
      <c r="M69" s="18" t="n">
        <v>0</v>
      </c>
      <c r="N69" s="20" t="n">
        <v>0</v>
      </c>
      <c r="O69" s="18" t="n">
        <v>0</v>
      </c>
      <c r="P69" s="20" t="n">
        <v>0</v>
      </c>
      <c r="Q69" s="18" t="n">
        <v>0.10143158</v>
      </c>
      <c r="R69" s="20" t="n">
        <v>0.10124299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36.61623487</v>
      </c>
      <c r="F74" s="20" t="n">
        <v>1.74252045</v>
      </c>
      <c r="G74" s="18" t="n">
        <v>46.65455149</v>
      </c>
      <c r="H74" s="20" t="n">
        <v>1.92020618</v>
      </c>
      <c r="I74" s="18" t="s">
        <v>349</v>
      </c>
      <c r="J74" s="20" t="s">
        <v>349</v>
      </c>
      <c r="K74" s="18" t="n">
        <v>8.514121429999999</v>
      </c>
      <c r="L74" s="20" t="n">
        <v>1.21132584</v>
      </c>
      <c r="M74" s="18" t="n">
        <v>0</v>
      </c>
      <c r="N74" s="20" t="n">
        <v>0</v>
      </c>
      <c r="O74" s="18" t="n">
        <v>0</v>
      </c>
      <c r="P74" s="20" t="n">
        <v>0</v>
      </c>
      <c r="Q74" s="18" t="n">
        <v>8.21509221</v>
      </c>
      <c r="R74" s="20" t="n">
        <v>1.17534786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37.7364988</v>
      </c>
      <c r="F78" s="20" t="n">
        <v>2.15893195</v>
      </c>
      <c r="G78" s="18" t="n">
        <v>61.62337031</v>
      </c>
      <c r="H78" s="20" t="n">
        <v>2.19800911</v>
      </c>
      <c r="I78" s="18" t="s">
        <v>349</v>
      </c>
      <c r="J78" s="20" t="s">
        <v>349</v>
      </c>
      <c r="K78" s="18" t="n">
        <v>0.11462347</v>
      </c>
      <c r="L78" s="20" t="n">
        <v>0.11735094</v>
      </c>
      <c r="M78" s="18" t="n">
        <v>0</v>
      </c>
      <c r="N78" s="20" t="n">
        <v>0</v>
      </c>
      <c r="O78" s="18" t="n">
        <v>0</v>
      </c>
      <c r="P78" s="20" t="n">
        <v>0</v>
      </c>
      <c r="Q78" s="18" t="n">
        <v>0.5255074199999999</v>
      </c>
      <c r="R78" s="20" t="n">
        <v>0.2343962</v>
      </c>
    </row>
    <row customHeight="1" ht="25" r="79" spans="1:18">
      <c r="A79" s="15" t="s">
        <v>421</v>
      </c>
      <c r="B79" s="17" t="n">
        <v>1657</v>
      </c>
      <c r="C79" s="18">
        <f>(1378.0/B79*100)</f>
        <v/>
      </c>
      <c r="D79" s="19" t="n">
        <v>279</v>
      </c>
      <c r="E79" s="18" t="n">
        <v>30.47962355</v>
      </c>
      <c r="F79" s="20" t="n">
        <v>2.6869676</v>
      </c>
      <c r="G79" s="18" t="n">
        <v>59.48899209</v>
      </c>
      <c r="H79" s="20" t="n">
        <v>3.65881562</v>
      </c>
      <c r="I79" s="18" t="s">
        <v>349</v>
      </c>
      <c r="J79" s="20" t="s">
        <v>349</v>
      </c>
      <c r="K79" s="18" t="n">
        <v>4.74551236</v>
      </c>
      <c r="L79" s="20" t="n">
        <v>1.60770559</v>
      </c>
      <c r="M79" s="18" t="n">
        <v>0</v>
      </c>
      <c r="N79" s="20" t="n">
        <v>0</v>
      </c>
      <c r="O79" s="18" t="n">
        <v>0</v>
      </c>
      <c r="P79" s="20" t="n">
        <v>0</v>
      </c>
      <c r="Q79" s="18" t="n">
        <v>5.285872</v>
      </c>
      <c r="R79" s="20" t="n">
        <v>1.40877483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589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61.3788424</v>
      </c>
      <c r="F44" s="20" t="n">
        <v>1.54913669</v>
      </c>
      <c r="G44" s="18" t="n">
        <v>14.25060697</v>
      </c>
      <c r="H44" s="20" t="n">
        <v>1.18458279</v>
      </c>
      <c r="I44" s="18" t="s">
        <v>349</v>
      </c>
      <c r="J44" s="20" t="s">
        <v>349</v>
      </c>
      <c r="K44" s="18" t="n">
        <v>4.23355395</v>
      </c>
      <c r="L44" s="20" t="n">
        <v>0.74878394</v>
      </c>
      <c r="M44" s="18" t="n">
        <v>0</v>
      </c>
      <c r="N44" s="20" t="n">
        <v>0</v>
      </c>
      <c r="O44" s="18" t="n">
        <v>0.15867451</v>
      </c>
      <c r="P44" s="20" t="n">
        <v>0.15902989</v>
      </c>
      <c r="Q44" s="18" t="n">
        <v>19.97832218</v>
      </c>
      <c r="R44" s="20" t="n">
        <v>1.31934936</v>
      </c>
    </row>
    <row r="45" spans="1:18">
      <c r="A45" s="15" t="s">
        <v>387</v>
      </c>
      <c r="B45" s="17" t="n">
        <v>5519</v>
      </c>
      <c r="C45" s="18">
        <f>(4632.0/B45*100)</f>
        <v/>
      </c>
      <c r="D45" s="19" t="n">
        <v>887</v>
      </c>
      <c r="E45" s="18" t="n">
        <v>53.92338167</v>
      </c>
      <c r="F45" s="20" t="n">
        <v>2.00362683</v>
      </c>
      <c r="G45" s="18" t="n">
        <v>19.56749464</v>
      </c>
      <c r="H45" s="20" t="n">
        <v>2.03989016</v>
      </c>
      <c r="I45" s="18" t="s">
        <v>349</v>
      </c>
      <c r="J45" s="20" t="s">
        <v>349</v>
      </c>
      <c r="K45" s="18" t="n">
        <v>7.19033987</v>
      </c>
      <c r="L45" s="20" t="n">
        <v>0.8651395200000001</v>
      </c>
      <c r="M45" s="18" t="n">
        <v>0.11800666</v>
      </c>
      <c r="N45" s="20" t="n">
        <v>0.11931723</v>
      </c>
      <c r="O45" s="18" t="n">
        <v>0.12648935</v>
      </c>
      <c r="P45" s="20" t="n">
        <v>0.12972953</v>
      </c>
      <c r="Q45" s="18" t="n">
        <v>19.07428781</v>
      </c>
      <c r="R45" s="20" t="n">
        <v>1.48469381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62.64094166</v>
      </c>
      <c r="F49" s="20" t="n">
        <v>1.8274099</v>
      </c>
      <c r="G49" s="18" t="n">
        <v>10.65445032</v>
      </c>
      <c r="H49" s="20" t="n">
        <v>1.04712204</v>
      </c>
      <c r="I49" s="18" t="s">
        <v>349</v>
      </c>
      <c r="J49" s="20" t="s">
        <v>349</v>
      </c>
      <c r="K49" s="18" t="n">
        <v>3.65385044</v>
      </c>
      <c r="L49" s="20" t="n">
        <v>0.7028866499999999</v>
      </c>
      <c r="M49" s="18" t="n">
        <v>0.14169763</v>
      </c>
      <c r="N49" s="20" t="n">
        <v>0.14895055</v>
      </c>
      <c r="O49" s="18" t="n">
        <v>0</v>
      </c>
      <c r="P49" s="20" t="n">
        <v>0</v>
      </c>
      <c r="Q49" s="18" t="n">
        <v>22.90905995</v>
      </c>
      <c r="R49" s="20" t="n">
        <v>1.92534223</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37.9248442</v>
      </c>
      <c r="F55" s="20" t="n">
        <v>1.78434969</v>
      </c>
      <c r="G55" s="18" t="n">
        <v>27.92299897</v>
      </c>
      <c r="H55" s="20" t="n">
        <v>1.77550128</v>
      </c>
      <c r="I55" s="18" t="s">
        <v>349</v>
      </c>
      <c r="J55" s="20" t="s">
        <v>349</v>
      </c>
      <c r="K55" s="18" t="n">
        <v>3.93959342</v>
      </c>
      <c r="L55" s="20" t="n">
        <v>0.5702176799999999</v>
      </c>
      <c r="M55" s="18" t="n">
        <v>0.10649611</v>
      </c>
      <c r="N55" s="20" t="n">
        <v>0.10607137</v>
      </c>
      <c r="O55" s="18" t="n">
        <v>0.20045432</v>
      </c>
      <c r="P55" s="20" t="n">
        <v>0.13533737</v>
      </c>
      <c r="Q55" s="18" t="n">
        <v>29.90561298</v>
      </c>
      <c r="R55" s="20" t="n">
        <v>1.63135393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77.86862895</v>
      </c>
      <c r="F57" s="20" t="n">
        <v>1.35678297</v>
      </c>
      <c r="G57" s="18" t="n">
        <v>12.87814778</v>
      </c>
      <c r="H57" s="20" t="n">
        <v>0.92137516</v>
      </c>
      <c r="I57" s="18" t="s">
        <v>349</v>
      </c>
      <c r="J57" s="20" t="s">
        <v>349</v>
      </c>
      <c r="K57" s="18" t="n">
        <v>1.2235548</v>
      </c>
      <c r="L57" s="20" t="n">
        <v>0.37976078</v>
      </c>
      <c r="M57" s="18" t="n">
        <v>0</v>
      </c>
      <c r="N57" s="20" t="n">
        <v>0</v>
      </c>
      <c r="O57" s="18" t="n">
        <v>0</v>
      </c>
      <c r="P57" s="20" t="n">
        <v>0</v>
      </c>
      <c r="Q57" s="18" t="n">
        <v>8.029668470000001</v>
      </c>
      <c r="R57" s="20" t="n">
        <v>1.17122794</v>
      </c>
    </row>
    <row r="58" spans="1:18">
      <c r="A58" s="15" t="s">
        <v>400</v>
      </c>
      <c r="B58" s="17" t="n">
        <v>7267</v>
      </c>
      <c r="C58" s="18">
        <f>(6066.0/B58*100)</f>
        <v/>
      </c>
      <c r="D58" s="19" t="n">
        <v>1201</v>
      </c>
      <c r="E58" s="18" t="n">
        <v>64.9012311</v>
      </c>
      <c r="F58" s="20" t="n">
        <v>1.5416568</v>
      </c>
      <c r="G58" s="18" t="n">
        <v>14.82283459</v>
      </c>
      <c r="H58" s="20" t="n">
        <v>1.18514916</v>
      </c>
      <c r="I58" s="18" t="s">
        <v>349</v>
      </c>
      <c r="J58" s="20" t="s">
        <v>349</v>
      </c>
      <c r="K58" s="18" t="n">
        <v>4.3498535</v>
      </c>
      <c r="L58" s="20" t="n">
        <v>0.67982579</v>
      </c>
      <c r="M58" s="18" t="n">
        <v>0</v>
      </c>
      <c r="N58" s="20" t="n">
        <v>0</v>
      </c>
      <c r="O58" s="18" t="n">
        <v>0</v>
      </c>
      <c r="P58" s="20" t="n">
        <v>0</v>
      </c>
      <c r="Q58" s="18" t="n">
        <v>15.92608081</v>
      </c>
      <c r="R58" s="20" t="n">
        <v>1.31544721</v>
      </c>
    </row>
    <row r="59" spans="1:18">
      <c r="A59" s="15" t="s">
        <v>401</v>
      </c>
      <c r="B59" s="17" t="n">
        <v>4826</v>
      </c>
      <c r="C59" s="18">
        <f>(4022.0/B59*100)</f>
        <v/>
      </c>
      <c r="D59" s="19" t="n">
        <v>804</v>
      </c>
      <c r="E59" s="18" t="n">
        <v>63.66380019</v>
      </c>
      <c r="F59" s="20" t="n">
        <v>2.3878165</v>
      </c>
      <c r="G59" s="18" t="n">
        <v>16.671955</v>
      </c>
      <c r="H59" s="20" t="n">
        <v>1.5950682</v>
      </c>
      <c r="I59" s="18" t="s">
        <v>349</v>
      </c>
      <c r="J59" s="20" t="s">
        <v>349</v>
      </c>
      <c r="K59" s="18" t="n">
        <v>2.1935292</v>
      </c>
      <c r="L59" s="20" t="n">
        <v>0.87254253</v>
      </c>
      <c r="M59" s="18" t="n">
        <v>0.03794008</v>
      </c>
      <c r="N59" s="20" t="n">
        <v>0.03775891</v>
      </c>
      <c r="O59" s="18" t="n">
        <v>0.04939114</v>
      </c>
      <c r="P59" s="20" t="n">
        <v>0.04731514</v>
      </c>
      <c r="Q59" s="18" t="n">
        <v>17.38338439</v>
      </c>
      <c r="R59" s="20" t="n">
        <v>1.54102926</v>
      </c>
    </row>
    <row r="60" spans="1:18">
      <c r="A60" s="15" t="s">
        <v>402</v>
      </c>
      <c r="B60" s="17" t="n">
        <v>4546</v>
      </c>
      <c r="C60" s="18">
        <f>(3784.0/B60*100)</f>
        <v/>
      </c>
      <c r="D60" s="19" t="n">
        <v>762</v>
      </c>
      <c r="E60" s="18" t="n">
        <v>45.25986093</v>
      </c>
      <c r="F60" s="20" t="n">
        <v>2.17145303</v>
      </c>
      <c r="G60" s="18" t="n">
        <v>26.12880603</v>
      </c>
      <c r="H60" s="20" t="n">
        <v>1.69952119</v>
      </c>
      <c r="I60" s="18" t="s">
        <v>349</v>
      </c>
      <c r="J60" s="20" t="s">
        <v>349</v>
      </c>
      <c r="K60" s="18" t="n">
        <v>7.88488178</v>
      </c>
      <c r="L60" s="20" t="n">
        <v>1.06237752</v>
      </c>
      <c r="M60" s="18" t="n">
        <v>0.12878806</v>
      </c>
      <c r="N60" s="20" t="n">
        <v>0.13443217</v>
      </c>
      <c r="O60" s="18" t="n">
        <v>0.160862</v>
      </c>
      <c r="P60" s="20" t="n">
        <v>0.18178864</v>
      </c>
      <c r="Q60" s="18" t="n">
        <v>20.4368012</v>
      </c>
      <c r="R60" s="20" t="n">
        <v>1.71692569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30.13278485</v>
      </c>
      <c r="F63" s="20" t="n">
        <v>1.70081208</v>
      </c>
      <c r="G63" s="18" t="n">
        <v>29.35923849</v>
      </c>
      <c r="H63" s="20" t="n">
        <v>1.51195132</v>
      </c>
      <c r="I63" s="18" t="s">
        <v>349</v>
      </c>
      <c r="J63" s="20" t="s">
        <v>349</v>
      </c>
      <c r="K63" s="18" t="n">
        <v>6.30320568</v>
      </c>
      <c r="L63" s="20" t="n">
        <v>0.93075509</v>
      </c>
      <c r="M63" s="18" t="n">
        <v>0</v>
      </c>
      <c r="N63" s="20" t="n">
        <v>0</v>
      </c>
      <c r="O63" s="18" t="n">
        <v>0</v>
      </c>
      <c r="P63" s="20" t="n">
        <v>0</v>
      </c>
      <c r="Q63" s="18" t="n">
        <v>34.20477098</v>
      </c>
      <c r="R63" s="20" t="n">
        <v>1.75182195</v>
      </c>
    </row>
    <row r="64" spans="1:18">
      <c r="A64" s="15" t="s">
        <v>406</v>
      </c>
      <c r="B64" s="17" t="n">
        <v>3634</v>
      </c>
      <c r="C64" s="18">
        <f>(3021.0/B64*100)</f>
        <v/>
      </c>
      <c r="D64" s="19" t="n">
        <v>613</v>
      </c>
      <c r="E64" s="18" t="n">
        <v>55.42779214</v>
      </c>
      <c r="F64" s="20" t="n">
        <v>1.97717679</v>
      </c>
      <c r="G64" s="18" t="n">
        <v>27.16169123</v>
      </c>
      <c r="H64" s="20" t="n">
        <v>1.80067672</v>
      </c>
      <c r="I64" s="18" t="s">
        <v>349</v>
      </c>
      <c r="J64" s="20" t="s">
        <v>349</v>
      </c>
      <c r="K64" s="18" t="n">
        <v>4.34868004</v>
      </c>
      <c r="L64" s="20" t="n">
        <v>0.9045023800000001</v>
      </c>
      <c r="M64" s="18" t="n">
        <v>0</v>
      </c>
      <c r="N64" s="20" t="n">
        <v>0</v>
      </c>
      <c r="O64" s="18" t="n">
        <v>0</v>
      </c>
      <c r="P64" s="20" t="n">
        <v>0</v>
      </c>
      <c r="Q64" s="18" t="n">
        <v>13.06183659</v>
      </c>
      <c r="R64" s="20" t="n">
        <v>1.35310453</v>
      </c>
    </row>
    <row r="65" spans="1:18">
      <c r="A65" s="15" t="s">
        <v>407</v>
      </c>
      <c r="B65" s="17" t="n">
        <v>5325</v>
      </c>
      <c r="C65" s="18">
        <f>(4455.0/B65*100)</f>
        <v/>
      </c>
      <c r="D65" s="19" t="n">
        <v>870</v>
      </c>
      <c r="E65" s="18" t="n">
        <v>49.52296579</v>
      </c>
      <c r="F65" s="20" t="n">
        <v>1.65875974</v>
      </c>
      <c r="G65" s="18" t="n">
        <v>18.58538246</v>
      </c>
      <c r="H65" s="20" t="n">
        <v>1.29485679</v>
      </c>
      <c r="I65" s="18" t="s">
        <v>349</v>
      </c>
      <c r="J65" s="20" t="s">
        <v>349</v>
      </c>
      <c r="K65" s="18" t="n">
        <v>8.3863039</v>
      </c>
      <c r="L65" s="20" t="n">
        <v>0.93076976</v>
      </c>
      <c r="M65" s="18" t="n">
        <v>0</v>
      </c>
      <c r="N65" s="20" t="n">
        <v>0</v>
      </c>
      <c r="O65" s="18" t="n">
        <v>0</v>
      </c>
      <c r="P65" s="20" t="n">
        <v>0</v>
      </c>
      <c r="Q65" s="18" t="n">
        <v>23.50534785</v>
      </c>
      <c r="R65" s="20" t="n">
        <v>1.49437736</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68.53458847</v>
      </c>
      <c r="F69" s="20" t="n">
        <v>1.69126105</v>
      </c>
      <c r="G69" s="18" t="n">
        <v>31.15378144</v>
      </c>
      <c r="H69" s="20" t="n">
        <v>1.71065076</v>
      </c>
      <c r="I69" s="18" t="s">
        <v>349</v>
      </c>
      <c r="J69" s="20" t="s">
        <v>349</v>
      </c>
      <c r="K69" s="18" t="n">
        <v>0</v>
      </c>
      <c r="L69" s="20" t="n">
        <v>0</v>
      </c>
      <c r="M69" s="18" t="n">
        <v>0</v>
      </c>
      <c r="N69" s="20" t="n">
        <v>0</v>
      </c>
      <c r="O69" s="18" t="n">
        <v>0</v>
      </c>
      <c r="P69" s="20" t="n">
        <v>0</v>
      </c>
      <c r="Q69" s="18" t="n">
        <v>0.31163009</v>
      </c>
      <c r="R69" s="20" t="n">
        <v>0.17899278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44.9137101</v>
      </c>
      <c r="F74" s="20" t="n">
        <v>1.99866838</v>
      </c>
      <c r="G74" s="18" t="n">
        <v>28.85978725</v>
      </c>
      <c r="H74" s="20" t="n">
        <v>1.75870228</v>
      </c>
      <c r="I74" s="18" t="s">
        <v>349</v>
      </c>
      <c r="J74" s="20" t="s">
        <v>349</v>
      </c>
      <c r="K74" s="18" t="n">
        <v>9.87102898</v>
      </c>
      <c r="L74" s="20" t="n">
        <v>1.30668102</v>
      </c>
      <c r="M74" s="18" t="n">
        <v>0</v>
      </c>
      <c r="N74" s="20" t="n">
        <v>0</v>
      </c>
      <c r="O74" s="18" t="n">
        <v>0</v>
      </c>
      <c r="P74" s="20" t="n">
        <v>0</v>
      </c>
      <c r="Q74" s="18" t="n">
        <v>16.35547367</v>
      </c>
      <c r="R74" s="20" t="n">
        <v>1.38104452</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64.19924079</v>
      </c>
      <c r="F78" s="20" t="n">
        <v>2.24218579</v>
      </c>
      <c r="G78" s="18" t="n">
        <v>33.42426348</v>
      </c>
      <c r="H78" s="20" t="n">
        <v>2.0780565</v>
      </c>
      <c r="I78" s="18" t="s">
        <v>349</v>
      </c>
      <c r="J78" s="20" t="s">
        <v>349</v>
      </c>
      <c r="K78" s="18" t="n">
        <v>0.11462347</v>
      </c>
      <c r="L78" s="20" t="n">
        <v>0.11735094</v>
      </c>
      <c r="M78" s="18" t="n">
        <v>0</v>
      </c>
      <c r="N78" s="20" t="n">
        <v>0</v>
      </c>
      <c r="O78" s="18" t="n">
        <v>0</v>
      </c>
      <c r="P78" s="20" t="n">
        <v>0</v>
      </c>
      <c r="Q78" s="18" t="n">
        <v>2.26187226</v>
      </c>
      <c r="R78" s="20" t="n">
        <v>0.53519628</v>
      </c>
    </row>
    <row customHeight="1" ht="25" r="79" spans="1:18">
      <c r="A79" s="15" t="s">
        <v>421</v>
      </c>
      <c r="B79" s="17" t="n">
        <v>1657</v>
      </c>
      <c r="C79" s="18">
        <f>(1378.0/B79*100)</f>
        <v/>
      </c>
      <c r="D79" s="19" t="n">
        <v>279</v>
      </c>
      <c r="E79" s="18" t="n">
        <v>57.7195161</v>
      </c>
      <c r="F79" s="20" t="n">
        <v>3.22854398</v>
      </c>
      <c r="G79" s="18" t="n">
        <v>24.59865118</v>
      </c>
      <c r="H79" s="20" t="n">
        <v>3.26345624</v>
      </c>
      <c r="I79" s="18" t="s">
        <v>349</v>
      </c>
      <c r="J79" s="20" t="s">
        <v>349</v>
      </c>
      <c r="K79" s="18" t="n">
        <v>5.77353981</v>
      </c>
      <c r="L79" s="20" t="n">
        <v>1.67383828</v>
      </c>
      <c r="M79" s="18" t="n">
        <v>0</v>
      </c>
      <c r="N79" s="20" t="n">
        <v>0</v>
      </c>
      <c r="O79" s="18" t="n">
        <v>0</v>
      </c>
      <c r="P79" s="20" t="n">
        <v>0</v>
      </c>
      <c r="Q79" s="18" t="n">
        <v>11.90829291</v>
      </c>
      <c r="R79" s="20" t="n">
        <v>2.28406161</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590</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(4338.0/B44*100)</f>
        <v/>
      </c>
      <c r="D44" s="19" t="n">
        <v>877</v>
      </c>
      <c r="E44" s="18" t="n">
        <v>55.49186861</v>
      </c>
      <c r="F44" s="20" t="n">
        <v>1.83441888</v>
      </c>
      <c r="G44" s="18" t="n">
        <v>6.45264174</v>
      </c>
      <c r="H44" s="20" t="n">
        <v>0.86953889</v>
      </c>
      <c r="I44" s="18" t="n">
        <v>4.79626836</v>
      </c>
      <c r="J44" s="20" t="n">
        <v>0.93721202</v>
      </c>
      <c r="K44" s="18" t="s">
        <v>349</v>
      </c>
      <c r="L44" s="20" t="s">
        <v>349</v>
      </c>
      <c r="M44" s="18" t="n">
        <v>5.08182502</v>
      </c>
      <c r="N44" s="20" t="n">
        <v>0.82699747</v>
      </c>
      <c r="O44" s="18" t="n">
        <v>0</v>
      </c>
      <c r="P44" s="20" t="n">
        <v>0</v>
      </c>
      <c r="Q44" s="18" t="n">
        <v>0</v>
      </c>
      <c r="R44" s="20" t="n">
        <v>0</v>
      </c>
      <c r="S44" s="18" t="n">
        <v>28.17739627</v>
      </c>
      <c r="T44" s="20" t="n">
        <v>1.70082792</v>
      </c>
    </row>
    <row r="45" spans="1:20">
      <c r="A45" s="15" t="s">
        <v>387</v>
      </c>
      <c r="B45" s="17" t="n">
        <v>5519</v>
      </c>
      <c r="C45" s="18">
        <f>(4632.0/B45*100)</f>
        <v/>
      </c>
      <c r="D45" s="19" t="n">
        <v>887</v>
      </c>
      <c r="E45" s="18" t="n">
        <v>65.74495072000001</v>
      </c>
      <c r="F45" s="20" t="n">
        <v>1.73662772</v>
      </c>
      <c r="G45" s="18" t="n">
        <v>3.46253707</v>
      </c>
      <c r="H45" s="20" t="n">
        <v>0.59315268</v>
      </c>
      <c r="I45" s="18" t="n">
        <v>0.24608939</v>
      </c>
      <c r="J45" s="20" t="n">
        <v>0.15491594</v>
      </c>
      <c r="K45" s="18" t="s">
        <v>349</v>
      </c>
      <c r="L45" s="20" t="s">
        <v>349</v>
      </c>
      <c r="M45" s="18" t="n">
        <v>7.81839544</v>
      </c>
      <c r="N45" s="20" t="n">
        <v>0.93214008</v>
      </c>
      <c r="O45" s="18" t="n">
        <v>0.43695861</v>
      </c>
      <c r="P45" s="20" t="n">
        <v>0.19023885</v>
      </c>
      <c r="Q45" s="18" t="n">
        <v>0.31328746</v>
      </c>
      <c r="R45" s="20" t="n">
        <v>0.19092589</v>
      </c>
      <c r="S45" s="18" t="n">
        <v>21.97778131</v>
      </c>
      <c r="T45" s="20" t="n">
        <v>1.63844696</v>
      </c>
    </row>
    <row r="46" spans="1:20">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6349</v>
      </c>
      <c r="C49" s="18">
        <f>(5279.0/B49*100)</f>
        <v/>
      </c>
      <c r="D49" s="19" t="n">
        <v>1070</v>
      </c>
      <c r="E49" s="18" t="n">
        <v>67.73959492</v>
      </c>
      <c r="F49" s="20" t="n">
        <v>1.76156632</v>
      </c>
      <c r="G49" s="18" t="n">
        <v>2.9874646</v>
      </c>
      <c r="H49" s="20" t="n">
        <v>0.59657624</v>
      </c>
      <c r="I49" s="18" t="n">
        <v>1.49776326</v>
      </c>
      <c r="J49" s="20" t="n">
        <v>0.46265724</v>
      </c>
      <c r="K49" s="18" t="s">
        <v>349</v>
      </c>
      <c r="L49" s="20" t="s">
        <v>349</v>
      </c>
      <c r="M49" s="18" t="n">
        <v>4.25705159</v>
      </c>
      <c r="N49" s="20" t="n">
        <v>0.78708002</v>
      </c>
      <c r="O49" s="18" t="n">
        <v>0.14169763</v>
      </c>
      <c r="P49" s="20" t="n">
        <v>0.14895055</v>
      </c>
      <c r="Q49" s="18" t="n">
        <v>0</v>
      </c>
      <c r="R49" s="20" t="n">
        <v>0</v>
      </c>
      <c r="S49" s="18" t="n">
        <v>23.376428</v>
      </c>
      <c r="T49" s="20" t="n">
        <v>1.75072416</v>
      </c>
    </row>
    <row r="50" spans="1:20">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5316</v>
      </c>
      <c r="C55" s="18">
        <f>(4432.0/B55*100)</f>
        <v/>
      </c>
      <c r="D55" s="19" t="n">
        <v>884</v>
      </c>
      <c r="E55" s="18" t="n">
        <v>58.28562932</v>
      </c>
      <c r="F55" s="20" t="n">
        <v>1.5979301</v>
      </c>
      <c r="G55" s="18" t="n">
        <v>4.55563244</v>
      </c>
      <c r="H55" s="20" t="n">
        <v>0.77816721</v>
      </c>
      <c r="I55" s="18" t="n">
        <v>0.64653961</v>
      </c>
      <c r="J55" s="20" t="n">
        <v>0.25724551</v>
      </c>
      <c r="K55" s="18" t="s">
        <v>349</v>
      </c>
      <c r="L55" s="20" t="s">
        <v>349</v>
      </c>
      <c r="M55" s="18" t="n">
        <v>4.49713419</v>
      </c>
      <c r="N55" s="20" t="n">
        <v>0.61312258</v>
      </c>
      <c r="O55" s="18" t="n">
        <v>0.10649611</v>
      </c>
      <c r="P55" s="20" t="n">
        <v>0.10607137</v>
      </c>
      <c r="Q55" s="18" t="n">
        <v>0</v>
      </c>
      <c r="R55" s="20" t="n">
        <v>0</v>
      </c>
      <c r="S55" s="18" t="n">
        <v>31.90856832</v>
      </c>
      <c r="T55" s="20" t="n">
        <v>1.45530978</v>
      </c>
    </row>
    <row r="56" spans="1:2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6513</v>
      </c>
      <c r="C57" s="18">
        <f>(5428.0/B57*100)</f>
        <v/>
      </c>
      <c r="D57" s="19" t="n">
        <v>1085</v>
      </c>
      <c r="E57" s="18" t="n">
        <v>86.78090949</v>
      </c>
      <c r="F57" s="20" t="n">
        <v>1.40486905</v>
      </c>
      <c r="G57" s="18" t="n">
        <v>1.5858374</v>
      </c>
      <c r="H57" s="20" t="n">
        <v>0.39238894</v>
      </c>
      <c r="I57" s="18" t="n">
        <v>1.39355813</v>
      </c>
      <c r="J57" s="20" t="n">
        <v>0.38382423</v>
      </c>
      <c r="K57" s="18" t="s">
        <v>349</v>
      </c>
      <c r="L57" s="20" t="s">
        <v>349</v>
      </c>
      <c r="M57" s="18" t="n">
        <v>1.71185152</v>
      </c>
      <c r="N57" s="20" t="n">
        <v>0.44576702</v>
      </c>
      <c r="O57" s="18" t="n">
        <v>0</v>
      </c>
      <c r="P57" s="20" t="n">
        <v>0</v>
      </c>
      <c r="Q57" s="18" t="n">
        <v>0</v>
      </c>
      <c r="R57" s="20" t="n">
        <v>0</v>
      </c>
      <c r="S57" s="18" t="n">
        <v>8.52784346</v>
      </c>
      <c r="T57" s="20" t="n">
        <v>1.138673</v>
      </c>
    </row>
    <row r="58" spans="1:20">
      <c r="A58" s="15" t="s">
        <v>400</v>
      </c>
      <c r="B58" s="17" t="n">
        <v>7267</v>
      </c>
      <c r="C58" s="18">
        <f>(6066.0/B58*100)</f>
        <v/>
      </c>
      <c r="D58" s="19" t="n">
        <v>1201</v>
      </c>
      <c r="E58" s="18" t="n">
        <v>77.43563003</v>
      </c>
      <c r="F58" s="20" t="n">
        <v>1.61832664</v>
      </c>
      <c r="G58" s="18" t="n">
        <v>2.92451725</v>
      </c>
      <c r="H58" s="20" t="n">
        <v>0.79806308</v>
      </c>
      <c r="I58" s="18" t="n">
        <v>0.54757822</v>
      </c>
      <c r="J58" s="20" t="n">
        <v>0.24328841</v>
      </c>
      <c r="K58" s="18" t="s">
        <v>349</v>
      </c>
      <c r="L58" s="20" t="s">
        <v>349</v>
      </c>
      <c r="M58" s="18" t="n">
        <v>4.92831102</v>
      </c>
      <c r="N58" s="20" t="n">
        <v>0.77538133</v>
      </c>
      <c r="O58" s="18" t="n">
        <v>0</v>
      </c>
      <c r="P58" s="20" t="n">
        <v>0</v>
      </c>
      <c r="Q58" s="18" t="n">
        <v>0</v>
      </c>
      <c r="R58" s="20" t="n">
        <v>0</v>
      </c>
      <c r="S58" s="18" t="n">
        <v>14.16396347</v>
      </c>
      <c r="T58" s="20" t="n">
        <v>1.34148953</v>
      </c>
    </row>
    <row r="59" spans="1:20">
      <c r="A59" s="15" t="s">
        <v>401</v>
      </c>
      <c r="B59" s="17" t="n">
        <v>4826</v>
      </c>
      <c r="C59" s="18">
        <f>(4022.0/B59*100)</f>
        <v/>
      </c>
      <c r="D59" s="19" t="n">
        <v>804</v>
      </c>
      <c r="E59" s="18" t="n">
        <v>76.70275856000001</v>
      </c>
      <c r="F59" s="20" t="n">
        <v>1.96182468</v>
      </c>
      <c r="G59" s="18" t="n">
        <v>1.71200265</v>
      </c>
      <c r="H59" s="20" t="n">
        <v>0.64125955</v>
      </c>
      <c r="I59" s="18" t="n">
        <v>0.10386321</v>
      </c>
      <c r="J59" s="20" t="n">
        <v>0.07210970999999999</v>
      </c>
      <c r="K59" s="18" t="s">
        <v>349</v>
      </c>
      <c r="L59" s="20" t="s">
        <v>349</v>
      </c>
      <c r="M59" s="18" t="n">
        <v>2.53439377</v>
      </c>
      <c r="N59" s="20" t="n">
        <v>0.8941604399999999</v>
      </c>
      <c r="O59" s="18" t="n">
        <v>0</v>
      </c>
      <c r="P59" s="20" t="n">
        <v>0</v>
      </c>
      <c r="Q59" s="18" t="n">
        <v>0</v>
      </c>
      <c r="R59" s="20" t="n">
        <v>0</v>
      </c>
      <c r="S59" s="18" t="n">
        <v>18.94698181</v>
      </c>
      <c r="T59" s="20" t="n">
        <v>1.70371411</v>
      </c>
    </row>
    <row r="60" spans="1:20">
      <c r="A60" s="15" t="s">
        <v>402</v>
      </c>
      <c r="B60" s="17" t="n">
        <v>4546</v>
      </c>
      <c r="C60" s="18">
        <f>(3784.0/B60*100)</f>
        <v/>
      </c>
      <c r="D60" s="19" t="n">
        <v>762</v>
      </c>
      <c r="E60" s="18" t="n">
        <v>55.03379624</v>
      </c>
      <c r="F60" s="20" t="n">
        <v>2.5011362</v>
      </c>
      <c r="G60" s="18" t="n">
        <v>4.89579636</v>
      </c>
      <c r="H60" s="20" t="n">
        <v>0.9548564</v>
      </c>
      <c r="I60" s="18" t="n">
        <v>2.97918985</v>
      </c>
      <c r="J60" s="20" t="n">
        <v>0.65200791</v>
      </c>
      <c r="K60" s="18" t="s">
        <v>349</v>
      </c>
      <c r="L60" s="20" t="s">
        <v>349</v>
      </c>
      <c r="M60" s="18" t="n">
        <v>9.30592493</v>
      </c>
      <c r="N60" s="20" t="n">
        <v>1.19449034</v>
      </c>
      <c r="O60" s="18" t="n">
        <v>0.06696108000000001</v>
      </c>
      <c r="P60" s="20" t="n">
        <v>0.06801649</v>
      </c>
      <c r="Q60" s="18" t="n">
        <v>0.160862</v>
      </c>
      <c r="R60" s="20" t="n">
        <v>0.18178864</v>
      </c>
      <c r="S60" s="18" t="n">
        <v>27.55746953</v>
      </c>
      <c r="T60" s="20" t="n">
        <v>1.90771261</v>
      </c>
    </row>
    <row r="61" spans="1:2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5324</v>
      </c>
      <c r="C63" s="18">
        <f>(4443.0/B63*100)</f>
        <v/>
      </c>
      <c r="D63" s="19" t="n">
        <v>881</v>
      </c>
      <c r="E63" s="18" t="n">
        <v>52.29975583</v>
      </c>
      <c r="F63" s="20" t="n">
        <v>1.76315668</v>
      </c>
      <c r="G63" s="18" t="n">
        <v>2.27609634</v>
      </c>
      <c r="H63" s="20" t="n">
        <v>0.5562429</v>
      </c>
      <c r="I63" s="18" t="n">
        <v>0.44483403</v>
      </c>
      <c r="J63" s="20" t="n">
        <v>0.0969661</v>
      </c>
      <c r="K63" s="18" t="s">
        <v>349</v>
      </c>
      <c r="L63" s="20" t="s">
        <v>349</v>
      </c>
      <c r="M63" s="18" t="n">
        <v>6.51101443</v>
      </c>
      <c r="N63" s="20" t="n">
        <v>0.91039989</v>
      </c>
      <c r="O63" s="18" t="n">
        <v>0</v>
      </c>
      <c r="P63" s="20" t="n">
        <v>0</v>
      </c>
      <c r="Q63" s="18" t="n">
        <v>0</v>
      </c>
      <c r="R63" s="20" t="n">
        <v>0</v>
      </c>
      <c r="S63" s="18" t="n">
        <v>38.46829937</v>
      </c>
      <c r="T63" s="20" t="n">
        <v>1.70805244</v>
      </c>
    </row>
    <row r="64" spans="1:20">
      <c r="A64" s="15" t="s">
        <v>406</v>
      </c>
      <c r="B64" s="17" t="n">
        <v>3634</v>
      </c>
      <c r="C64" s="18">
        <f>(3021.0/B64*100)</f>
        <v/>
      </c>
      <c r="D64" s="19" t="n">
        <v>613</v>
      </c>
      <c r="E64" s="18" t="n">
        <v>61.2949066</v>
      </c>
      <c r="F64" s="20" t="n">
        <v>1.94359322</v>
      </c>
      <c r="G64" s="18" t="n">
        <v>7.95815077</v>
      </c>
      <c r="H64" s="20" t="n">
        <v>1.12006728</v>
      </c>
      <c r="I64" s="18" t="n">
        <v>12.44173468</v>
      </c>
      <c r="J64" s="20" t="n">
        <v>1.44501043</v>
      </c>
      <c r="K64" s="18" t="s">
        <v>349</v>
      </c>
      <c r="L64" s="20" t="s">
        <v>349</v>
      </c>
      <c r="M64" s="18" t="n">
        <v>4.66323548</v>
      </c>
      <c r="N64" s="20" t="n">
        <v>0.9252674</v>
      </c>
      <c r="O64" s="18" t="n">
        <v>0</v>
      </c>
      <c r="P64" s="20" t="n">
        <v>0</v>
      </c>
      <c r="Q64" s="18" t="n">
        <v>0</v>
      </c>
      <c r="R64" s="20" t="n">
        <v>0</v>
      </c>
      <c r="S64" s="18" t="n">
        <v>13.64197246</v>
      </c>
      <c r="T64" s="20" t="n">
        <v>1.32493405</v>
      </c>
    </row>
    <row r="65" spans="1:20">
      <c r="A65" s="15" t="s">
        <v>407</v>
      </c>
      <c r="B65" s="17" t="n">
        <v>5325</v>
      </c>
      <c r="C65" s="18">
        <f>(4455.0/B65*100)</f>
        <v/>
      </c>
      <c r="D65" s="19" t="n">
        <v>870</v>
      </c>
      <c r="E65" s="18" t="n">
        <v>59.80004782</v>
      </c>
      <c r="F65" s="20" t="n">
        <v>1.91488712</v>
      </c>
      <c r="G65" s="18" t="n">
        <v>2.65040303</v>
      </c>
      <c r="H65" s="20" t="n">
        <v>0.64028419</v>
      </c>
      <c r="I65" s="18" t="n">
        <v>1.44154202</v>
      </c>
      <c r="J65" s="20" t="n">
        <v>0.44396489</v>
      </c>
      <c r="K65" s="18" t="s">
        <v>349</v>
      </c>
      <c r="L65" s="20" t="s">
        <v>349</v>
      </c>
      <c r="M65" s="18" t="n">
        <v>9.299321750000001</v>
      </c>
      <c r="N65" s="20" t="n">
        <v>1.00427756</v>
      </c>
      <c r="O65" s="18" t="n">
        <v>0</v>
      </c>
      <c r="P65" s="20" t="n">
        <v>0</v>
      </c>
      <c r="Q65" s="18" t="n">
        <v>0</v>
      </c>
      <c r="R65" s="20" t="n">
        <v>0</v>
      </c>
      <c r="S65" s="18" t="n">
        <v>26.80868538</v>
      </c>
      <c r="T65" s="20" t="n">
        <v>1.65891155</v>
      </c>
    </row>
    <row r="66" spans="1:2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4876</v>
      </c>
      <c r="C69" s="18">
        <f>(4064.0/B69*100)</f>
        <v/>
      </c>
      <c r="D69" s="19" t="n">
        <v>812</v>
      </c>
      <c r="E69" s="18" t="n">
        <v>89.26560271</v>
      </c>
      <c r="F69" s="20" t="n">
        <v>1.35371523</v>
      </c>
      <c r="G69" s="18" t="n">
        <v>5.58364828</v>
      </c>
      <c r="H69" s="20" t="n">
        <v>0.93404049</v>
      </c>
      <c r="I69" s="18" t="n">
        <v>4.82134501</v>
      </c>
      <c r="J69" s="20" t="n">
        <v>0.96924934</v>
      </c>
      <c r="K69" s="18" t="s">
        <v>349</v>
      </c>
      <c r="L69" s="20" t="s">
        <v>349</v>
      </c>
      <c r="M69" s="18" t="n">
        <v>0</v>
      </c>
      <c r="N69" s="20" t="n">
        <v>0</v>
      </c>
      <c r="O69" s="18" t="n">
        <v>0</v>
      </c>
      <c r="P69" s="20" t="n">
        <v>0</v>
      </c>
      <c r="Q69" s="18" t="n">
        <v>0</v>
      </c>
      <c r="R69" s="20" t="n">
        <v>0</v>
      </c>
      <c r="S69" s="18" t="n">
        <v>0.329404</v>
      </c>
      <c r="T69" s="20" t="n">
        <v>0.19084939</v>
      </c>
    </row>
    <row r="70" spans="1:2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4692</v>
      </c>
      <c r="C74" s="18">
        <f>(3898.0/B74*100)</f>
        <v/>
      </c>
      <c r="D74" s="19" t="n">
        <v>794</v>
      </c>
      <c r="E74" s="18" t="n">
        <v>65.63524855999999</v>
      </c>
      <c r="F74" s="20" t="n">
        <v>1.71589229</v>
      </c>
      <c r="G74" s="18" t="n">
        <v>1.1199864</v>
      </c>
      <c r="H74" s="20" t="n">
        <v>0.42528509</v>
      </c>
      <c r="I74" s="18" t="n">
        <v>3.7799019</v>
      </c>
      <c r="J74" s="20" t="n">
        <v>0.74784437</v>
      </c>
      <c r="K74" s="18" t="s">
        <v>349</v>
      </c>
      <c r="L74" s="20" t="s">
        <v>349</v>
      </c>
      <c r="M74" s="18" t="n">
        <v>9.931899509999999</v>
      </c>
      <c r="N74" s="20" t="n">
        <v>1.30852656</v>
      </c>
      <c r="O74" s="18" t="n">
        <v>0</v>
      </c>
      <c r="P74" s="20" t="n">
        <v>0</v>
      </c>
      <c r="Q74" s="18" t="n">
        <v>0</v>
      </c>
      <c r="R74" s="20" t="n">
        <v>0</v>
      </c>
      <c r="S74" s="18" t="n">
        <v>19.53296363</v>
      </c>
      <c r="T74" s="20" t="n">
        <v>1.38438821</v>
      </c>
    </row>
    <row r="75" spans="1:20">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5826</v>
      </c>
      <c r="C78" s="18">
        <f>(4847.0/B78*100)</f>
        <v/>
      </c>
      <c r="D78" s="19" t="n">
        <v>979</v>
      </c>
      <c r="E78" s="18" t="n">
        <v>83.59113929999999</v>
      </c>
      <c r="F78" s="20" t="n">
        <v>1.63658962</v>
      </c>
      <c r="G78" s="18" t="n">
        <v>8.58341881</v>
      </c>
      <c r="H78" s="20" t="n">
        <v>0.98738617</v>
      </c>
      <c r="I78" s="18" t="n">
        <v>6.29618321</v>
      </c>
      <c r="J78" s="20" t="n">
        <v>1.21631376</v>
      </c>
      <c r="K78" s="18" t="s">
        <v>349</v>
      </c>
      <c r="L78" s="20" t="s">
        <v>349</v>
      </c>
      <c r="M78" s="18" t="n">
        <v>0.11462347</v>
      </c>
      <c r="N78" s="20" t="n">
        <v>0.11735094</v>
      </c>
      <c r="O78" s="18" t="n">
        <v>0</v>
      </c>
      <c r="P78" s="20" t="n">
        <v>0</v>
      </c>
      <c r="Q78" s="18" t="n">
        <v>0</v>
      </c>
      <c r="R78" s="20" t="n">
        <v>0</v>
      </c>
      <c r="S78" s="18" t="n">
        <v>1.41463521</v>
      </c>
      <c r="T78" s="20" t="n">
        <v>0.42994643</v>
      </c>
    </row>
    <row customHeight="1" ht="25" r="79" spans="1:20">
      <c r="A79" s="15" t="s">
        <v>421</v>
      </c>
      <c r="B79" s="17" t="n">
        <v>1657</v>
      </c>
      <c r="C79" s="18">
        <f>(1378.0/B79*100)</f>
        <v/>
      </c>
      <c r="D79" s="19" t="n">
        <v>279</v>
      </c>
      <c r="E79" s="18" t="n">
        <v>67.17993353999999</v>
      </c>
      <c r="F79" s="20" t="n">
        <v>3.40789969</v>
      </c>
      <c r="G79" s="18" t="n">
        <v>4.72013789</v>
      </c>
      <c r="H79" s="20" t="n">
        <v>1.38612467</v>
      </c>
      <c r="I79" s="18" t="n">
        <v>3.55516096</v>
      </c>
      <c r="J79" s="20" t="n">
        <v>1.24136572</v>
      </c>
      <c r="K79" s="18" t="s">
        <v>349</v>
      </c>
      <c r="L79" s="20" t="s">
        <v>349</v>
      </c>
      <c r="M79" s="18" t="n">
        <v>6.48391741</v>
      </c>
      <c r="N79" s="20" t="n">
        <v>1.656862</v>
      </c>
      <c r="O79" s="18" t="n">
        <v>0</v>
      </c>
      <c r="P79" s="20" t="n">
        <v>0</v>
      </c>
      <c r="Q79" s="18" t="n">
        <v>0</v>
      </c>
      <c r="R79" s="20" t="n">
        <v>0</v>
      </c>
      <c r="S79" s="18" t="n">
        <v>18.0608502</v>
      </c>
      <c r="T79" s="20" t="n">
        <v>3.07569957</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43.14399773</v>
      </c>
      <c r="F44" s="20" t="n">
        <v>2.56222391</v>
      </c>
      <c r="G44" s="18" t="n">
        <v>40.66284598</v>
      </c>
      <c r="H44" s="20" t="n">
        <v>2.64599823</v>
      </c>
      <c r="I44" s="18" t="s">
        <v>349</v>
      </c>
      <c r="J44" s="20" t="s">
        <v>349</v>
      </c>
      <c r="K44" s="18" t="n">
        <v>6.69845789</v>
      </c>
      <c r="L44" s="20" t="n">
        <v>0.93983759</v>
      </c>
      <c r="M44" s="18" t="n">
        <v>0</v>
      </c>
      <c r="N44" s="20" t="n">
        <v>0</v>
      </c>
      <c r="O44" s="18" t="n">
        <v>0</v>
      </c>
      <c r="P44" s="20" t="n">
        <v>0</v>
      </c>
      <c r="Q44" s="18" t="n">
        <v>9.49469841</v>
      </c>
      <c r="R44" s="20" t="n">
        <v>1.02776234</v>
      </c>
    </row>
    <row r="45" spans="1:18">
      <c r="A45" s="15" t="s">
        <v>387</v>
      </c>
      <c r="B45" s="17" t="n">
        <v>5519</v>
      </c>
      <c r="C45" s="18">
        <f>(4632.0/B45*100)</f>
        <v/>
      </c>
      <c r="D45" s="19" t="n">
        <v>887</v>
      </c>
      <c r="E45" s="18" t="n">
        <v>44.76939244</v>
      </c>
      <c r="F45" s="20" t="n">
        <v>1.73462378</v>
      </c>
      <c r="G45" s="18" t="n">
        <v>35.80608576</v>
      </c>
      <c r="H45" s="20" t="n">
        <v>1.88174003</v>
      </c>
      <c r="I45" s="18" t="s">
        <v>349</v>
      </c>
      <c r="J45" s="20" t="s">
        <v>349</v>
      </c>
      <c r="K45" s="18" t="n">
        <v>9.993497359999999</v>
      </c>
      <c r="L45" s="20" t="n">
        <v>1.01102086</v>
      </c>
      <c r="M45" s="18" t="n">
        <v>0.45140144</v>
      </c>
      <c r="N45" s="20" t="n">
        <v>0.21120913</v>
      </c>
      <c r="O45" s="18" t="n">
        <v>0</v>
      </c>
      <c r="P45" s="20" t="n">
        <v>0</v>
      </c>
      <c r="Q45" s="18" t="n">
        <v>8.979622989999999</v>
      </c>
      <c r="R45" s="20" t="n">
        <v>1.23083217</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47.42628494</v>
      </c>
      <c r="F49" s="20" t="n">
        <v>1.86960761</v>
      </c>
      <c r="G49" s="18" t="n">
        <v>40.43588396</v>
      </c>
      <c r="H49" s="20" t="n">
        <v>1.96935714</v>
      </c>
      <c r="I49" s="18" t="s">
        <v>349</v>
      </c>
      <c r="J49" s="20" t="s">
        <v>349</v>
      </c>
      <c r="K49" s="18" t="n">
        <v>5.66019263</v>
      </c>
      <c r="L49" s="20" t="n">
        <v>0.8681730600000001</v>
      </c>
      <c r="M49" s="18" t="n">
        <v>0.14169763</v>
      </c>
      <c r="N49" s="20" t="n">
        <v>0.14895055</v>
      </c>
      <c r="O49" s="18" t="n">
        <v>0</v>
      </c>
      <c r="P49" s="20" t="n">
        <v>0</v>
      </c>
      <c r="Q49" s="18" t="n">
        <v>6.33594086</v>
      </c>
      <c r="R49" s="20" t="n">
        <v>0.90456264</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49.32403731</v>
      </c>
      <c r="F55" s="20" t="n">
        <v>1.52566155</v>
      </c>
      <c r="G55" s="18" t="n">
        <v>35.12584394</v>
      </c>
      <c r="H55" s="20" t="n">
        <v>1.56614091</v>
      </c>
      <c r="I55" s="18" t="s">
        <v>349</v>
      </c>
      <c r="J55" s="20" t="s">
        <v>349</v>
      </c>
      <c r="K55" s="18" t="n">
        <v>5.3808071</v>
      </c>
      <c r="L55" s="20" t="n">
        <v>0.75203243</v>
      </c>
      <c r="M55" s="18" t="n">
        <v>0.10649611</v>
      </c>
      <c r="N55" s="20" t="n">
        <v>0.10607137</v>
      </c>
      <c r="O55" s="18" t="n">
        <v>0.10570911</v>
      </c>
      <c r="P55" s="20" t="n">
        <v>0.10801831</v>
      </c>
      <c r="Q55" s="18" t="n">
        <v>9.957106420000001</v>
      </c>
      <c r="R55" s="20" t="n">
        <v>1.11969984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52.33730759</v>
      </c>
      <c r="F57" s="20" t="n">
        <v>1.51829437</v>
      </c>
      <c r="G57" s="18" t="n">
        <v>42.20165171</v>
      </c>
      <c r="H57" s="20" t="n">
        <v>1.5972908</v>
      </c>
      <c r="I57" s="18" t="s">
        <v>349</v>
      </c>
      <c r="J57" s="20" t="s">
        <v>349</v>
      </c>
      <c r="K57" s="18" t="n">
        <v>2.05705355</v>
      </c>
      <c r="L57" s="20" t="n">
        <v>0.48077198</v>
      </c>
      <c r="M57" s="18" t="n">
        <v>0</v>
      </c>
      <c r="N57" s="20" t="n">
        <v>0</v>
      </c>
      <c r="O57" s="18" t="n">
        <v>0</v>
      </c>
      <c r="P57" s="20" t="n">
        <v>0</v>
      </c>
      <c r="Q57" s="18" t="n">
        <v>3.40398715</v>
      </c>
      <c r="R57" s="20" t="n">
        <v>0.88214825</v>
      </c>
    </row>
    <row r="58" spans="1:18">
      <c r="A58" s="15" t="s">
        <v>400</v>
      </c>
      <c r="B58" s="17" t="n">
        <v>7267</v>
      </c>
      <c r="C58" s="18">
        <f>(6066.0/B58*100)</f>
        <v/>
      </c>
      <c r="D58" s="19" t="n">
        <v>1201</v>
      </c>
      <c r="E58" s="18" t="n">
        <v>51.50274443</v>
      </c>
      <c r="F58" s="20" t="n">
        <v>1.78774187</v>
      </c>
      <c r="G58" s="18" t="n">
        <v>35.84220939</v>
      </c>
      <c r="H58" s="20" t="n">
        <v>1.58086532</v>
      </c>
      <c r="I58" s="18" t="s">
        <v>349</v>
      </c>
      <c r="J58" s="20" t="s">
        <v>349</v>
      </c>
      <c r="K58" s="18" t="n">
        <v>5.76468159</v>
      </c>
      <c r="L58" s="20" t="n">
        <v>0.83221535</v>
      </c>
      <c r="M58" s="18" t="n">
        <v>0</v>
      </c>
      <c r="N58" s="20" t="n">
        <v>0</v>
      </c>
      <c r="O58" s="18" t="n">
        <v>0</v>
      </c>
      <c r="P58" s="20" t="n">
        <v>0</v>
      </c>
      <c r="Q58" s="18" t="n">
        <v>6.89036458</v>
      </c>
      <c r="R58" s="20" t="n">
        <v>0.86019969</v>
      </c>
    </row>
    <row r="59" spans="1:18">
      <c r="A59" s="15" t="s">
        <v>401</v>
      </c>
      <c r="B59" s="17" t="n">
        <v>4826</v>
      </c>
      <c r="C59" s="18">
        <f>(4022.0/B59*100)</f>
        <v/>
      </c>
      <c r="D59" s="19" t="n">
        <v>804</v>
      </c>
      <c r="E59" s="18" t="n">
        <v>60.79267661</v>
      </c>
      <c r="F59" s="20" t="n">
        <v>2.15354962</v>
      </c>
      <c r="G59" s="18" t="n">
        <v>27.08846755</v>
      </c>
      <c r="H59" s="20" t="n">
        <v>1.85888312</v>
      </c>
      <c r="I59" s="18" t="s">
        <v>349</v>
      </c>
      <c r="J59" s="20" t="s">
        <v>349</v>
      </c>
      <c r="K59" s="18" t="n">
        <v>2.80857389</v>
      </c>
      <c r="L59" s="20" t="n">
        <v>0.89962876</v>
      </c>
      <c r="M59" s="18" t="n">
        <v>0</v>
      </c>
      <c r="N59" s="20" t="n">
        <v>0</v>
      </c>
      <c r="O59" s="18" t="n">
        <v>0</v>
      </c>
      <c r="P59" s="20" t="n">
        <v>0</v>
      </c>
      <c r="Q59" s="18" t="n">
        <v>9.310281959999999</v>
      </c>
      <c r="R59" s="20" t="n">
        <v>1.18850249</v>
      </c>
    </row>
    <row r="60" spans="1:18">
      <c r="A60" s="15" t="s">
        <v>402</v>
      </c>
      <c r="B60" s="17" t="n">
        <v>4546</v>
      </c>
      <c r="C60" s="18">
        <f>(3784.0/B60*100)</f>
        <v/>
      </c>
      <c r="D60" s="19" t="n">
        <v>762</v>
      </c>
      <c r="E60" s="18" t="n">
        <v>36.29938184</v>
      </c>
      <c r="F60" s="20" t="n">
        <v>2.20536909</v>
      </c>
      <c r="G60" s="18" t="n">
        <v>37.05585719</v>
      </c>
      <c r="H60" s="20" t="n">
        <v>1.70168124</v>
      </c>
      <c r="I60" s="18" t="s">
        <v>349</v>
      </c>
      <c r="J60" s="20" t="s">
        <v>349</v>
      </c>
      <c r="K60" s="18" t="n">
        <v>10.7313773</v>
      </c>
      <c r="L60" s="20" t="n">
        <v>1.28298851</v>
      </c>
      <c r="M60" s="18" t="n">
        <v>0.15261383</v>
      </c>
      <c r="N60" s="20" t="n">
        <v>0.14911679</v>
      </c>
      <c r="O60" s="18" t="n">
        <v>0.160862</v>
      </c>
      <c r="P60" s="20" t="n">
        <v>0.18178864</v>
      </c>
      <c r="Q60" s="18" t="n">
        <v>15.59990784</v>
      </c>
      <c r="R60" s="20" t="n">
        <v>1.68335006</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45.45830021</v>
      </c>
      <c r="F63" s="20" t="n">
        <v>1.7072893</v>
      </c>
      <c r="G63" s="18" t="n">
        <v>28.06648834</v>
      </c>
      <c r="H63" s="20" t="n">
        <v>1.66656363</v>
      </c>
      <c r="I63" s="18" t="s">
        <v>349</v>
      </c>
      <c r="J63" s="20" t="s">
        <v>349</v>
      </c>
      <c r="K63" s="18" t="n">
        <v>7.58066992</v>
      </c>
      <c r="L63" s="20" t="n">
        <v>0.97329655</v>
      </c>
      <c r="M63" s="18" t="n">
        <v>0</v>
      </c>
      <c r="N63" s="20" t="n">
        <v>0</v>
      </c>
      <c r="O63" s="18" t="n">
        <v>0</v>
      </c>
      <c r="P63" s="20" t="n">
        <v>0</v>
      </c>
      <c r="Q63" s="18" t="n">
        <v>18.89454153</v>
      </c>
      <c r="R63" s="20" t="n">
        <v>1.50144373</v>
      </c>
    </row>
    <row r="64" spans="1:18">
      <c r="A64" s="15" t="s">
        <v>406</v>
      </c>
      <c r="B64" s="17" t="n">
        <v>3634</v>
      </c>
      <c r="C64" s="18">
        <f>(3021.0/B64*100)</f>
        <v/>
      </c>
      <c r="D64" s="19" t="n">
        <v>613</v>
      </c>
      <c r="E64" s="18" t="n">
        <v>25.2714514</v>
      </c>
      <c r="F64" s="20" t="n">
        <v>1.9707872</v>
      </c>
      <c r="G64" s="18" t="n">
        <v>64.16999669</v>
      </c>
      <c r="H64" s="20" t="n">
        <v>2.23422913</v>
      </c>
      <c r="I64" s="18" t="s">
        <v>349</v>
      </c>
      <c r="J64" s="20" t="s">
        <v>349</v>
      </c>
      <c r="K64" s="18" t="n">
        <v>5.17747736</v>
      </c>
      <c r="L64" s="20" t="n">
        <v>1.02385439</v>
      </c>
      <c r="M64" s="18" t="n">
        <v>0</v>
      </c>
      <c r="N64" s="20" t="n">
        <v>0</v>
      </c>
      <c r="O64" s="18" t="n">
        <v>0</v>
      </c>
      <c r="P64" s="20" t="n">
        <v>0</v>
      </c>
      <c r="Q64" s="18" t="n">
        <v>5.38107455</v>
      </c>
      <c r="R64" s="20" t="n">
        <v>0.99500846</v>
      </c>
    </row>
    <row r="65" spans="1:18">
      <c r="A65" s="15" t="s">
        <v>407</v>
      </c>
      <c r="B65" s="17" t="n">
        <v>5325</v>
      </c>
      <c r="C65" s="18">
        <f>(4455.0/B65*100)</f>
        <v/>
      </c>
      <c r="D65" s="19" t="n">
        <v>870</v>
      </c>
      <c r="E65" s="18" t="n">
        <v>43.2865744</v>
      </c>
      <c r="F65" s="20" t="n">
        <v>1.53546616</v>
      </c>
      <c r="G65" s="18" t="n">
        <v>40.65998602</v>
      </c>
      <c r="H65" s="20" t="n">
        <v>1.64042152</v>
      </c>
      <c r="I65" s="18" t="s">
        <v>349</v>
      </c>
      <c r="J65" s="20" t="s">
        <v>349</v>
      </c>
      <c r="K65" s="18" t="n">
        <v>10.02572453</v>
      </c>
      <c r="L65" s="20" t="n">
        <v>1.04152554</v>
      </c>
      <c r="M65" s="18" t="n">
        <v>0</v>
      </c>
      <c r="N65" s="20" t="n">
        <v>0</v>
      </c>
      <c r="O65" s="18" t="n">
        <v>0.09002176000000001</v>
      </c>
      <c r="P65" s="20" t="n">
        <v>0.09037968</v>
      </c>
      <c r="Q65" s="18" t="n">
        <v>5.93769328</v>
      </c>
      <c r="R65" s="20" t="n">
        <v>0.76230939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60.51757372</v>
      </c>
      <c r="F69" s="20" t="n">
        <v>2.26534803</v>
      </c>
      <c r="G69" s="18" t="n">
        <v>39.37202457</v>
      </c>
      <c r="H69" s="20" t="n">
        <v>2.24718419</v>
      </c>
      <c r="I69" s="18" t="s">
        <v>349</v>
      </c>
      <c r="J69" s="20" t="s">
        <v>349</v>
      </c>
      <c r="K69" s="18" t="n">
        <v>0</v>
      </c>
      <c r="L69" s="20" t="n">
        <v>0</v>
      </c>
      <c r="M69" s="18" t="n">
        <v>0</v>
      </c>
      <c r="N69" s="20" t="n">
        <v>0</v>
      </c>
      <c r="O69" s="18" t="n">
        <v>0</v>
      </c>
      <c r="P69" s="20" t="n">
        <v>0</v>
      </c>
      <c r="Q69" s="18" t="n">
        <v>0.11040171</v>
      </c>
      <c r="R69" s="20" t="n">
        <v>0.11009482</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40.94783089</v>
      </c>
      <c r="F74" s="20" t="n">
        <v>1.87507232</v>
      </c>
      <c r="G74" s="18" t="n">
        <v>42.91399912</v>
      </c>
      <c r="H74" s="20" t="n">
        <v>1.66525557</v>
      </c>
      <c r="I74" s="18" t="s">
        <v>349</v>
      </c>
      <c r="J74" s="20" t="s">
        <v>349</v>
      </c>
      <c r="K74" s="18" t="n">
        <v>10.60506658</v>
      </c>
      <c r="L74" s="20" t="n">
        <v>1.34297147</v>
      </c>
      <c r="M74" s="18" t="n">
        <v>0</v>
      </c>
      <c r="N74" s="20" t="n">
        <v>0</v>
      </c>
      <c r="O74" s="18" t="n">
        <v>0</v>
      </c>
      <c r="P74" s="20" t="n">
        <v>0</v>
      </c>
      <c r="Q74" s="18" t="n">
        <v>5.53310342</v>
      </c>
      <c r="R74" s="20" t="n">
        <v>0.82768071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47.52717757</v>
      </c>
      <c r="F78" s="20" t="n">
        <v>2.18432505</v>
      </c>
      <c r="G78" s="18" t="n">
        <v>51.30743934</v>
      </c>
      <c r="H78" s="20" t="n">
        <v>2.15130957</v>
      </c>
      <c r="I78" s="18" t="s">
        <v>349</v>
      </c>
      <c r="J78" s="20" t="s">
        <v>349</v>
      </c>
      <c r="K78" s="18" t="n">
        <v>0.11462347</v>
      </c>
      <c r="L78" s="20" t="n">
        <v>0.11735094</v>
      </c>
      <c r="M78" s="18" t="n">
        <v>0</v>
      </c>
      <c r="N78" s="20" t="n">
        <v>0</v>
      </c>
      <c r="O78" s="18" t="n">
        <v>0</v>
      </c>
      <c r="P78" s="20" t="n">
        <v>0</v>
      </c>
      <c r="Q78" s="18" t="n">
        <v>1.05075962</v>
      </c>
      <c r="R78" s="20" t="n">
        <v>0.42145959</v>
      </c>
    </row>
    <row customHeight="1" ht="25" r="79" spans="1:18">
      <c r="A79" s="15" t="s">
        <v>421</v>
      </c>
      <c r="B79" s="17" t="n">
        <v>1657</v>
      </c>
      <c r="C79" s="18">
        <f>(1378.0/B79*100)</f>
        <v/>
      </c>
      <c r="D79" s="19" t="n">
        <v>279</v>
      </c>
      <c r="E79" s="18" t="n">
        <v>34.53541699</v>
      </c>
      <c r="F79" s="20" t="n">
        <v>3.10135858</v>
      </c>
      <c r="G79" s="18" t="n">
        <v>53.0587195</v>
      </c>
      <c r="H79" s="20" t="n">
        <v>3.40529342</v>
      </c>
      <c r="I79" s="18" t="s">
        <v>349</v>
      </c>
      <c r="J79" s="20" t="s">
        <v>349</v>
      </c>
      <c r="K79" s="18" t="n">
        <v>8.56926968</v>
      </c>
      <c r="L79" s="20" t="n">
        <v>1.73098711</v>
      </c>
      <c r="M79" s="18" t="n">
        <v>0</v>
      </c>
      <c r="N79" s="20" t="n">
        <v>0</v>
      </c>
      <c r="O79" s="18" t="n">
        <v>0</v>
      </c>
      <c r="P79" s="20" t="n">
        <v>0</v>
      </c>
      <c r="Q79" s="18" t="n">
        <v>3.83659384</v>
      </c>
      <c r="R79" s="20" t="n">
        <v>1.19703117</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592</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(4338.0/B44*100)</f>
        <v/>
      </c>
      <c r="D44" s="19" t="n">
        <v>877</v>
      </c>
      <c r="E44" s="18" t="n">
        <v>58.32005356</v>
      </c>
      <c r="F44" s="20" t="n">
        <v>2.72093292</v>
      </c>
      <c r="G44" s="18" t="n">
        <v>32.2316126</v>
      </c>
      <c r="H44" s="20" t="n">
        <v>2.30792763</v>
      </c>
      <c r="I44" s="18" t="s">
        <v>349</v>
      </c>
      <c r="J44" s="20" t="s">
        <v>349</v>
      </c>
      <c r="K44" s="18" t="n">
        <v>9.44833384</v>
      </c>
      <c r="L44" s="20" t="n">
        <v>1.11364283</v>
      </c>
      <c r="M44" s="18" t="n">
        <v>0</v>
      </c>
      <c r="N44" s="20" t="n">
        <v>0</v>
      </c>
      <c r="O44" s="18" t="n">
        <v>0</v>
      </c>
      <c r="P44" s="20" t="n">
        <v>0</v>
      </c>
      <c r="Q44" s="18" t="n">
        <v>0</v>
      </c>
      <c r="R44" s="20" t="n">
        <v>0</v>
      </c>
    </row>
    <row r="45" spans="1:18">
      <c r="A45" s="15" t="s">
        <v>387</v>
      </c>
      <c r="B45" s="17" t="n">
        <v>5519</v>
      </c>
      <c r="C45" s="18">
        <f>(4632.0/B45*100)</f>
        <v/>
      </c>
      <c r="D45" s="19" t="n">
        <v>887</v>
      </c>
      <c r="E45" s="18" t="n">
        <v>50.6866903</v>
      </c>
      <c r="F45" s="20" t="n">
        <v>1.83951809</v>
      </c>
      <c r="G45" s="18" t="n">
        <v>37.5987985</v>
      </c>
      <c r="H45" s="20" t="n">
        <v>1.92749209</v>
      </c>
      <c r="I45" s="18" t="s">
        <v>349</v>
      </c>
      <c r="J45" s="20" t="s">
        <v>349</v>
      </c>
      <c r="K45" s="18" t="n">
        <v>11.60007297</v>
      </c>
      <c r="L45" s="20" t="n">
        <v>1.07856546</v>
      </c>
      <c r="M45" s="18" t="n">
        <v>0</v>
      </c>
      <c r="N45" s="20" t="n">
        <v>0</v>
      </c>
      <c r="O45" s="18" t="n">
        <v>0.11443824</v>
      </c>
      <c r="P45" s="20" t="n">
        <v>0.12271546</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(5279.0/B49*100)</f>
        <v/>
      </c>
      <c r="D49" s="19" t="n">
        <v>1070</v>
      </c>
      <c r="E49" s="18" t="n">
        <v>52.6047663</v>
      </c>
      <c r="F49" s="20" t="n">
        <v>1.89321481</v>
      </c>
      <c r="G49" s="18" t="n">
        <v>41.16820611</v>
      </c>
      <c r="H49" s="20" t="n">
        <v>1.67798563</v>
      </c>
      <c r="I49" s="18" t="s">
        <v>349</v>
      </c>
      <c r="J49" s="20" t="s">
        <v>349</v>
      </c>
      <c r="K49" s="18" t="n">
        <v>6.04425059</v>
      </c>
      <c r="L49" s="20" t="n">
        <v>0.88790242</v>
      </c>
      <c r="M49" s="18" t="n">
        <v>0.14169763</v>
      </c>
      <c r="N49" s="20" t="n">
        <v>0.14895055</v>
      </c>
      <c r="O49" s="18" t="n">
        <v>0.04107937</v>
      </c>
      <c r="P49" s="20" t="n">
        <v>0.02998778</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(4432.0/B55*100)</f>
        <v/>
      </c>
      <c r="D55" s="19" t="n">
        <v>884</v>
      </c>
      <c r="E55" s="18" t="n">
        <v>61.3888744</v>
      </c>
      <c r="F55" s="20" t="n">
        <v>1.74199342</v>
      </c>
      <c r="G55" s="18" t="n">
        <v>32.7326024</v>
      </c>
      <c r="H55" s="20" t="n">
        <v>1.79104753</v>
      </c>
      <c r="I55" s="18" t="s">
        <v>349</v>
      </c>
      <c r="J55" s="20" t="s">
        <v>349</v>
      </c>
      <c r="K55" s="18" t="n">
        <v>5.77202709</v>
      </c>
      <c r="L55" s="20" t="n">
        <v>0.79634964</v>
      </c>
      <c r="M55" s="18" t="n">
        <v>0.10649611</v>
      </c>
      <c r="N55" s="20" t="n">
        <v>0.10607137</v>
      </c>
      <c r="O55" s="18" t="n">
        <v>0</v>
      </c>
      <c r="P55" s="20" t="n">
        <v>0</v>
      </c>
      <c r="Q55" s="18" t="n">
        <v>0</v>
      </c>
      <c r="R55" s="20" t="n">
        <v>0</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(5428.0/B57*100)</f>
        <v/>
      </c>
      <c r="D57" s="19" t="n">
        <v>1085</v>
      </c>
      <c r="E57" s="18" t="n">
        <v>70.54821866</v>
      </c>
      <c r="F57" s="20" t="n">
        <v>1.59903345</v>
      </c>
      <c r="G57" s="18" t="n">
        <v>26.82506918</v>
      </c>
      <c r="H57" s="20" t="n">
        <v>1.70891041</v>
      </c>
      <c r="I57" s="18" t="s">
        <v>349</v>
      </c>
      <c r="J57" s="20" t="s">
        <v>349</v>
      </c>
      <c r="K57" s="18" t="n">
        <v>2.62671216</v>
      </c>
      <c r="L57" s="20" t="n">
        <v>0.54096685</v>
      </c>
      <c r="M57" s="18" t="n">
        <v>0</v>
      </c>
      <c r="N57" s="20" t="n">
        <v>0</v>
      </c>
      <c r="O57" s="18" t="n">
        <v>0</v>
      </c>
      <c r="P57" s="20" t="n">
        <v>0</v>
      </c>
      <c r="Q57" s="18" t="n">
        <v>0</v>
      </c>
      <c r="R57" s="20" t="n">
        <v>0</v>
      </c>
    </row>
    <row r="58" spans="1:18">
      <c r="A58" s="15" t="s">
        <v>400</v>
      </c>
      <c r="B58" s="17" t="n">
        <v>7267</v>
      </c>
      <c r="C58" s="18">
        <f>(6066.0/B58*100)</f>
        <v/>
      </c>
      <c r="D58" s="19" t="n">
        <v>1201</v>
      </c>
      <c r="E58" s="18" t="n">
        <v>63.21888437</v>
      </c>
      <c r="F58" s="20" t="n">
        <v>1.57054222</v>
      </c>
      <c r="G58" s="18" t="n">
        <v>30.18828227</v>
      </c>
      <c r="H58" s="20" t="n">
        <v>1.42385949</v>
      </c>
      <c r="I58" s="18" t="s">
        <v>349</v>
      </c>
      <c r="J58" s="20" t="s">
        <v>349</v>
      </c>
      <c r="K58" s="18" t="n">
        <v>6.59283337</v>
      </c>
      <c r="L58" s="20" t="n">
        <v>0.89896001</v>
      </c>
      <c r="M58" s="18" t="n">
        <v>0</v>
      </c>
      <c r="N58" s="20" t="n">
        <v>0</v>
      </c>
      <c r="O58" s="18" t="n">
        <v>0</v>
      </c>
      <c r="P58" s="20" t="n">
        <v>0</v>
      </c>
      <c r="Q58" s="18" t="n">
        <v>0</v>
      </c>
      <c r="R58" s="20" t="n">
        <v>0</v>
      </c>
    </row>
    <row r="59" spans="1:18">
      <c r="A59" s="15" t="s">
        <v>401</v>
      </c>
      <c r="B59" s="17" t="n">
        <v>4826</v>
      </c>
      <c r="C59" s="18">
        <f>(4022.0/B59*100)</f>
        <v/>
      </c>
      <c r="D59" s="19" t="n">
        <v>804</v>
      </c>
      <c r="E59" s="18" t="n">
        <v>69.51222663</v>
      </c>
      <c r="F59" s="20" t="n">
        <v>1.89520728</v>
      </c>
      <c r="G59" s="18" t="n">
        <v>26.86685176</v>
      </c>
      <c r="H59" s="20" t="n">
        <v>1.72054946</v>
      </c>
      <c r="I59" s="18" t="s">
        <v>349</v>
      </c>
      <c r="J59" s="20" t="s">
        <v>349</v>
      </c>
      <c r="K59" s="18" t="n">
        <v>3.62092162</v>
      </c>
      <c r="L59" s="20" t="n">
        <v>0.94847753</v>
      </c>
      <c r="M59" s="18" t="n">
        <v>0</v>
      </c>
      <c r="N59" s="20" t="n">
        <v>0</v>
      </c>
      <c r="O59" s="18" t="n">
        <v>0</v>
      </c>
      <c r="P59" s="20" t="n">
        <v>0</v>
      </c>
      <c r="Q59" s="18" t="n">
        <v>0</v>
      </c>
      <c r="R59" s="20" t="n">
        <v>0</v>
      </c>
    </row>
    <row r="60" spans="1:18">
      <c r="A60" s="15" t="s">
        <v>402</v>
      </c>
      <c r="B60" s="17" t="n">
        <v>4546</v>
      </c>
      <c r="C60" s="18">
        <f>(3784.0/B60*100)</f>
        <v/>
      </c>
      <c r="D60" s="19" t="n">
        <v>762</v>
      </c>
      <c r="E60" s="18" t="n">
        <v>45.83025001</v>
      </c>
      <c r="F60" s="20" t="n">
        <v>2.38651892</v>
      </c>
      <c r="G60" s="18" t="n">
        <v>42.01191219</v>
      </c>
      <c r="H60" s="20" t="n">
        <v>2.42699058</v>
      </c>
      <c r="I60" s="18" t="s">
        <v>349</v>
      </c>
      <c r="J60" s="20" t="s">
        <v>349</v>
      </c>
      <c r="K60" s="18" t="n">
        <v>11.999164</v>
      </c>
      <c r="L60" s="20" t="n">
        <v>1.3906774</v>
      </c>
      <c r="M60" s="18" t="n">
        <v>0</v>
      </c>
      <c r="N60" s="20" t="n">
        <v>0</v>
      </c>
      <c r="O60" s="18" t="n">
        <v>0.1586738</v>
      </c>
      <c r="P60" s="20" t="n">
        <v>0.11358967</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(4443.0/B63*100)</f>
        <v/>
      </c>
      <c r="D63" s="19" t="n">
        <v>881</v>
      </c>
      <c r="E63" s="18" t="n">
        <v>60.1171435</v>
      </c>
      <c r="F63" s="20" t="n">
        <v>1.91480554</v>
      </c>
      <c r="G63" s="18" t="n">
        <v>31.52774681</v>
      </c>
      <c r="H63" s="20" t="n">
        <v>1.71585756</v>
      </c>
      <c r="I63" s="18" t="s">
        <v>349</v>
      </c>
      <c r="J63" s="20" t="s">
        <v>349</v>
      </c>
      <c r="K63" s="18" t="n">
        <v>8.3551097</v>
      </c>
      <c r="L63" s="20" t="n">
        <v>1.01786018</v>
      </c>
      <c r="M63" s="18" t="n">
        <v>0</v>
      </c>
      <c r="N63" s="20" t="n">
        <v>0</v>
      </c>
      <c r="O63" s="18" t="n">
        <v>0</v>
      </c>
      <c r="P63" s="20" t="n">
        <v>0</v>
      </c>
      <c r="Q63" s="18" t="n">
        <v>0</v>
      </c>
      <c r="R63" s="20" t="n">
        <v>0</v>
      </c>
    </row>
    <row r="64" spans="1:18">
      <c r="A64" s="15" t="s">
        <v>406</v>
      </c>
      <c r="B64" s="17" t="n">
        <v>3634</v>
      </c>
      <c r="C64" s="18">
        <f>(3021.0/B64*100)</f>
        <v/>
      </c>
      <c r="D64" s="19" t="n">
        <v>613</v>
      </c>
      <c r="E64" s="18" t="n">
        <v>61.25944713</v>
      </c>
      <c r="F64" s="20" t="n">
        <v>2.22865737</v>
      </c>
      <c r="G64" s="18" t="n">
        <v>33.41028638</v>
      </c>
      <c r="H64" s="20" t="n">
        <v>2.13671281</v>
      </c>
      <c r="I64" s="18" t="s">
        <v>349</v>
      </c>
      <c r="J64" s="20" t="s">
        <v>349</v>
      </c>
      <c r="K64" s="18" t="n">
        <v>5.33026649</v>
      </c>
      <c r="L64" s="20" t="n">
        <v>1.02377478</v>
      </c>
      <c r="M64" s="18" t="n">
        <v>0</v>
      </c>
      <c r="N64" s="20" t="n">
        <v>0</v>
      </c>
      <c r="O64" s="18" t="n">
        <v>0</v>
      </c>
      <c r="P64" s="20" t="n">
        <v>0</v>
      </c>
      <c r="Q64" s="18" t="n">
        <v>0</v>
      </c>
      <c r="R64" s="20" t="n">
        <v>0</v>
      </c>
    </row>
    <row r="65" spans="1:18">
      <c r="A65" s="15" t="s">
        <v>407</v>
      </c>
      <c r="B65" s="17" t="n">
        <v>5325</v>
      </c>
      <c r="C65" s="18">
        <f>(4455.0/B65*100)</f>
        <v/>
      </c>
      <c r="D65" s="19" t="n">
        <v>870</v>
      </c>
      <c r="E65" s="18" t="n">
        <v>60.58982877</v>
      </c>
      <c r="F65" s="20" t="n">
        <v>1.72621639</v>
      </c>
      <c r="G65" s="18" t="n">
        <v>28.40837808</v>
      </c>
      <c r="H65" s="20" t="n">
        <v>1.58897903</v>
      </c>
      <c r="I65" s="18" t="s">
        <v>349</v>
      </c>
      <c r="J65" s="20" t="s">
        <v>349</v>
      </c>
      <c r="K65" s="18" t="n">
        <v>11.00179316</v>
      </c>
      <c r="L65" s="20" t="n">
        <v>1.06019502</v>
      </c>
      <c r="M65" s="18" t="n">
        <v>0</v>
      </c>
      <c r="N65" s="20" t="n">
        <v>0</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(4064.0/B69*100)</f>
        <v/>
      </c>
      <c r="D69" s="19" t="n">
        <v>812</v>
      </c>
      <c r="E69" s="18" t="n">
        <v>68.15321335</v>
      </c>
      <c r="F69" s="20" t="n">
        <v>1.67147091</v>
      </c>
      <c r="G69" s="18" t="n">
        <v>31.62702236</v>
      </c>
      <c r="H69" s="20" t="n">
        <v>1.67047984</v>
      </c>
      <c r="I69" s="18" t="s">
        <v>349</v>
      </c>
      <c r="J69" s="20" t="s">
        <v>349</v>
      </c>
      <c r="K69" s="18" t="n">
        <v>0.21976429</v>
      </c>
      <c r="L69" s="20" t="n">
        <v>0.1542341</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(3898.0/B74*100)</f>
        <v/>
      </c>
      <c r="D74" s="19" t="n">
        <v>794</v>
      </c>
      <c r="E74" s="18" t="n">
        <v>58.81514591</v>
      </c>
      <c r="F74" s="20" t="n">
        <v>2.17189088</v>
      </c>
      <c r="G74" s="18" t="n">
        <v>29.61606016</v>
      </c>
      <c r="H74" s="20" t="n">
        <v>1.93608074</v>
      </c>
      <c r="I74" s="18" t="s">
        <v>349</v>
      </c>
      <c r="J74" s="20" t="s">
        <v>349</v>
      </c>
      <c r="K74" s="18" t="n">
        <v>11.56879393</v>
      </c>
      <c r="L74" s="20" t="n">
        <v>1.45582252</v>
      </c>
      <c r="M74" s="18" t="n">
        <v>0</v>
      </c>
      <c r="N74" s="20" t="n">
        <v>0</v>
      </c>
      <c r="O74" s="18" t="n">
        <v>0</v>
      </c>
      <c r="P74" s="20" t="n">
        <v>0</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(4847.0/B78*100)</f>
        <v/>
      </c>
      <c r="D78" s="19" t="n">
        <v>979</v>
      </c>
      <c r="E78" s="18" t="n">
        <v>30.98444515</v>
      </c>
      <c r="F78" s="20" t="n">
        <v>1.52191737</v>
      </c>
      <c r="G78" s="18" t="n">
        <v>68.90093138</v>
      </c>
      <c r="H78" s="20" t="n">
        <v>1.50657556</v>
      </c>
      <c r="I78" s="18" t="s">
        <v>349</v>
      </c>
      <c r="J78" s="20" t="s">
        <v>349</v>
      </c>
      <c r="K78" s="18" t="n">
        <v>0.11462347</v>
      </c>
      <c r="L78" s="20" t="n">
        <v>0.11735094</v>
      </c>
      <c r="M78" s="18" t="n">
        <v>0</v>
      </c>
      <c r="N78" s="20" t="n">
        <v>0</v>
      </c>
      <c r="O78" s="18" t="n">
        <v>0</v>
      </c>
      <c r="P78" s="20" t="n">
        <v>0</v>
      </c>
      <c r="Q78" s="18" t="n">
        <v>0</v>
      </c>
      <c r="R78" s="20" t="n">
        <v>0</v>
      </c>
    </row>
    <row customHeight="1" ht="25" r="79" spans="1:18">
      <c r="A79" s="15" t="s">
        <v>421</v>
      </c>
      <c r="B79" s="17" t="n">
        <v>1657</v>
      </c>
      <c r="C79" s="18">
        <f>(1378.0/B79*100)</f>
        <v/>
      </c>
      <c r="D79" s="19" t="n">
        <v>279</v>
      </c>
      <c r="E79" s="18" t="n">
        <v>56.94680809</v>
      </c>
      <c r="F79" s="20" t="n">
        <v>3.87912979</v>
      </c>
      <c r="G79" s="18" t="n">
        <v>33.97818658</v>
      </c>
      <c r="H79" s="20" t="n">
        <v>3.63880859</v>
      </c>
      <c r="I79" s="18" t="s">
        <v>349</v>
      </c>
      <c r="J79" s="20" t="s">
        <v>349</v>
      </c>
      <c r="K79" s="18" t="n">
        <v>8.56926968</v>
      </c>
      <c r="L79" s="20" t="n">
        <v>1.73098711</v>
      </c>
      <c r="M79" s="18" t="n">
        <v>0</v>
      </c>
      <c r="N79" s="20" t="n">
        <v>0</v>
      </c>
      <c r="O79" s="18" t="n">
        <v>0.50573566</v>
      </c>
      <c r="P79" s="20" t="n">
        <v>0.37093836</v>
      </c>
      <c r="Q79" s="18" t="n">
        <v>0</v>
      </c>
      <c r="R79" s="20" t="n">
        <v>0</v>
      </c>
    </row>
    <row r="80" spans="1:18">
      <c r="A80" s="15" t="s">
        <v>422</v>
      </c>
      <c r="B80" s="17" t="n">
        <v>7841</v>
      </c>
      <c r="C80" s="18">
        <f>(6513.0/B80*100)</f>
        <v/>
      </c>
      <c r="D80" s="19" t="n">
        <v>1328</v>
      </c>
      <c r="E80" s="18" t="n">
        <v>67.35209284</v>
      </c>
      <c r="F80" s="20" t="n">
        <v>1.881199</v>
      </c>
      <c r="G80" s="18" t="n">
        <v>32.42432271</v>
      </c>
      <c r="H80" s="20" t="n">
        <v>1.89792914</v>
      </c>
      <c r="I80" s="18" t="s">
        <v>349</v>
      </c>
      <c r="J80" s="20" t="s">
        <v>349</v>
      </c>
      <c r="K80" s="18" t="n">
        <v>0.22358444</v>
      </c>
      <c r="L80" s="20" t="n">
        <v>0.13235248</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37.94211611</v>
      </c>
      <c r="F44" s="20" t="n">
        <v>2.23548622</v>
      </c>
      <c r="G44" s="18" t="n">
        <v>46.37293767</v>
      </c>
      <c r="H44" s="20" t="n">
        <v>1.93342846</v>
      </c>
      <c r="I44" s="18" t="s">
        <v>349</v>
      </c>
      <c r="J44" s="20" t="s">
        <v>349</v>
      </c>
      <c r="K44" s="18" t="n">
        <v>2.87431035</v>
      </c>
      <c r="L44" s="20" t="n">
        <v>0.57162281</v>
      </c>
      <c r="M44" s="18" t="n">
        <v>0</v>
      </c>
      <c r="N44" s="20" t="n">
        <v>0</v>
      </c>
      <c r="O44" s="18" t="n">
        <v>0</v>
      </c>
      <c r="P44" s="20" t="n">
        <v>0</v>
      </c>
      <c r="Q44" s="18" t="n">
        <v>12.81063586</v>
      </c>
      <c r="R44" s="20" t="n">
        <v>1.481813</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36.64235187</v>
      </c>
      <c r="F55" s="20" t="n">
        <v>2.10446622</v>
      </c>
      <c r="G55" s="18" t="n">
        <v>56.68353173</v>
      </c>
      <c r="H55" s="20" t="n">
        <v>2.13848802</v>
      </c>
      <c r="I55" s="18" t="s">
        <v>349</v>
      </c>
      <c r="J55" s="20" t="s">
        <v>349</v>
      </c>
      <c r="K55" s="18" t="n">
        <v>1.31057832</v>
      </c>
      <c r="L55" s="20" t="n">
        <v>0.42967036</v>
      </c>
      <c r="M55" s="18" t="n">
        <v>0</v>
      </c>
      <c r="N55" s="20" t="n">
        <v>0</v>
      </c>
      <c r="O55" s="18" t="n">
        <v>0</v>
      </c>
      <c r="P55" s="20" t="n">
        <v>0</v>
      </c>
      <c r="Q55" s="18" t="n">
        <v>5.36353808</v>
      </c>
      <c r="R55" s="20" t="n">
        <v>0.9083829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44.73858847</v>
      </c>
      <c r="F57" s="20" t="n">
        <v>1.70121861</v>
      </c>
      <c r="G57" s="18" t="n">
        <v>49.53019542</v>
      </c>
      <c r="H57" s="20" t="n">
        <v>1.70372198</v>
      </c>
      <c r="I57" s="18" t="s">
        <v>349</v>
      </c>
      <c r="J57" s="20" t="s">
        <v>349</v>
      </c>
      <c r="K57" s="18" t="n">
        <v>0.5750328</v>
      </c>
      <c r="L57" s="20" t="n">
        <v>0.29243657</v>
      </c>
      <c r="M57" s="18" t="n">
        <v>0</v>
      </c>
      <c r="N57" s="20" t="n">
        <v>0</v>
      </c>
      <c r="O57" s="18" t="n">
        <v>0</v>
      </c>
      <c r="P57" s="20" t="n">
        <v>0</v>
      </c>
      <c r="Q57" s="18" t="n">
        <v>5.15618332</v>
      </c>
      <c r="R57" s="20" t="n">
        <v>0.85041245</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21.60728945</v>
      </c>
      <c r="F64" s="20" t="n">
        <v>1.69282968</v>
      </c>
      <c r="G64" s="18" t="n">
        <v>71.73650508</v>
      </c>
      <c r="H64" s="20" t="n">
        <v>1.92569616</v>
      </c>
      <c r="I64" s="18" t="s">
        <v>349</v>
      </c>
      <c r="J64" s="20" t="s">
        <v>349</v>
      </c>
      <c r="K64" s="18" t="n">
        <v>1.65975992</v>
      </c>
      <c r="L64" s="20" t="n">
        <v>0.50081067</v>
      </c>
      <c r="M64" s="18" t="n">
        <v>0</v>
      </c>
      <c r="N64" s="20" t="n">
        <v>0</v>
      </c>
      <c r="O64" s="18" t="n">
        <v>0.14688364</v>
      </c>
      <c r="P64" s="20" t="n">
        <v>0.14525441</v>
      </c>
      <c r="Q64" s="18" t="n">
        <v>4.84956192</v>
      </c>
      <c r="R64" s="20" t="n">
        <v>1.01801866</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594</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46.1240235</v>
      </c>
      <c r="F44" s="20" t="n">
        <v>2.03037353</v>
      </c>
      <c r="G44" s="18" t="n">
        <v>22.01523782</v>
      </c>
      <c r="H44" s="20" t="n">
        <v>2.06115256</v>
      </c>
      <c r="I44" s="18" t="s">
        <v>349</v>
      </c>
      <c r="J44" s="20" t="s">
        <v>349</v>
      </c>
      <c r="K44" s="18" t="n">
        <v>3.96366396</v>
      </c>
      <c r="L44" s="20" t="n">
        <v>0.65717412</v>
      </c>
      <c r="M44" s="18" t="n">
        <v>0</v>
      </c>
      <c r="N44" s="20" t="n">
        <v>0</v>
      </c>
      <c r="O44" s="18" t="n">
        <v>0</v>
      </c>
      <c r="P44" s="20" t="n">
        <v>0</v>
      </c>
      <c r="Q44" s="18" t="n">
        <v>27.89707472</v>
      </c>
      <c r="R44" s="20" t="n">
        <v>2.07198457</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58.98576542</v>
      </c>
      <c r="F55" s="20" t="n">
        <v>1.96040358</v>
      </c>
      <c r="G55" s="18" t="n">
        <v>17.55253434</v>
      </c>
      <c r="H55" s="20" t="n">
        <v>1.26953332</v>
      </c>
      <c r="I55" s="18" t="s">
        <v>349</v>
      </c>
      <c r="J55" s="20" t="s">
        <v>349</v>
      </c>
      <c r="K55" s="18" t="n">
        <v>1.94738269</v>
      </c>
      <c r="L55" s="20" t="n">
        <v>0.49994209</v>
      </c>
      <c r="M55" s="18" t="n">
        <v>0</v>
      </c>
      <c r="N55" s="20" t="n">
        <v>0</v>
      </c>
      <c r="O55" s="18" t="n">
        <v>0.34069784</v>
      </c>
      <c r="P55" s="20" t="n">
        <v>0.26155341</v>
      </c>
      <c r="Q55" s="18" t="n">
        <v>21.17361971</v>
      </c>
      <c r="R55" s="20" t="n">
        <v>1.68000552</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70.16304744999999</v>
      </c>
      <c r="F57" s="20" t="n">
        <v>1.74250817</v>
      </c>
      <c r="G57" s="18" t="n">
        <v>22.27378231</v>
      </c>
      <c r="H57" s="20" t="n">
        <v>1.52266976</v>
      </c>
      <c r="I57" s="18" t="s">
        <v>349</v>
      </c>
      <c r="J57" s="20" t="s">
        <v>349</v>
      </c>
      <c r="K57" s="18" t="n">
        <v>1.03851475</v>
      </c>
      <c r="L57" s="20" t="n">
        <v>0.37466464</v>
      </c>
      <c r="M57" s="18" t="n">
        <v>0</v>
      </c>
      <c r="N57" s="20" t="n">
        <v>0</v>
      </c>
      <c r="O57" s="18" t="n">
        <v>0</v>
      </c>
      <c r="P57" s="20" t="n">
        <v>0</v>
      </c>
      <c r="Q57" s="18" t="n">
        <v>6.5246555</v>
      </c>
      <c r="R57" s="20" t="n">
        <v>0.9019452999999999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28.93739285</v>
      </c>
      <c r="F64" s="20" t="n">
        <v>1.93279509</v>
      </c>
      <c r="G64" s="18" t="n">
        <v>56.40174006</v>
      </c>
      <c r="H64" s="20" t="n">
        <v>2.12200383</v>
      </c>
      <c r="I64" s="18" t="s">
        <v>349</v>
      </c>
      <c r="J64" s="20" t="s">
        <v>349</v>
      </c>
      <c r="K64" s="18" t="n">
        <v>1.65975992</v>
      </c>
      <c r="L64" s="20" t="n">
        <v>0.50081067</v>
      </c>
      <c r="M64" s="18" t="n">
        <v>0</v>
      </c>
      <c r="N64" s="20" t="n">
        <v>0</v>
      </c>
      <c r="O64" s="18" t="n">
        <v>0</v>
      </c>
      <c r="P64" s="20" t="n">
        <v>0</v>
      </c>
      <c r="Q64" s="18" t="n">
        <v>13.00110717</v>
      </c>
      <c r="R64" s="20" t="n">
        <v>1.33162689</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28.89039673</v>
      </c>
      <c r="F44" s="20" t="n">
        <v>1.94077563</v>
      </c>
      <c r="G44" s="18" t="n">
        <v>57.69930539</v>
      </c>
      <c r="H44" s="20" t="n">
        <v>2.28793627</v>
      </c>
      <c r="I44" s="18" t="s">
        <v>349</v>
      </c>
      <c r="J44" s="20" t="s">
        <v>349</v>
      </c>
      <c r="K44" s="18" t="n">
        <v>4.70705891</v>
      </c>
      <c r="L44" s="20" t="n">
        <v>0.77058971</v>
      </c>
      <c r="M44" s="18" t="n">
        <v>0</v>
      </c>
      <c r="N44" s="20" t="n">
        <v>0</v>
      </c>
      <c r="O44" s="18" t="n">
        <v>0</v>
      </c>
      <c r="P44" s="20" t="n">
        <v>0</v>
      </c>
      <c r="Q44" s="18" t="n">
        <v>8.703238969999999</v>
      </c>
      <c r="R44" s="20" t="n">
        <v>1.23177607</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34.22513745</v>
      </c>
      <c r="F55" s="20" t="n">
        <v>1.79787882</v>
      </c>
      <c r="G55" s="18" t="n">
        <v>53.89301738</v>
      </c>
      <c r="H55" s="20" t="n">
        <v>2.0852762</v>
      </c>
      <c r="I55" s="18" t="s">
        <v>349</v>
      </c>
      <c r="J55" s="20" t="s">
        <v>349</v>
      </c>
      <c r="K55" s="18" t="n">
        <v>2.26493679</v>
      </c>
      <c r="L55" s="20" t="n">
        <v>0.5285067</v>
      </c>
      <c r="M55" s="18" t="n">
        <v>0</v>
      </c>
      <c r="N55" s="20" t="n">
        <v>0</v>
      </c>
      <c r="O55" s="18" t="n">
        <v>0</v>
      </c>
      <c r="P55" s="20" t="n">
        <v>0</v>
      </c>
      <c r="Q55" s="18" t="n">
        <v>9.61690838</v>
      </c>
      <c r="R55" s="20" t="n">
        <v>1.20089719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59.50272895</v>
      </c>
      <c r="F57" s="20" t="n">
        <v>2.04911946</v>
      </c>
      <c r="G57" s="18" t="n">
        <v>34.779226</v>
      </c>
      <c r="H57" s="20" t="n">
        <v>2.02828067</v>
      </c>
      <c r="I57" s="18" t="s">
        <v>349</v>
      </c>
      <c r="J57" s="20" t="s">
        <v>349</v>
      </c>
      <c r="K57" s="18" t="n">
        <v>1.40526268</v>
      </c>
      <c r="L57" s="20" t="n">
        <v>0.4614816</v>
      </c>
      <c r="M57" s="18" t="n">
        <v>0</v>
      </c>
      <c r="N57" s="20" t="n">
        <v>0</v>
      </c>
      <c r="O57" s="18" t="n">
        <v>0</v>
      </c>
      <c r="P57" s="20" t="n">
        <v>0</v>
      </c>
      <c r="Q57" s="18" t="n">
        <v>4.31278237</v>
      </c>
      <c r="R57" s="20" t="n">
        <v>0.83381699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17.69788492</v>
      </c>
      <c r="F64" s="20" t="n">
        <v>1.64915411</v>
      </c>
      <c r="G64" s="18" t="n">
        <v>77.02039071999999</v>
      </c>
      <c r="H64" s="20" t="n">
        <v>1.82029628</v>
      </c>
      <c r="I64" s="18" t="s">
        <v>349</v>
      </c>
      <c r="J64" s="20" t="s">
        <v>349</v>
      </c>
      <c r="K64" s="18" t="n">
        <v>2.52365393</v>
      </c>
      <c r="L64" s="20" t="n">
        <v>0.62855599</v>
      </c>
      <c r="M64" s="18" t="n">
        <v>0</v>
      </c>
      <c r="N64" s="20" t="n">
        <v>0</v>
      </c>
      <c r="O64" s="18" t="n">
        <v>0</v>
      </c>
      <c r="P64" s="20" t="n">
        <v>0</v>
      </c>
      <c r="Q64" s="18" t="n">
        <v>2.75807042</v>
      </c>
      <c r="R64" s="20" t="n">
        <v>0.6377242</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57.3420851</v>
      </c>
      <c r="F44" s="20" t="n">
        <v>2.369147</v>
      </c>
      <c r="G44" s="18" t="n">
        <v>19.65692802</v>
      </c>
      <c r="H44" s="20" t="n">
        <v>2.29968913</v>
      </c>
      <c r="I44" s="18" t="s">
        <v>349</v>
      </c>
      <c r="J44" s="20" t="s">
        <v>349</v>
      </c>
      <c r="K44" s="18" t="n">
        <v>6.46999578</v>
      </c>
      <c r="L44" s="20" t="n">
        <v>0.99195928</v>
      </c>
      <c r="M44" s="18" t="n">
        <v>0</v>
      </c>
      <c r="N44" s="20" t="n">
        <v>0</v>
      </c>
      <c r="O44" s="18" t="n">
        <v>0</v>
      </c>
      <c r="P44" s="20" t="n">
        <v>0</v>
      </c>
      <c r="Q44" s="18" t="n">
        <v>16.5309911</v>
      </c>
      <c r="R44" s="20" t="n">
        <v>1.69837405</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68.90941658</v>
      </c>
      <c r="F55" s="20" t="n">
        <v>1.69483662</v>
      </c>
      <c r="G55" s="18" t="n">
        <v>17.09319637</v>
      </c>
      <c r="H55" s="20" t="n">
        <v>1.48640252</v>
      </c>
      <c r="I55" s="18" t="s">
        <v>349</v>
      </c>
      <c r="J55" s="20" t="s">
        <v>349</v>
      </c>
      <c r="K55" s="18" t="n">
        <v>2.37321354</v>
      </c>
      <c r="L55" s="20" t="n">
        <v>0.53807075</v>
      </c>
      <c r="M55" s="18" t="n">
        <v>0</v>
      </c>
      <c r="N55" s="20" t="n">
        <v>0</v>
      </c>
      <c r="O55" s="18" t="n">
        <v>0</v>
      </c>
      <c r="P55" s="20" t="n">
        <v>0</v>
      </c>
      <c r="Q55" s="18" t="n">
        <v>11.6241735</v>
      </c>
      <c r="R55" s="20" t="n">
        <v>1.20240911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77.36081977000001</v>
      </c>
      <c r="F57" s="20" t="n">
        <v>1.56817406</v>
      </c>
      <c r="G57" s="18" t="n">
        <v>17.82888956</v>
      </c>
      <c r="H57" s="20" t="n">
        <v>1.28556945</v>
      </c>
      <c r="I57" s="18" t="s">
        <v>349</v>
      </c>
      <c r="J57" s="20" t="s">
        <v>349</v>
      </c>
      <c r="K57" s="18" t="n">
        <v>1.68914108</v>
      </c>
      <c r="L57" s="20" t="n">
        <v>0.48642453</v>
      </c>
      <c r="M57" s="18" t="n">
        <v>0</v>
      </c>
      <c r="N57" s="20" t="n">
        <v>0</v>
      </c>
      <c r="O57" s="18" t="n">
        <v>0</v>
      </c>
      <c r="P57" s="20" t="n">
        <v>0</v>
      </c>
      <c r="Q57" s="18" t="n">
        <v>3.12114959</v>
      </c>
      <c r="R57" s="20" t="n">
        <v>0.71673759</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51.36368867</v>
      </c>
      <c r="F64" s="20" t="n">
        <v>2.14596841</v>
      </c>
      <c r="G64" s="18" t="n">
        <v>40.29481616</v>
      </c>
      <c r="H64" s="20" t="n">
        <v>2.13237536</v>
      </c>
      <c r="I64" s="18" t="s">
        <v>349</v>
      </c>
      <c r="J64" s="20" t="s">
        <v>349</v>
      </c>
      <c r="K64" s="18" t="n">
        <v>2.86493596</v>
      </c>
      <c r="L64" s="20" t="n">
        <v>0.67935893</v>
      </c>
      <c r="M64" s="18" t="n">
        <v>0.15419285</v>
      </c>
      <c r="N64" s="20" t="n">
        <v>0.15414182</v>
      </c>
      <c r="O64" s="18" t="n">
        <v>0</v>
      </c>
      <c r="P64" s="20" t="n">
        <v>0</v>
      </c>
      <c r="Q64" s="18" t="n">
        <v>5.32236636</v>
      </c>
      <c r="R64" s="20" t="n">
        <v>0.93842258</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30.46438389</v>
      </c>
      <c r="F44" s="20" t="n">
        <v>1.51066524</v>
      </c>
      <c r="G44" s="18" t="n">
        <v>50.34126059</v>
      </c>
      <c r="H44" s="20" t="n">
        <v>2.23850025</v>
      </c>
      <c r="I44" s="18" t="s">
        <v>349</v>
      </c>
      <c r="J44" s="20" t="s">
        <v>349</v>
      </c>
      <c r="K44" s="18" t="n">
        <v>8.22769422</v>
      </c>
      <c r="L44" s="20" t="n">
        <v>1.02142839</v>
      </c>
      <c r="M44" s="18" t="n">
        <v>0</v>
      </c>
      <c r="N44" s="20" t="n">
        <v>0</v>
      </c>
      <c r="O44" s="18" t="n">
        <v>0</v>
      </c>
      <c r="P44" s="20" t="n">
        <v>0</v>
      </c>
      <c r="Q44" s="18" t="n">
        <v>10.96666129</v>
      </c>
      <c r="R44" s="20" t="n">
        <v>1.48270997</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43.59076105</v>
      </c>
      <c r="F55" s="20" t="n">
        <v>2.00179193</v>
      </c>
      <c r="G55" s="18" t="n">
        <v>38.07418455</v>
      </c>
      <c r="H55" s="20" t="n">
        <v>1.83835952</v>
      </c>
      <c r="I55" s="18" t="s">
        <v>349</v>
      </c>
      <c r="J55" s="20" t="s">
        <v>349</v>
      </c>
      <c r="K55" s="18" t="n">
        <v>3.19897415</v>
      </c>
      <c r="L55" s="20" t="n">
        <v>0.65046357</v>
      </c>
      <c r="M55" s="18" t="n">
        <v>0</v>
      </c>
      <c r="N55" s="20" t="n">
        <v>0</v>
      </c>
      <c r="O55" s="18" t="n">
        <v>0.09701356</v>
      </c>
      <c r="P55" s="20" t="n">
        <v>0.09690818</v>
      </c>
      <c r="Q55" s="18" t="n">
        <v>15.03906668</v>
      </c>
      <c r="R55" s="20" t="n">
        <v>1.26193211</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60.84330215</v>
      </c>
      <c r="F57" s="20" t="n">
        <v>1.75474927</v>
      </c>
      <c r="G57" s="18" t="n">
        <v>33.24865594</v>
      </c>
      <c r="H57" s="20" t="n">
        <v>1.79505227</v>
      </c>
      <c r="I57" s="18" t="s">
        <v>349</v>
      </c>
      <c r="J57" s="20" t="s">
        <v>349</v>
      </c>
      <c r="K57" s="18" t="n">
        <v>1.9905917</v>
      </c>
      <c r="L57" s="20" t="n">
        <v>0.56171637</v>
      </c>
      <c r="M57" s="18" t="n">
        <v>0.09159868</v>
      </c>
      <c r="N57" s="20" t="n">
        <v>0.09143388</v>
      </c>
      <c r="O57" s="18" t="n">
        <v>0</v>
      </c>
      <c r="P57" s="20" t="n">
        <v>0</v>
      </c>
      <c r="Q57" s="18" t="n">
        <v>3.82585153</v>
      </c>
      <c r="R57" s="20" t="n">
        <v>0.68557656</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25.42457834</v>
      </c>
      <c r="F64" s="20" t="n">
        <v>2.16055279</v>
      </c>
      <c r="G64" s="18" t="n">
        <v>65.08631484</v>
      </c>
      <c r="H64" s="20" t="n">
        <v>2.0861063</v>
      </c>
      <c r="I64" s="18" t="s">
        <v>349</v>
      </c>
      <c r="J64" s="20" t="s">
        <v>349</v>
      </c>
      <c r="K64" s="18" t="n">
        <v>3.35463342</v>
      </c>
      <c r="L64" s="20" t="n">
        <v>0.69662344</v>
      </c>
      <c r="M64" s="18" t="n">
        <v>0</v>
      </c>
      <c r="N64" s="20" t="n">
        <v>0</v>
      </c>
      <c r="O64" s="18" t="n">
        <v>0</v>
      </c>
      <c r="P64" s="20" t="n">
        <v>0</v>
      </c>
      <c r="Q64" s="18" t="n">
        <v>6.1344734</v>
      </c>
      <c r="R64" s="20" t="n">
        <v>1.10686851</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59.31292054</v>
      </c>
      <c r="F44" s="20" t="n">
        <v>2.44859084</v>
      </c>
      <c r="G44" s="18" t="n">
        <v>7.22165814</v>
      </c>
      <c r="H44" s="20" t="n">
        <v>0.81328402</v>
      </c>
      <c r="I44" s="18" t="s">
        <v>349</v>
      </c>
      <c r="J44" s="20" t="s">
        <v>349</v>
      </c>
      <c r="K44" s="18" t="n">
        <v>10.19821863</v>
      </c>
      <c r="L44" s="20" t="n">
        <v>1.22265582</v>
      </c>
      <c r="M44" s="18" t="n">
        <v>0</v>
      </c>
      <c r="N44" s="20" t="n">
        <v>0</v>
      </c>
      <c r="O44" s="18" t="n">
        <v>0</v>
      </c>
      <c r="P44" s="20" t="n">
        <v>0</v>
      </c>
      <c r="Q44" s="18" t="n">
        <v>23.2672027</v>
      </c>
      <c r="R44" s="20" t="n">
        <v>1.78258381</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37.95009654</v>
      </c>
      <c r="F55" s="20" t="n">
        <v>1.92797787</v>
      </c>
      <c r="G55" s="18" t="n">
        <v>18.22166209</v>
      </c>
      <c r="H55" s="20" t="n">
        <v>1.46962788</v>
      </c>
      <c r="I55" s="18" t="s">
        <v>349</v>
      </c>
      <c r="J55" s="20" t="s">
        <v>349</v>
      </c>
      <c r="K55" s="18" t="n">
        <v>3.66908349</v>
      </c>
      <c r="L55" s="20" t="n">
        <v>0.69285924</v>
      </c>
      <c r="M55" s="18" t="n">
        <v>0</v>
      </c>
      <c r="N55" s="20" t="n">
        <v>0</v>
      </c>
      <c r="O55" s="18" t="n">
        <v>0</v>
      </c>
      <c r="P55" s="20" t="n">
        <v>0</v>
      </c>
      <c r="Q55" s="18" t="n">
        <v>40.15915789</v>
      </c>
      <c r="R55" s="20" t="n">
        <v>1.78329476</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84.64942377</v>
      </c>
      <c r="F57" s="20" t="n">
        <v>1.35463463</v>
      </c>
      <c r="G57" s="18" t="n">
        <v>5.54083738</v>
      </c>
      <c r="H57" s="20" t="n">
        <v>0.66454286</v>
      </c>
      <c r="I57" s="18" t="s">
        <v>349</v>
      </c>
      <c r="J57" s="20" t="s">
        <v>349</v>
      </c>
      <c r="K57" s="18" t="n">
        <v>2.33102039</v>
      </c>
      <c r="L57" s="20" t="n">
        <v>0.59605282</v>
      </c>
      <c r="M57" s="18" t="n">
        <v>0.09159868</v>
      </c>
      <c r="N57" s="20" t="n">
        <v>0.09143388</v>
      </c>
      <c r="O57" s="18" t="n">
        <v>0</v>
      </c>
      <c r="P57" s="20" t="n">
        <v>0</v>
      </c>
      <c r="Q57" s="18" t="n">
        <v>7.38711978</v>
      </c>
      <c r="R57" s="20" t="n">
        <v>0.9867902</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53.36139566</v>
      </c>
      <c r="F64" s="20" t="n">
        <v>2.38797931</v>
      </c>
      <c r="G64" s="18" t="n">
        <v>23.99492213</v>
      </c>
      <c r="H64" s="20" t="n">
        <v>1.92186657</v>
      </c>
      <c r="I64" s="18" t="s">
        <v>349</v>
      </c>
      <c r="J64" s="20" t="s">
        <v>349</v>
      </c>
      <c r="K64" s="18" t="n">
        <v>4.17086159</v>
      </c>
      <c r="L64" s="20" t="n">
        <v>0.78577877</v>
      </c>
      <c r="M64" s="18" t="n">
        <v>0</v>
      </c>
      <c r="N64" s="20" t="n">
        <v>0</v>
      </c>
      <c r="O64" s="18" t="n">
        <v>0.16211477</v>
      </c>
      <c r="P64" s="20" t="n">
        <v>0.16185662</v>
      </c>
      <c r="Q64" s="18" t="n">
        <v>18.31070584</v>
      </c>
      <c r="R64" s="20" t="n">
        <v>1.81767227</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599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52.68248475</v>
      </c>
      <c r="F44" s="20" t="n">
        <v>2.03834206</v>
      </c>
      <c r="G44" s="18" t="n">
        <v>8.69713726</v>
      </c>
      <c r="H44" s="20" t="n">
        <v>1.2454717</v>
      </c>
      <c r="I44" s="18" t="s">
        <v>349</v>
      </c>
      <c r="J44" s="20" t="s">
        <v>349</v>
      </c>
      <c r="K44" s="18" t="n">
        <v>10.65494574</v>
      </c>
      <c r="L44" s="20" t="n">
        <v>1.24029131</v>
      </c>
      <c r="M44" s="18" t="n">
        <v>0</v>
      </c>
      <c r="N44" s="20" t="n">
        <v>0</v>
      </c>
      <c r="O44" s="18" t="n">
        <v>0.19664805</v>
      </c>
      <c r="P44" s="20" t="n">
        <v>0.19969461</v>
      </c>
      <c r="Q44" s="18" t="n">
        <v>27.7687842</v>
      </c>
      <c r="R44" s="20" t="n">
        <v>1.92281944</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52.00190932</v>
      </c>
      <c r="F55" s="20" t="n">
        <v>1.97852516</v>
      </c>
      <c r="G55" s="18" t="n">
        <v>5.57028565</v>
      </c>
      <c r="H55" s="20" t="n">
        <v>0.99514544</v>
      </c>
      <c r="I55" s="18" t="s">
        <v>349</v>
      </c>
      <c r="J55" s="20" t="s">
        <v>349</v>
      </c>
      <c r="K55" s="18" t="n">
        <v>3.94634629</v>
      </c>
      <c r="L55" s="20" t="n">
        <v>0.72606931</v>
      </c>
      <c r="M55" s="18" t="n">
        <v>0</v>
      </c>
      <c r="N55" s="20" t="n">
        <v>0</v>
      </c>
      <c r="O55" s="18" t="n">
        <v>0</v>
      </c>
      <c r="P55" s="20" t="n">
        <v>0</v>
      </c>
      <c r="Q55" s="18" t="n">
        <v>38.48145874</v>
      </c>
      <c r="R55" s="20" t="n">
        <v>1.93190706</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82.95375427</v>
      </c>
      <c r="F57" s="20" t="n">
        <v>1.44857613</v>
      </c>
      <c r="G57" s="18" t="n">
        <v>2.70650364</v>
      </c>
      <c r="H57" s="20" t="n">
        <v>0.54807004</v>
      </c>
      <c r="I57" s="18" t="s">
        <v>349</v>
      </c>
      <c r="J57" s="20" t="s">
        <v>349</v>
      </c>
      <c r="K57" s="18" t="n">
        <v>2.49447399</v>
      </c>
      <c r="L57" s="20" t="n">
        <v>0.61221748</v>
      </c>
      <c r="M57" s="18" t="n">
        <v>0.09159868</v>
      </c>
      <c r="N57" s="20" t="n">
        <v>0.09143388</v>
      </c>
      <c r="O57" s="18" t="n">
        <v>0</v>
      </c>
      <c r="P57" s="20" t="n">
        <v>0</v>
      </c>
      <c r="Q57" s="18" t="n">
        <v>11.75366941</v>
      </c>
      <c r="R57" s="20" t="n">
        <v>1.14608551</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42.98169558</v>
      </c>
      <c r="F64" s="20" t="n">
        <v>1.8732263</v>
      </c>
      <c r="G64" s="18" t="n">
        <v>38.72078453</v>
      </c>
      <c r="H64" s="20" t="n">
        <v>1.60552031</v>
      </c>
      <c r="I64" s="18" t="s">
        <v>349</v>
      </c>
      <c r="J64" s="20" t="s">
        <v>349</v>
      </c>
      <c r="K64" s="18" t="n">
        <v>4.51122455</v>
      </c>
      <c r="L64" s="20" t="n">
        <v>0.80963268</v>
      </c>
      <c r="M64" s="18" t="n">
        <v>0</v>
      </c>
      <c r="N64" s="20" t="n">
        <v>0</v>
      </c>
      <c r="O64" s="18" t="n">
        <v>0</v>
      </c>
      <c r="P64" s="20" t="n">
        <v>0</v>
      </c>
      <c r="Q64" s="18" t="n">
        <v>13.78629533</v>
      </c>
      <c r="R64" s="20" t="n">
        <v>1.4388535</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600</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34.7362896</v>
      </c>
      <c r="F44" s="20" t="n">
        <v>2.03608257</v>
      </c>
      <c r="G44" s="18" t="n">
        <v>40.80470363</v>
      </c>
      <c r="H44" s="20" t="n">
        <v>2.23350021</v>
      </c>
      <c r="I44" s="18" t="s">
        <v>349</v>
      </c>
      <c r="J44" s="20" t="s">
        <v>349</v>
      </c>
      <c r="K44" s="18" t="n">
        <v>11.74342309</v>
      </c>
      <c r="L44" s="20" t="n">
        <v>1.28256518</v>
      </c>
      <c r="M44" s="18" t="n">
        <v>0</v>
      </c>
      <c r="N44" s="20" t="n">
        <v>0</v>
      </c>
      <c r="O44" s="18" t="n">
        <v>0.88386082</v>
      </c>
      <c r="P44" s="20" t="n">
        <v>0.34672998</v>
      </c>
      <c r="Q44" s="18" t="n">
        <v>11.83172286</v>
      </c>
      <c r="R44" s="20" t="n">
        <v>1.32893263</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51.45400087</v>
      </c>
      <c r="F55" s="20" t="n">
        <v>1.83803012</v>
      </c>
      <c r="G55" s="18" t="n">
        <v>40.12787683</v>
      </c>
      <c r="H55" s="20" t="n">
        <v>1.74916749</v>
      </c>
      <c r="I55" s="18" t="s">
        <v>349</v>
      </c>
      <c r="J55" s="20" t="s">
        <v>349</v>
      </c>
      <c r="K55" s="18" t="n">
        <v>4.26652517</v>
      </c>
      <c r="L55" s="20" t="n">
        <v>0.74481766</v>
      </c>
      <c r="M55" s="18" t="n">
        <v>0</v>
      </c>
      <c r="N55" s="20" t="n">
        <v>0</v>
      </c>
      <c r="O55" s="18" t="n">
        <v>0.51091763</v>
      </c>
      <c r="P55" s="20" t="n">
        <v>0.21853544</v>
      </c>
      <c r="Q55" s="18" t="n">
        <v>3.6406795</v>
      </c>
      <c r="R55" s="20" t="n">
        <v>0.619945</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63.48257819</v>
      </c>
      <c r="F57" s="20" t="n">
        <v>1.6010256</v>
      </c>
      <c r="G57" s="18" t="n">
        <v>30.43039846</v>
      </c>
      <c r="H57" s="20" t="n">
        <v>1.57448518</v>
      </c>
      <c r="I57" s="18" t="s">
        <v>349</v>
      </c>
      <c r="J57" s="20" t="s">
        <v>349</v>
      </c>
      <c r="K57" s="18" t="n">
        <v>2.91060526</v>
      </c>
      <c r="L57" s="20" t="n">
        <v>0.64411608</v>
      </c>
      <c r="M57" s="18" t="n">
        <v>0.09159868</v>
      </c>
      <c r="N57" s="20" t="n">
        <v>0.09143388</v>
      </c>
      <c r="O57" s="18" t="n">
        <v>0</v>
      </c>
      <c r="P57" s="20" t="n">
        <v>0</v>
      </c>
      <c r="Q57" s="18" t="n">
        <v>3.0848194</v>
      </c>
      <c r="R57" s="20" t="n">
        <v>0.64612671</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40.38435363</v>
      </c>
      <c r="F64" s="20" t="n">
        <v>1.79002172</v>
      </c>
      <c r="G64" s="18" t="n">
        <v>45.87936142</v>
      </c>
      <c r="H64" s="20" t="n">
        <v>1.91959005</v>
      </c>
      <c r="I64" s="18" t="s">
        <v>349</v>
      </c>
      <c r="J64" s="20" t="s">
        <v>349</v>
      </c>
      <c r="K64" s="18" t="n">
        <v>4.68888381</v>
      </c>
      <c r="L64" s="20" t="n">
        <v>0.82846338</v>
      </c>
      <c r="M64" s="18" t="n">
        <v>0</v>
      </c>
      <c r="N64" s="20" t="n">
        <v>0</v>
      </c>
      <c r="O64" s="18" t="n">
        <v>2.12812148</v>
      </c>
      <c r="P64" s="20" t="n">
        <v>0.57515502</v>
      </c>
      <c r="Q64" s="18" t="n">
        <v>6.91927966</v>
      </c>
      <c r="R64" s="20" t="n">
        <v>1.18256238</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601</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42.53179849</v>
      </c>
      <c r="F44" s="20" t="n">
        <v>2.2573909</v>
      </c>
      <c r="G44" s="18" t="n">
        <v>7.56685381</v>
      </c>
      <c r="H44" s="20" t="n">
        <v>1.10047858</v>
      </c>
      <c r="I44" s="18" t="s">
        <v>349</v>
      </c>
      <c r="J44" s="20" t="s">
        <v>349</v>
      </c>
      <c r="K44" s="18" t="n">
        <v>17.82649248</v>
      </c>
      <c r="L44" s="20" t="n">
        <v>1.74811721</v>
      </c>
      <c r="M44" s="18" t="n">
        <v>0</v>
      </c>
      <c r="N44" s="20" t="n">
        <v>0</v>
      </c>
      <c r="O44" s="18" t="n">
        <v>0</v>
      </c>
      <c r="P44" s="20" t="n">
        <v>0</v>
      </c>
      <c r="Q44" s="18" t="n">
        <v>32.07485522</v>
      </c>
      <c r="R44" s="20" t="n">
        <v>1.98519982</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56.65853014</v>
      </c>
      <c r="F55" s="20" t="n">
        <v>1.75145452</v>
      </c>
      <c r="G55" s="18" t="n">
        <v>1.27683764</v>
      </c>
      <c r="H55" s="20" t="n">
        <v>0.5850736</v>
      </c>
      <c r="I55" s="18" t="s">
        <v>349</v>
      </c>
      <c r="J55" s="20" t="s">
        <v>349</v>
      </c>
      <c r="K55" s="18" t="n">
        <v>14.38464825</v>
      </c>
      <c r="L55" s="20" t="n">
        <v>1.21383435</v>
      </c>
      <c r="M55" s="18" t="n">
        <v>0</v>
      </c>
      <c r="N55" s="20" t="n">
        <v>0</v>
      </c>
      <c r="O55" s="18" t="n">
        <v>0.10442201</v>
      </c>
      <c r="P55" s="20" t="n">
        <v>0.10088881</v>
      </c>
      <c r="Q55" s="18" t="n">
        <v>27.57556196</v>
      </c>
      <c r="R55" s="20" t="n">
        <v>1.78846395</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86.39793256</v>
      </c>
      <c r="F57" s="20" t="n">
        <v>1.55784256</v>
      </c>
      <c r="G57" s="18" t="n">
        <v>1.04249291</v>
      </c>
      <c r="H57" s="20" t="n">
        <v>0.5586909</v>
      </c>
      <c r="I57" s="18" t="s">
        <v>349</v>
      </c>
      <c r="J57" s="20" t="s">
        <v>349</v>
      </c>
      <c r="K57" s="18" t="n">
        <v>4.94304851</v>
      </c>
      <c r="L57" s="20" t="n">
        <v>0.84189695</v>
      </c>
      <c r="M57" s="18" t="n">
        <v>0</v>
      </c>
      <c r="N57" s="20" t="n">
        <v>0</v>
      </c>
      <c r="O57" s="18" t="n">
        <v>0</v>
      </c>
      <c r="P57" s="20" t="n">
        <v>0</v>
      </c>
      <c r="Q57" s="18" t="n">
        <v>7.61652602</v>
      </c>
      <c r="R57" s="20" t="n">
        <v>1.01979061</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65.28800986</v>
      </c>
      <c r="F64" s="20" t="n">
        <v>1.82773741</v>
      </c>
      <c r="G64" s="18" t="n">
        <v>5.9832504</v>
      </c>
      <c r="H64" s="20" t="n">
        <v>0.99106596</v>
      </c>
      <c r="I64" s="18" t="s">
        <v>349</v>
      </c>
      <c r="J64" s="20" t="s">
        <v>349</v>
      </c>
      <c r="K64" s="18" t="n">
        <v>8.66622411</v>
      </c>
      <c r="L64" s="20" t="n">
        <v>1.14402158</v>
      </c>
      <c r="M64" s="18" t="n">
        <v>0</v>
      </c>
      <c r="N64" s="20" t="n">
        <v>0</v>
      </c>
      <c r="O64" s="18" t="n">
        <v>0</v>
      </c>
      <c r="P64" s="20" t="n">
        <v>0</v>
      </c>
      <c r="Q64" s="18" t="n">
        <v>20.06251563</v>
      </c>
      <c r="R64" s="20" t="n">
        <v>1.59627094</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602</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39.22096869</v>
      </c>
      <c r="F44" s="20" t="n">
        <v>1.80907177</v>
      </c>
      <c r="G44" s="18" t="n">
        <v>34.24830008</v>
      </c>
      <c r="H44" s="20" t="n">
        <v>2.17927594</v>
      </c>
      <c r="I44" s="18" t="s">
        <v>349</v>
      </c>
      <c r="J44" s="20" t="s">
        <v>349</v>
      </c>
      <c r="K44" s="18" t="n">
        <v>20.95870322</v>
      </c>
      <c r="L44" s="20" t="n">
        <v>1.87762646</v>
      </c>
      <c r="M44" s="18" t="n">
        <v>0</v>
      </c>
      <c r="N44" s="20" t="n">
        <v>0</v>
      </c>
      <c r="O44" s="18" t="n">
        <v>0</v>
      </c>
      <c r="P44" s="20" t="n">
        <v>0</v>
      </c>
      <c r="Q44" s="18" t="n">
        <v>5.57202801</v>
      </c>
      <c r="R44" s="20" t="n">
        <v>0.85543943</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54.5544899</v>
      </c>
      <c r="F55" s="20" t="n">
        <v>1.73819768</v>
      </c>
      <c r="G55" s="18" t="n">
        <v>15.90042551</v>
      </c>
      <c r="H55" s="20" t="n">
        <v>1.11258802</v>
      </c>
      <c r="I55" s="18" t="s">
        <v>349</v>
      </c>
      <c r="J55" s="20" t="s">
        <v>349</v>
      </c>
      <c r="K55" s="18" t="n">
        <v>18.85253743</v>
      </c>
      <c r="L55" s="20" t="n">
        <v>1.41695318</v>
      </c>
      <c r="M55" s="18" t="n">
        <v>0</v>
      </c>
      <c r="N55" s="20" t="n">
        <v>0</v>
      </c>
      <c r="O55" s="18" t="n">
        <v>0.12422596</v>
      </c>
      <c r="P55" s="20" t="n">
        <v>0.12738652</v>
      </c>
      <c r="Q55" s="18" t="n">
        <v>10.56832121</v>
      </c>
      <c r="R55" s="20" t="n">
        <v>1.01400623</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80.83782784</v>
      </c>
      <c r="F57" s="20" t="n">
        <v>1.27367188</v>
      </c>
      <c r="G57" s="18" t="n">
        <v>11.27812491</v>
      </c>
      <c r="H57" s="20" t="n">
        <v>0.90223156</v>
      </c>
      <c r="I57" s="18" t="s">
        <v>349</v>
      </c>
      <c r="J57" s="20" t="s">
        <v>349</v>
      </c>
      <c r="K57" s="18" t="n">
        <v>5.97228326</v>
      </c>
      <c r="L57" s="20" t="n">
        <v>0.8566943</v>
      </c>
      <c r="M57" s="18" t="n">
        <v>0</v>
      </c>
      <c r="N57" s="20" t="n">
        <v>0</v>
      </c>
      <c r="O57" s="18" t="n">
        <v>0</v>
      </c>
      <c r="P57" s="20" t="n">
        <v>0</v>
      </c>
      <c r="Q57" s="18" t="n">
        <v>1.91176399</v>
      </c>
      <c r="R57" s="20" t="n">
        <v>0.44255828</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38.1929393</v>
      </c>
      <c r="F64" s="20" t="n">
        <v>2.00805325</v>
      </c>
      <c r="G64" s="18" t="n">
        <v>45.76596166</v>
      </c>
      <c r="H64" s="20" t="n">
        <v>1.87736646</v>
      </c>
      <c r="I64" s="18" t="s">
        <v>349</v>
      </c>
      <c r="J64" s="20" t="s">
        <v>349</v>
      </c>
      <c r="K64" s="18" t="n">
        <v>11.2982334</v>
      </c>
      <c r="L64" s="20" t="n">
        <v>1.31511928</v>
      </c>
      <c r="M64" s="18" t="n">
        <v>0</v>
      </c>
      <c r="N64" s="20" t="n">
        <v>0</v>
      </c>
      <c r="O64" s="18" t="n">
        <v>0</v>
      </c>
      <c r="P64" s="20" t="n">
        <v>0</v>
      </c>
      <c r="Q64" s="18" t="n">
        <v>4.74286564</v>
      </c>
      <c r="R64" s="20" t="n">
        <v>0.94142298</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603</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(4329.0/B44*100)</f>
        <v/>
      </c>
      <c r="D44" s="19" t="n">
        <v>886</v>
      </c>
      <c r="E44" s="18" t="n">
        <v>43.6942518</v>
      </c>
      <c r="F44" s="20" t="n">
        <v>1.94655071</v>
      </c>
      <c r="G44" s="18" t="n">
        <v>25.35503297</v>
      </c>
      <c r="H44" s="20" t="n">
        <v>1.90431364</v>
      </c>
      <c r="I44" s="18" t="s">
        <v>349</v>
      </c>
      <c r="J44" s="20" t="s">
        <v>349</v>
      </c>
      <c r="K44" s="18" t="n">
        <v>28.90460727</v>
      </c>
      <c r="L44" s="20" t="n">
        <v>2.07949281</v>
      </c>
      <c r="M44" s="18" t="n">
        <v>0</v>
      </c>
      <c r="N44" s="20" t="n">
        <v>0</v>
      </c>
      <c r="O44" s="18" t="n">
        <v>0</v>
      </c>
      <c r="P44" s="20" t="n">
        <v>0</v>
      </c>
      <c r="Q44" s="18" t="n">
        <v>2.04610796</v>
      </c>
      <c r="R44" s="20" t="n">
        <v>0.48165377</v>
      </c>
    </row>
    <row r="45" spans="1:18">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(4444.0/B55*100)</f>
        <v/>
      </c>
      <c r="D55" s="19" t="n">
        <v>872</v>
      </c>
      <c r="E55" s="18" t="n">
        <v>53.35662347</v>
      </c>
      <c r="F55" s="20" t="n">
        <v>1.76664289</v>
      </c>
      <c r="G55" s="18" t="n">
        <v>20.18418144</v>
      </c>
      <c r="H55" s="20" t="n">
        <v>1.58372736</v>
      </c>
      <c r="I55" s="18" t="s">
        <v>349</v>
      </c>
      <c r="J55" s="20" t="s">
        <v>349</v>
      </c>
      <c r="K55" s="18" t="n">
        <v>24.4792531</v>
      </c>
      <c r="L55" s="20" t="n">
        <v>1.59801874</v>
      </c>
      <c r="M55" s="18" t="n">
        <v>0</v>
      </c>
      <c r="N55" s="20" t="n">
        <v>0</v>
      </c>
      <c r="O55" s="18" t="n">
        <v>0</v>
      </c>
      <c r="P55" s="20" t="n">
        <v>0</v>
      </c>
      <c r="Q55" s="18" t="n">
        <v>1.979942</v>
      </c>
      <c r="R55" s="20" t="n">
        <v>0.47867314</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(5415.0/B57*100)</f>
        <v/>
      </c>
      <c r="D57" s="19" t="n">
        <v>1098</v>
      </c>
      <c r="E57" s="18" t="n">
        <v>75.13562424</v>
      </c>
      <c r="F57" s="20" t="n">
        <v>1.67699663</v>
      </c>
      <c r="G57" s="18" t="n">
        <v>14.85568347</v>
      </c>
      <c r="H57" s="20" t="n">
        <v>1.36622718</v>
      </c>
      <c r="I57" s="18" t="s">
        <v>349</v>
      </c>
      <c r="J57" s="20" t="s">
        <v>349</v>
      </c>
      <c r="K57" s="18" t="n">
        <v>8.36152815</v>
      </c>
      <c r="L57" s="20" t="n">
        <v>1.02386104</v>
      </c>
      <c r="M57" s="18" t="n">
        <v>0</v>
      </c>
      <c r="N57" s="20" t="n">
        <v>0</v>
      </c>
      <c r="O57" s="18" t="n">
        <v>0</v>
      </c>
      <c r="P57" s="20" t="n">
        <v>0</v>
      </c>
      <c r="Q57" s="18" t="n">
        <v>1.64716414</v>
      </c>
      <c r="R57" s="20" t="n">
        <v>0.46108246</v>
      </c>
    </row>
    <row r="58" spans="1:18">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row>
    <row r="59" spans="1:18">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row>
    <row r="60" spans="1:18">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row>
    <row r="64" spans="1:18">
      <c r="A64" s="15" t="s">
        <v>406</v>
      </c>
      <c r="B64" s="17" t="n">
        <v>3634</v>
      </c>
      <c r="C64" s="18">
        <f>(3028.0/B64*100)</f>
        <v/>
      </c>
      <c r="D64" s="19" t="n">
        <v>606</v>
      </c>
      <c r="E64" s="18" t="n">
        <v>32.95830164</v>
      </c>
      <c r="F64" s="20" t="n">
        <v>1.92639137</v>
      </c>
      <c r="G64" s="18" t="n">
        <v>52.83683782</v>
      </c>
      <c r="H64" s="20" t="n">
        <v>2.05442574</v>
      </c>
      <c r="I64" s="18" t="s">
        <v>349</v>
      </c>
      <c r="J64" s="20" t="s">
        <v>349</v>
      </c>
      <c r="K64" s="18" t="n">
        <v>13.98822676</v>
      </c>
      <c r="L64" s="20" t="n">
        <v>1.42329021</v>
      </c>
      <c r="M64" s="18" t="n">
        <v>0</v>
      </c>
      <c r="N64" s="20" t="n">
        <v>0</v>
      </c>
      <c r="O64" s="18" t="n">
        <v>0</v>
      </c>
      <c r="P64" s="20" t="n">
        <v>0</v>
      </c>
      <c r="Q64" s="18" t="n">
        <v>0.21663378</v>
      </c>
      <c r="R64" s="20" t="n">
        <v>0.20806376</v>
      </c>
    </row>
    <row r="65" spans="1:18">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row>
    <row customHeight="1" ht="25" r="79" spans="1:18">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X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331</v>
      </c>
    </row>
    <row r="2" spans="1:24">
      <c r="A2" s="5" t="s">
        <v>604</v>
      </c>
    </row>
    <row customHeight="1" ht="30" r="4" spans="1:24">
      <c r="A4" s="6" t="n"/>
      <c r="B4" s="7" t="s">
        <v>333</v>
      </c>
      <c r="C4" s="7" t="s">
        <v>334</v>
      </c>
      <c r="D4" s="8" t="s">
        <v>333</v>
      </c>
      <c r="E4" s="9" t="s">
        <v>440</v>
      </c>
      <c r="F4" s="10" t="n"/>
      <c r="G4" s="9" t="s">
        <v>536</v>
      </c>
      <c r="H4" s="10" t="n"/>
      <c r="I4" s="9" t="s">
        <v>441</v>
      </c>
      <c r="J4" s="10" t="n"/>
      <c r="K4" s="9" t="s">
        <v>442</v>
      </c>
      <c r="L4" s="10" t="n"/>
      <c r="M4" s="9" t="s">
        <v>444</v>
      </c>
      <c r="N4" s="10" t="n"/>
      <c r="O4" s="9" t="s">
        <v>337</v>
      </c>
      <c r="P4" s="10" t="n"/>
      <c r="Q4" s="9" t="s">
        <v>338</v>
      </c>
      <c r="R4" s="10" t="n"/>
      <c r="S4" s="9" t="s">
        <v>339</v>
      </c>
      <c r="T4" s="10" t="n"/>
      <c r="U4" s="9" t="s">
        <v>340</v>
      </c>
      <c r="V4" s="10" t="n"/>
      <c r="W4" s="9" t="s">
        <v>341</v>
      </c>
      <c r="X4" s="10" t="n"/>
    </row>
    <row r="5" spans="1:24">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c r="U5" s="12" t="s">
        <v>345</v>
      </c>
      <c r="V5" s="11" t="s">
        <v>346</v>
      </c>
      <c r="W5" s="12" t="s">
        <v>345</v>
      </c>
      <c r="X5" s="11" t="s">
        <v>346</v>
      </c>
    </row>
    <row r="6" spans="1:24">
      <c r="A6" s="13" t="s">
        <v>347</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c r="U7" s="18" t="s">
        <v>349</v>
      </c>
      <c r="V7" s="20" t="s">
        <v>349</v>
      </c>
      <c r="W7" s="18" t="s">
        <v>349</v>
      </c>
      <c r="X7" s="20" t="s">
        <v>349</v>
      </c>
    </row>
    <row r="8" spans="1:24">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c r="U8" s="18" t="s">
        <v>349</v>
      </c>
      <c r="V8" s="20" t="s">
        <v>349</v>
      </c>
      <c r="W8" s="18" t="s">
        <v>349</v>
      </c>
      <c r="X8" s="20" t="s">
        <v>349</v>
      </c>
    </row>
    <row r="9" spans="1:24">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c r="U9" s="18" t="s">
        <v>349</v>
      </c>
      <c r="V9" s="20" t="s">
        <v>349</v>
      </c>
      <c r="W9" s="18" t="s">
        <v>349</v>
      </c>
      <c r="X9" s="20" t="s">
        <v>349</v>
      </c>
    </row>
    <row r="10" spans="1:24">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c r="U10" s="18" t="s">
        <v>349</v>
      </c>
      <c r="V10" s="20" t="s">
        <v>349</v>
      </c>
      <c r="W10" s="18" t="s">
        <v>349</v>
      </c>
      <c r="X10" s="20" t="s">
        <v>349</v>
      </c>
    </row>
    <row r="11" spans="1:24">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c r="U11" s="18" t="s">
        <v>349</v>
      </c>
      <c r="V11" s="20" t="s">
        <v>349</v>
      </c>
      <c r="W11" s="18" t="s">
        <v>349</v>
      </c>
      <c r="X11" s="20" t="s">
        <v>349</v>
      </c>
    </row>
    <row r="12" spans="1:24">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c r="U12" s="18" t="s">
        <v>349</v>
      </c>
      <c r="V12" s="20" t="s">
        <v>349</v>
      </c>
      <c r="W12" s="18" t="s">
        <v>349</v>
      </c>
      <c r="X12" s="20" t="s">
        <v>349</v>
      </c>
    </row>
    <row r="13" spans="1:24">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c r="U13" s="18" t="s">
        <v>349</v>
      </c>
      <c r="V13" s="20" t="s">
        <v>349</v>
      </c>
      <c r="W13" s="18" t="s">
        <v>349</v>
      </c>
      <c r="X13" s="20" t="s">
        <v>349</v>
      </c>
    </row>
    <row r="14" spans="1:24">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c r="U14" s="18" t="s">
        <v>349</v>
      </c>
      <c r="V14" s="20" t="s">
        <v>349</v>
      </c>
      <c r="W14" s="18" t="s">
        <v>349</v>
      </c>
      <c r="X14" s="20" t="s">
        <v>349</v>
      </c>
    </row>
    <row r="15" spans="1:24">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c r="U15" s="18" t="s">
        <v>349</v>
      </c>
      <c r="V15" s="20" t="s">
        <v>349</v>
      </c>
      <c r="W15" s="18" t="s">
        <v>349</v>
      </c>
      <c r="X15" s="20" t="s">
        <v>349</v>
      </c>
    </row>
    <row r="16" spans="1:24">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c r="U16" s="18" t="s">
        <v>349</v>
      </c>
      <c r="V16" s="20" t="s">
        <v>349</v>
      </c>
      <c r="W16" s="18" t="s">
        <v>349</v>
      </c>
      <c r="X16" s="20" t="s">
        <v>349</v>
      </c>
    </row>
    <row r="17" spans="1:24">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c r="U17" s="18" t="s">
        <v>349</v>
      </c>
      <c r="V17" s="20" t="s">
        <v>349</v>
      </c>
      <c r="W17" s="18" t="s">
        <v>349</v>
      </c>
      <c r="X17" s="20" t="s">
        <v>349</v>
      </c>
    </row>
    <row r="18" spans="1:24">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c r="U18" s="18" t="s">
        <v>349</v>
      </c>
      <c r="V18" s="20" t="s">
        <v>349</v>
      </c>
      <c r="W18" s="18" t="s">
        <v>349</v>
      </c>
      <c r="X18" s="20" t="s">
        <v>349</v>
      </c>
    </row>
    <row r="19" spans="1:24">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c r="U19" s="18" t="s">
        <v>349</v>
      </c>
      <c r="V19" s="20" t="s">
        <v>349</v>
      </c>
      <c r="W19" s="18" t="s">
        <v>349</v>
      </c>
      <c r="X19" s="20" t="s">
        <v>349</v>
      </c>
    </row>
    <row r="20" spans="1:24">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c r="U20" s="18" t="s">
        <v>349</v>
      </c>
      <c r="V20" s="20" t="s">
        <v>349</v>
      </c>
      <c r="W20" s="18" t="s">
        <v>349</v>
      </c>
      <c r="X20" s="20" t="s">
        <v>349</v>
      </c>
    </row>
    <row r="21" spans="1:24">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c r="U21" s="18" t="s">
        <v>349</v>
      </c>
      <c r="V21" s="20" t="s">
        <v>349</v>
      </c>
      <c r="W21" s="18" t="s">
        <v>349</v>
      </c>
      <c r="X21" s="20" t="s">
        <v>349</v>
      </c>
    </row>
    <row r="22" spans="1:24">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c r="U22" s="18" t="s">
        <v>349</v>
      </c>
      <c r="V22" s="20" t="s">
        <v>349</v>
      </c>
      <c r="W22" s="18" t="s">
        <v>349</v>
      </c>
      <c r="X22" s="20" t="s">
        <v>349</v>
      </c>
    </row>
    <row r="23" spans="1:24">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c r="U23" s="18" t="s">
        <v>349</v>
      </c>
      <c r="V23" s="20" t="s">
        <v>349</v>
      </c>
      <c r="W23" s="18" t="s">
        <v>349</v>
      </c>
      <c r="X23" s="20" t="s">
        <v>349</v>
      </c>
    </row>
    <row r="24" spans="1:24">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c r="U24" s="18" t="s">
        <v>349</v>
      </c>
      <c r="V24" s="20" t="s">
        <v>349</v>
      </c>
      <c r="W24" s="18" t="s">
        <v>349</v>
      </c>
      <c r="X24" s="20" t="s">
        <v>349</v>
      </c>
    </row>
    <row r="25" spans="1:24">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c r="U25" s="18" t="s">
        <v>349</v>
      </c>
      <c r="V25" s="20" t="s">
        <v>349</v>
      </c>
      <c r="W25" s="18" t="s">
        <v>349</v>
      </c>
      <c r="X25" s="20" t="s">
        <v>349</v>
      </c>
    </row>
    <row r="26" spans="1:24">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c r="U26" s="18" t="s">
        <v>349</v>
      </c>
      <c r="V26" s="20" t="s">
        <v>349</v>
      </c>
      <c r="W26" s="18" t="s">
        <v>349</v>
      </c>
      <c r="X26" s="20" t="s">
        <v>349</v>
      </c>
    </row>
    <row r="27" spans="1:24">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c r="U27" s="18" t="s">
        <v>349</v>
      </c>
      <c r="V27" s="20" t="s">
        <v>349</v>
      </c>
      <c r="W27" s="18" t="s">
        <v>349</v>
      </c>
      <c r="X27" s="20" t="s">
        <v>349</v>
      </c>
    </row>
    <row r="28" spans="1:24">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c r="U28" s="18" t="s">
        <v>349</v>
      </c>
      <c r="V28" s="20" t="s">
        <v>349</v>
      </c>
      <c r="W28" s="18" t="s">
        <v>349</v>
      </c>
      <c r="X28" s="20" t="s">
        <v>349</v>
      </c>
    </row>
    <row r="29" spans="1:24">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c r="U29" s="18" t="s">
        <v>349</v>
      </c>
      <c r="V29" s="20" t="s">
        <v>349</v>
      </c>
      <c r="W29" s="18" t="s">
        <v>349</v>
      </c>
      <c r="X29" s="20" t="s">
        <v>349</v>
      </c>
    </row>
    <row r="30" spans="1:24">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c r="U30" s="18" t="s">
        <v>349</v>
      </c>
      <c r="V30" s="20" t="s">
        <v>349</v>
      </c>
      <c r="W30" s="18" t="s">
        <v>349</v>
      </c>
      <c r="X30" s="20" t="s">
        <v>349</v>
      </c>
    </row>
    <row r="31" spans="1:24">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c r="U31" s="18" t="s">
        <v>349</v>
      </c>
      <c r="V31" s="20" t="s">
        <v>349</v>
      </c>
      <c r="W31" s="18" t="s">
        <v>349</v>
      </c>
      <c r="X31" s="20" t="s">
        <v>349</v>
      </c>
    </row>
    <row r="32" spans="1:24">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c r="U32" s="18" t="s">
        <v>349</v>
      </c>
      <c r="V32" s="20" t="s">
        <v>349</v>
      </c>
      <c r="W32" s="18" t="s">
        <v>349</v>
      </c>
      <c r="X32" s="20" t="s">
        <v>349</v>
      </c>
    </row>
    <row r="33" spans="1:24">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c r="U33" s="18" t="s">
        <v>349</v>
      </c>
      <c r="V33" s="20" t="s">
        <v>349</v>
      </c>
      <c r="W33" s="18" t="s">
        <v>349</v>
      </c>
      <c r="X33" s="20" t="s">
        <v>349</v>
      </c>
    </row>
    <row r="34" spans="1:24">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c r="U34" s="18" t="s">
        <v>349</v>
      </c>
      <c r="V34" s="20" t="s">
        <v>349</v>
      </c>
      <c r="W34" s="18" t="s">
        <v>349</v>
      </c>
      <c r="X34" s="20" t="s">
        <v>349</v>
      </c>
    </row>
    <row r="35" spans="1:24">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c r="U35" s="18" t="s">
        <v>349</v>
      </c>
      <c r="V35" s="20" t="s">
        <v>349</v>
      </c>
      <c r="W35" s="18" t="s">
        <v>349</v>
      </c>
      <c r="X35" s="20" t="s">
        <v>349</v>
      </c>
    </row>
    <row r="36" spans="1:24">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c r="U36" s="18" t="s">
        <v>349</v>
      </c>
      <c r="V36" s="20" t="s">
        <v>349</v>
      </c>
      <c r="W36" s="18" t="s">
        <v>349</v>
      </c>
      <c r="X36" s="20" t="s">
        <v>349</v>
      </c>
    </row>
    <row r="37" spans="1:24">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c r="U37" s="18" t="s">
        <v>349</v>
      </c>
      <c r="V37" s="20" t="s">
        <v>349</v>
      </c>
      <c r="W37" s="18" t="s">
        <v>349</v>
      </c>
      <c r="X37" s="20" t="s">
        <v>349</v>
      </c>
    </row>
    <row r="38" spans="1:24">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c r="U38" s="18" t="s">
        <v>349</v>
      </c>
      <c r="V38" s="20" t="s">
        <v>349</v>
      </c>
      <c r="W38" s="18" t="s">
        <v>349</v>
      </c>
      <c r="X38" s="20" t="s">
        <v>349</v>
      </c>
    </row>
    <row r="39" spans="1:24">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c r="U39" s="18" t="s">
        <v>349</v>
      </c>
      <c r="V39" s="20" t="s">
        <v>349</v>
      </c>
      <c r="W39" s="18" t="s">
        <v>349</v>
      </c>
      <c r="X39" s="20" t="s">
        <v>349</v>
      </c>
    </row>
    <row r="40" spans="1:24">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c r="U40" s="18" t="s">
        <v>349</v>
      </c>
      <c r="V40" s="20" t="s">
        <v>349</v>
      </c>
      <c r="W40" s="18" t="s">
        <v>349</v>
      </c>
      <c r="X40" s="20" t="s">
        <v>349</v>
      </c>
    </row>
    <row r="41" spans="1:24">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c r="U41" s="18" t="s">
        <v>349</v>
      </c>
      <c r="V41" s="20" t="s">
        <v>349</v>
      </c>
      <c r="W41" s="18" t="s">
        <v>349</v>
      </c>
      <c r="X41" s="20" t="s">
        <v>349</v>
      </c>
    </row>
    <row r="42" spans="1:24">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386</v>
      </c>
      <c r="B44" s="17" t="n">
        <v>5215</v>
      </c>
      <c r="C44" s="18">
        <f>(4329.0/B44*100)</f>
        <v/>
      </c>
      <c r="D44" s="19" t="n">
        <v>886</v>
      </c>
      <c r="E44" s="18" t="n">
        <v>34.58608422</v>
      </c>
      <c r="F44" s="20" t="n">
        <v>2.21119702</v>
      </c>
      <c r="G44" s="18" t="n">
        <v>0</v>
      </c>
      <c r="H44" s="20" t="n">
        <v>0</v>
      </c>
      <c r="I44" s="18" t="n">
        <v>9.22092078</v>
      </c>
      <c r="J44" s="20" t="n">
        <v>1.20265076</v>
      </c>
      <c r="K44" s="18" t="n">
        <v>2.63415828</v>
      </c>
      <c r="L44" s="20" t="n">
        <v>0.7080968399999999</v>
      </c>
      <c r="M44" s="18" t="n">
        <v>2.11329161</v>
      </c>
      <c r="N44" s="20" t="n">
        <v>0.66695657</v>
      </c>
      <c r="O44" s="18" t="s">
        <v>349</v>
      </c>
      <c r="P44" s="20" t="s">
        <v>349</v>
      </c>
      <c r="Q44" s="18" t="n">
        <v>51.44554512</v>
      </c>
      <c r="R44" s="20" t="n">
        <v>2.38089341</v>
      </c>
      <c r="S44" s="18" t="n">
        <v>0</v>
      </c>
      <c r="T44" s="20" t="n">
        <v>0</v>
      </c>
      <c r="U44" s="18" t="n">
        <v>0</v>
      </c>
      <c r="V44" s="20" t="n">
        <v>0</v>
      </c>
      <c r="W44" s="18" t="n">
        <v>0</v>
      </c>
      <c r="X44" s="20" t="n">
        <v>0</v>
      </c>
    </row>
    <row r="45" spans="1:24">
      <c r="A45" s="15" t="s">
        <v>387</v>
      </c>
      <c r="B45" s="17" t="n">
        <v>5519</v>
      </c>
      <c r="C45" s="18">
        <f>(5519.0/B45*100)</f>
        <v/>
      </c>
      <c r="D45" s="19" t="n">
        <v>0</v>
      </c>
      <c r="E45" s="18" t="s">
        <v>349</v>
      </c>
      <c r="F45" s="20" t="s">
        <v>349</v>
      </c>
      <c r="G45" s="18" t="s">
        <v>349</v>
      </c>
      <c r="H45" s="20" t="s">
        <v>349</v>
      </c>
      <c r="I45" s="18" t="s">
        <v>349</v>
      </c>
      <c r="J45" s="20" t="s">
        <v>349</v>
      </c>
      <c r="K45" s="18" t="s">
        <v>349</v>
      </c>
      <c r="L45" s="20" t="s">
        <v>349</v>
      </c>
      <c r="M45" s="18" t="s">
        <v>349</v>
      </c>
      <c r="N45" s="20" t="s">
        <v>349</v>
      </c>
      <c r="O45" s="18" t="s">
        <v>349</v>
      </c>
      <c r="P45" s="20" t="s">
        <v>349</v>
      </c>
      <c r="Q45" s="18" t="s">
        <v>349</v>
      </c>
      <c r="R45" s="20" t="s">
        <v>349</v>
      </c>
      <c r="S45" s="18" t="s">
        <v>349</v>
      </c>
      <c r="T45" s="20" t="s">
        <v>349</v>
      </c>
      <c r="U45" s="18" t="s">
        <v>349</v>
      </c>
      <c r="V45" s="20" t="s">
        <v>349</v>
      </c>
      <c r="W45" s="18" t="s">
        <v>349</v>
      </c>
      <c r="X45" s="20" t="s">
        <v>349</v>
      </c>
    </row>
    <row r="46" spans="1:24">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c r="U46" s="18" t="s">
        <v>349</v>
      </c>
      <c r="V46" s="20" t="s">
        <v>349</v>
      </c>
      <c r="W46" s="18" t="s">
        <v>349</v>
      </c>
      <c r="X46" s="20" t="s">
        <v>349</v>
      </c>
    </row>
    <row r="47" spans="1:24">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c r="U47" s="18" t="s">
        <v>349</v>
      </c>
      <c r="V47" s="20" t="s">
        <v>349</v>
      </c>
      <c r="W47" s="18" t="s">
        <v>349</v>
      </c>
      <c r="X47" s="20" t="s">
        <v>349</v>
      </c>
    </row>
    <row r="48" spans="1:24">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c r="U48" s="18" t="s">
        <v>349</v>
      </c>
      <c r="V48" s="20" t="s">
        <v>349</v>
      </c>
      <c r="W48" s="18" t="s">
        <v>349</v>
      </c>
      <c r="X48" s="20" t="s">
        <v>349</v>
      </c>
    </row>
    <row r="49" spans="1:24">
      <c r="A49" s="15" t="s">
        <v>391</v>
      </c>
      <c r="B49" s="17" t="n">
        <v>6349</v>
      </c>
      <c r="C49" s="18">
        <f>(6349.0/B49*100)</f>
        <v/>
      </c>
      <c r="D49" s="19" t="n">
        <v>0</v>
      </c>
      <c r="E49" s="18" t="s">
        <v>349</v>
      </c>
      <c r="F49" s="20" t="s">
        <v>349</v>
      </c>
      <c r="G49" s="18" t="s">
        <v>349</v>
      </c>
      <c r="H49" s="20" t="s">
        <v>349</v>
      </c>
      <c r="I49" s="18" t="s">
        <v>349</v>
      </c>
      <c r="J49" s="20" t="s">
        <v>349</v>
      </c>
      <c r="K49" s="18" t="s">
        <v>349</v>
      </c>
      <c r="L49" s="20" t="s">
        <v>349</v>
      </c>
      <c r="M49" s="18" t="s">
        <v>349</v>
      </c>
      <c r="N49" s="20" t="s">
        <v>349</v>
      </c>
      <c r="O49" s="18" t="s">
        <v>349</v>
      </c>
      <c r="P49" s="20" t="s">
        <v>349</v>
      </c>
      <c r="Q49" s="18" t="s">
        <v>349</v>
      </c>
      <c r="R49" s="20" t="s">
        <v>349</v>
      </c>
      <c r="S49" s="18" t="s">
        <v>349</v>
      </c>
      <c r="T49" s="20" t="s">
        <v>349</v>
      </c>
      <c r="U49" s="18" t="s">
        <v>349</v>
      </c>
      <c r="V49" s="20" t="s">
        <v>349</v>
      </c>
      <c r="W49" s="18" t="s">
        <v>349</v>
      </c>
      <c r="X49" s="20" t="s">
        <v>349</v>
      </c>
    </row>
    <row r="50" spans="1:24">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c r="U50" s="18" t="s">
        <v>349</v>
      </c>
      <c r="V50" s="20" t="s">
        <v>349</v>
      </c>
      <c r="W50" s="18" t="s">
        <v>349</v>
      </c>
      <c r="X50" s="20" t="s">
        <v>349</v>
      </c>
    </row>
    <row r="51" spans="1:24">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c r="U51" s="18" t="s">
        <v>349</v>
      </c>
      <c r="V51" s="20" t="s">
        <v>349</v>
      </c>
      <c r="W51" s="18" t="s">
        <v>349</v>
      </c>
      <c r="X51" s="20" t="s">
        <v>349</v>
      </c>
    </row>
    <row r="52" spans="1:24">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c r="U52" s="18" t="s">
        <v>349</v>
      </c>
      <c r="V52" s="20" t="s">
        <v>349</v>
      </c>
      <c r="W52" s="18" t="s">
        <v>349</v>
      </c>
      <c r="X52" s="20" t="s">
        <v>349</v>
      </c>
    </row>
    <row r="53" spans="1:24">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c r="U53" s="18" t="s">
        <v>349</v>
      </c>
      <c r="V53" s="20" t="s">
        <v>349</v>
      </c>
      <c r="W53" s="18" t="s">
        <v>349</v>
      </c>
      <c r="X53" s="20" t="s">
        <v>349</v>
      </c>
    </row>
    <row r="54" spans="1:24">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c r="U54" s="18" t="s">
        <v>349</v>
      </c>
      <c r="V54" s="20" t="s">
        <v>349</v>
      </c>
      <c r="W54" s="18" t="s">
        <v>349</v>
      </c>
      <c r="X54" s="20" t="s">
        <v>349</v>
      </c>
    </row>
    <row r="55" spans="1:24">
      <c r="A55" s="15" t="s">
        <v>397</v>
      </c>
      <c r="B55" s="17" t="n">
        <v>5316</v>
      </c>
      <c r="C55" s="18">
        <f>(4444.0/B55*100)</f>
        <v/>
      </c>
      <c r="D55" s="19" t="n">
        <v>872</v>
      </c>
      <c r="E55" s="18" t="n">
        <v>42.93726793</v>
      </c>
      <c r="F55" s="20" t="n">
        <v>1.86165198</v>
      </c>
      <c r="G55" s="18" t="n">
        <v>0</v>
      </c>
      <c r="H55" s="20" t="n">
        <v>0</v>
      </c>
      <c r="I55" s="18" t="n">
        <v>2.6533468</v>
      </c>
      <c r="J55" s="20" t="n">
        <v>0.64555933</v>
      </c>
      <c r="K55" s="18" t="n">
        <v>1.3689159</v>
      </c>
      <c r="L55" s="20" t="n">
        <v>0.4112779</v>
      </c>
      <c r="M55" s="18" t="n">
        <v>2.07752902</v>
      </c>
      <c r="N55" s="20" t="n">
        <v>0.47680034</v>
      </c>
      <c r="O55" s="18" t="s">
        <v>349</v>
      </c>
      <c r="P55" s="20" t="s">
        <v>349</v>
      </c>
      <c r="Q55" s="18" t="n">
        <v>50.96294034</v>
      </c>
      <c r="R55" s="20" t="n">
        <v>1.95647751</v>
      </c>
      <c r="S55" s="18" t="n">
        <v>0</v>
      </c>
      <c r="T55" s="20" t="n">
        <v>0</v>
      </c>
      <c r="U55" s="18" t="n">
        <v>0</v>
      </c>
      <c r="V55" s="20" t="n">
        <v>0</v>
      </c>
      <c r="W55" s="18" t="n">
        <v>0</v>
      </c>
      <c r="X55" s="20" t="n">
        <v>0</v>
      </c>
    </row>
    <row r="56" spans="1:24">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c r="U56" s="18" t="s">
        <v>349</v>
      </c>
      <c r="V56" s="20" t="s">
        <v>349</v>
      </c>
      <c r="W56" s="18" t="s">
        <v>349</v>
      </c>
      <c r="X56" s="20" t="s">
        <v>349</v>
      </c>
    </row>
    <row r="57" spans="1:24">
      <c r="A57" s="15" t="s">
        <v>399</v>
      </c>
      <c r="B57" s="17" t="n">
        <v>6513</v>
      </c>
      <c r="C57" s="18">
        <f>(5415.0/B57*100)</f>
        <v/>
      </c>
      <c r="D57" s="19" t="n">
        <v>1098</v>
      </c>
      <c r="E57" s="18" t="n">
        <v>80.83723898</v>
      </c>
      <c r="F57" s="20" t="n">
        <v>1.68262665</v>
      </c>
      <c r="G57" s="18" t="n">
        <v>0</v>
      </c>
      <c r="H57" s="20" t="n">
        <v>0</v>
      </c>
      <c r="I57" s="18" t="n">
        <v>0.25019653</v>
      </c>
      <c r="J57" s="20" t="n">
        <v>0.15443086</v>
      </c>
      <c r="K57" s="18" t="n">
        <v>1.28210165</v>
      </c>
      <c r="L57" s="20" t="n">
        <v>0.35773422</v>
      </c>
      <c r="M57" s="18" t="n">
        <v>0.46928022</v>
      </c>
      <c r="N57" s="20" t="n">
        <v>0.15246799</v>
      </c>
      <c r="O57" s="18" t="s">
        <v>349</v>
      </c>
      <c r="P57" s="20" t="s">
        <v>349</v>
      </c>
      <c r="Q57" s="18" t="n">
        <v>17.16118262</v>
      </c>
      <c r="R57" s="20" t="n">
        <v>1.63064967</v>
      </c>
      <c r="S57" s="18" t="n">
        <v>0</v>
      </c>
      <c r="T57" s="20" t="n">
        <v>0</v>
      </c>
      <c r="U57" s="18" t="n">
        <v>0</v>
      </c>
      <c r="V57" s="20" t="n">
        <v>0</v>
      </c>
      <c r="W57" s="18" t="n">
        <v>0</v>
      </c>
      <c r="X57" s="20" t="n">
        <v>0</v>
      </c>
    </row>
    <row r="58" spans="1:24">
      <c r="A58" s="15" t="s">
        <v>400</v>
      </c>
      <c r="B58" s="17" t="n">
        <v>7267</v>
      </c>
      <c r="C58" s="18">
        <f>(7267.0/B58*100)</f>
        <v/>
      </c>
      <c r="D58" s="19" t="n">
        <v>0</v>
      </c>
      <c r="E58" s="18" t="s">
        <v>349</v>
      </c>
      <c r="F58" s="20" t="s">
        <v>349</v>
      </c>
      <c r="G58" s="18" t="s">
        <v>349</v>
      </c>
      <c r="H58" s="20" t="s">
        <v>349</v>
      </c>
      <c r="I58" s="18" t="s">
        <v>349</v>
      </c>
      <c r="J58" s="20" t="s">
        <v>349</v>
      </c>
      <c r="K58" s="18" t="s">
        <v>349</v>
      </c>
      <c r="L58" s="20" t="s">
        <v>349</v>
      </c>
      <c r="M58" s="18" t="s">
        <v>349</v>
      </c>
      <c r="N58" s="20" t="s">
        <v>349</v>
      </c>
      <c r="O58" s="18" t="s">
        <v>349</v>
      </c>
      <c r="P58" s="20" t="s">
        <v>349</v>
      </c>
      <c r="Q58" s="18" t="s">
        <v>349</v>
      </c>
      <c r="R58" s="20" t="s">
        <v>349</v>
      </c>
      <c r="S58" s="18" t="s">
        <v>349</v>
      </c>
      <c r="T58" s="20" t="s">
        <v>349</v>
      </c>
      <c r="U58" s="18" t="s">
        <v>349</v>
      </c>
      <c r="V58" s="20" t="s">
        <v>349</v>
      </c>
      <c r="W58" s="18" t="s">
        <v>349</v>
      </c>
      <c r="X58" s="20" t="s">
        <v>349</v>
      </c>
    </row>
    <row r="59" spans="1:24">
      <c r="A59" s="15" t="s">
        <v>401</v>
      </c>
      <c r="B59" s="17" t="n">
        <v>4826</v>
      </c>
      <c r="C59" s="18">
        <f>(4826.0/B59*100)</f>
        <v/>
      </c>
      <c r="D59" s="19" t="n">
        <v>0</v>
      </c>
      <c r="E59" s="18" t="s">
        <v>349</v>
      </c>
      <c r="F59" s="20" t="s">
        <v>349</v>
      </c>
      <c r="G59" s="18" t="s">
        <v>349</v>
      </c>
      <c r="H59" s="20" t="s">
        <v>349</v>
      </c>
      <c r="I59" s="18" t="s">
        <v>349</v>
      </c>
      <c r="J59" s="20" t="s">
        <v>349</v>
      </c>
      <c r="K59" s="18" t="s">
        <v>349</v>
      </c>
      <c r="L59" s="20" t="s">
        <v>349</v>
      </c>
      <c r="M59" s="18" t="s">
        <v>349</v>
      </c>
      <c r="N59" s="20" t="s">
        <v>349</v>
      </c>
      <c r="O59" s="18" t="s">
        <v>349</v>
      </c>
      <c r="P59" s="20" t="s">
        <v>349</v>
      </c>
      <c r="Q59" s="18" t="s">
        <v>349</v>
      </c>
      <c r="R59" s="20" t="s">
        <v>349</v>
      </c>
      <c r="S59" s="18" t="s">
        <v>349</v>
      </c>
      <c r="T59" s="20" t="s">
        <v>349</v>
      </c>
      <c r="U59" s="18" t="s">
        <v>349</v>
      </c>
      <c r="V59" s="20" t="s">
        <v>349</v>
      </c>
      <c r="W59" s="18" t="s">
        <v>349</v>
      </c>
      <c r="X59" s="20" t="s">
        <v>349</v>
      </c>
    </row>
    <row r="60" spans="1:24">
      <c r="A60" s="15" t="s">
        <v>402</v>
      </c>
      <c r="B60" s="17" t="n">
        <v>4546</v>
      </c>
      <c r="C60" s="18">
        <f>(4546.0/B60*100)</f>
        <v/>
      </c>
      <c r="D60" s="19" t="n">
        <v>0</v>
      </c>
      <c r="E60" s="18" t="s">
        <v>349</v>
      </c>
      <c r="F60" s="20" t="s">
        <v>349</v>
      </c>
      <c r="G60" s="18" t="s">
        <v>349</v>
      </c>
      <c r="H60" s="20" t="s">
        <v>349</v>
      </c>
      <c r="I60" s="18" t="s">
        <v>349</v>
      </c>
      <c r="J60" s="20" t="s">
        <v>349</v>
      </c>
      <c r="K60" s="18" t="s">
        <v>349</v>
      </c>
      <c r="L60" s="20" t="s">
        <v>349</v>
      </c>
      <c r="M60" s="18" t="s">
        <v>349</v>
      </c>
      <c r="N60" s="20" t="s">
        <v>349</v>
      </c>
      <c r="O60" s="18" t="s">
        <v>349</v>
      </c>
      <c r="P60" s="20" t="s">
        <v>349</v>
      </c>
      <c r="Q60" s="18" t="s">
        <v>349</v>
      </c>
      <c r="R60" s="20" t="s">
        <v>349</v>
      </c>
      <c r="S60" s="18" t="s">
        <v>349</v>
      </c>
      <c r="T60" s="20" t="s">
        <v>349</v>
      </c>
      <c r="U60" s="18" t="s">
        <v>349</v>
      </c>
      <c r="V60" s="20" t="s">
        <v>349</v>
      </c>
      <c r="W60" s="18" t="s">
        <v>349</v>
      </c>
      <c r="X60" s="20" t="s">
        <v>349</v>
      </c>
    </row>
    <row r="61" spans="1:24">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c r="U61" s="18" t="s">
        <v>349</v>
      </c>
      <c r="V61" s="20" t="s">
        <v>349</v>
      </c>
      <c r="W61" s="18" t="s">
        <v>349</v>
      </c>
      <c r="X61" s="20" t="s">
        <v>349</v>
      </c>
    </row>
    <row r="62" spans="1:24">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c r="U62" s="18" t="s">
        <v>349</v>
      </c>
      <c r="V62" s="20" t="s">
        <v>349</v>
      </c>
      <c r="W62" s="18" t="s">
        <v>349</v>
      </c>
      <c r="X62" s="20" t="s">
        <v>349</v>
      </c>
    </row>
    <row r="63" spans="1:24">
      <c r="A63" s="15" t="s">
        <v>405</v>
      </c>
      <c r="B63" s="17" t="n">
        <v>5324</v>
      </c>
      <c r="C63" s="18">
        <f>(5324.0/B63*100)</f>
        <v/>
      </c>
      <c r="D63" s="19" t="n">
        <v>0</v>
      </c>
      <c r="E63" s="18" t="s">
        <v>349</v>
      </c>
      <c r="F63" s="20" t="s">
        <v>349</v>
      </c>
      <c r="G63" s="18" t="s">
        <v>349</v>
      </c>
      <c r="H63" s="20" t="s">
        <v>349</v>
      </c>
      <c r="I63" s="18" t="s">
        <v>349</v>
      </c>
      <c r="J63" s="20" t="s">
        <v>349</v>
      </c>
      <c r="K63" s="18" t="s">
        <v>349</v>
      </c>
      <c r="L63" s="20" t="s">
        <v>349</v>
      </c>
      <c r="M63" s="18" t="s">
        <v>349</v>
      </c>
      <c r="N63" s="20" t="s">
        <v>349</v>
      </c>
      <c r="O63" s="18" t="s">
        <v>349</v>
      </c>
      <c r="P63" s="20" t="s">
        <v>349</v>
      </c>
      <c r="Q63" s="18" t="s">
        <v>349</v>
      </c>
      <c r="R63" s="20" t="s">
        <v>349</v>
      </c>
      <c r="S63" s="18" t="s">
        <v>349</v>
      </c>
      <c r="T63" s="20" t="s">
        <v>349</v>
      </c>
      <c r="U63" s="18" t="s">
        <v>349</v>
      </c>
      <c r="V63" s="20" t="s">
        <v>349</v>
      </c>
      <c r="W63" s="18" t="s">
        <v>349</v>
      </c>
      <c r="X63" s="20" t="s">
        <v>349</v>
      </c>
    </row>
    <row r="64" spans="1:24">
      <c r="A64" s="15" t="s">
        <v>406</v>
      </c>
      <c r="B64" s="17" t="n">
        <v>3634</v>
      </c>
      <c r="C64" s="18">
        <f>(3028.0/B64*100)</f>
        <v/>
      </c>
      <c r="D64" s="19" t="n">
        <v>606</v>
      </c>
      <c r="E64" s="18" t="n">
        <v>47.68163903</v>
      </c>
      <c r="F64" s="20" t="n">
        <v>2.14836189</v>
      </c>
      <c r="G64" s="18" t="n">
        <v>0</v>
      </c>
      <c r="H64" s="20" t="n">
        <v>0</v>
      </c>
      <c r="I64" s="18" t="n">
        <v>0.62453104</v>
      </c>
      <c r="J64" s="20" t="n">
        <v>0.31021328</v>
      </c>
      <c r="K64" s="18" t="n">
        <v>8.019768239999999</v>
      </c>
      <c r="L64" s="20" t="n">
        <v>1.06813741</v>
      </c>
      <c r="M64" s="18" t="n">
        <v>12.33916556</v>
      </c>
      <c r="N64" s="20" t="n">
        <v>1.41309986</v>
      </c>
      <c r="O64" s="18" t="s">
        <v>349</v>
      </c>
      <c r="P64" s="20" t="s">
        <v>349</v>
      </c>
      <c r="Q64" s="18" t="n">
        <v>31.33489612</v>
      </c>
      <c r="R64" s="20" t="n">
        <v>1.8503486</v>
      </c>
      <c r="S64" s="18" t="n">
        <v>0</v>
      </c>
      <c r="T64" s="20" t="n">
        <v>0</v>
      </c>
      <c r="U64" s="18" t="n">
        <v>0</v>
      </c>
      <c r="V64" s="20" t="n">
        <v>0</v>
      </c>
      <c r="W64" s="18" t="n">
        <v>0</v>
      </c>
      <c r="X64" s="20" t="n">
        <v>0</v>
      </c>
    </row>
    <row r="65" spans="1:24">
      <c r="A65" s="15" t="s">
        <v>407</v>
      </c>
      <c r="B65" s="17" t="n">
        <v>5325</v>
      </c>
      <c r="C65" s="18">
        <f>(5325.0/B65*100)</f>
        <v/>
      </c>
      <c r="D65" s="19" t="n">
        <v>0</v>
      </c>
      <c r="E65" s="18" t="s">
        <v>349</v>
      </c>
      <c r="F65" s="20" t="s">
        <v>349</v>
      </c>
      <c r="G65" s="18" t="s">
        <v>349</v>
      </c>
      <c r="H65" s="20" t="s">
        <v>349</v>
      </c>
      <c r="I65" s="18" t="s">
        <v>349</v>
      </c>
      <c r="J65" s="20" t="s">
        <v>349</v>
      </c>
      <c r="K65" s="18" t="s">
        <v>349</v>
      </c>
      <c r="L65" s="20" t="s">
        <v>349</v>
      </c>
      <c r="M65" s="18" t="s">
        <v>349</v>
      </c>
      <c r="N65" s="20" t="s">
        <v>349</v>
      </c>
      <c r="O65" s="18" t="s">
        <v>349</v>
      </c>
      <c r="P65" s="20" t="s">
        <v>349</v>
      </c>
      <c r="Q65" s="18" t="s">
        <v>349</v>
      </c>
      <c r="R65" s="20" t="s">
        <v>349</v>
      </c>
      <c r="S65" s="18" t="s">
        <v>349</v>
      </c>
      <c r="T65" s="20" t="s">
        <v>349</v>
      </c>
      <c r="U65" s="18" t="s">
        <v>349</v>
      </c>
      <c r="V65" s="20" t="s">
        <v>349</v>
      </c>
      <c r="W65" s="18" t="s">
        <v>349</v>
      </c>
      <c r="X65" s="20" t="s">
        <v>349</v>
      </c>
    </row>
    <row r="66" spans="1:24">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c r="U66" s="18" t="s">
        <v>349</v>
      </c>
      <c r="V66" s="20" t="s">
        <v>349</v>
      </c>
      <c r="W66" s="18" t="s">
        <v>349</v>
      </c>
      <c r="X66" s="20" t="s">
        <v>349</v>
      </c>
    </row>
    <row r="67" spans="1:24">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c r="U67" s="18" t="s">
        <v>349</v>
      </c>
      <c r="V67" s="20" t="s">
        <v>349</v>
      </c>
      <c r="W67" s="18" t="s">
        <v>349</v>
      </c>
      <c r="X67" s="20" t="s">
        <v>349</v>
      </c>
    </row>
    <row r="68" spans="1:24">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c r="U68" s="18" t="s">
        <v>349</v>
      </c>
      <c r="V68" s="20" t="s">
        <v>349</v>
      </c>
      <c r="W68" s="18" t="s">
        <v>349</v>
      </c>
      <c r="X68" s="20" t="s">
        <v>349</v>
      </c>
    </row>
    <row r="69" spans="1:24">
      <c r="A69" s="15" t="s">
        <v>411</v>
      </c>
      <c r="B69" s="17" t="n">
        <v>4876</v>
      </c>
      <c r="C69" s="18">
        <f>(4876.0/B69*100)</f>
        <v/>
      </c>
      <c r="D69" s="19" t="n">
        <v>0</v>
      </c>
      <c r="E69" s="18" t="s">
        <v>349</v>
      </c>
      <c r="F69" s="20" t="s">
        <v>349</v>
      </c>
      <c r="G69" s="18" t="s">
        <v>349</v>
      </c>
      <c r="H69" s="20" t="s">
        <v>349</v>
      </c>
      <c r="I69" s="18" t="s">
        <v>349</v>
      </c>
      <c r="J69" s="20" t="s">
        <v>349</v>
      </c>
      <c r="K69" s="18" t="s">
        <v>349</v>
      </c>
      <c r="L69" s="20" t="s">
        <v>349</v>
      </c>
      <c r="M69" s="18" t="s">
        <v>349</v>
      </c>
      <c r="N69" s="20" t="s">
        <v>349</v>
      </c>
      <c r="O69" s="18" t="s">
        <v>349</v>
      </c>
      <c r="P69" s="20" t="s">
        <v>349</v>
      </c>
      <c r="Q69" s="18" t="s">
        <v>349</v>
      </c>
      <c r="R69" s="20" t="s">
        <v>349</v>
      </c>
      <c r="S69" s="18" t="s">
        <v>349</v>
      </c>
      <c r="T69" s="20" t="s">
        <v>349</v>
      </c>
      <c r="U69" s="18" t="s">
        <v>349</v>
      </c>
      <c r="V69" s="20" t="s">
        <v>349</v>
      </c>
      <c r="W69" s="18" t="s">
        <v>349</v>
      </c>
      <c r="X69" s="20" t="s">
        <v>349</v>
      </c>
    </row>
    <row r="70" spans="1:24">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c r="U70" s="18" t="s">
        <v>349</v>
      </c>
      <c r="V70" s="20" t="s">
        <v>349</v>
      </c>
      <c r="W70" s="18" t="s">
        <v>349</v>
      </c>
      <c r="X70" s="20" t="s">
        <v>349</v>
      </c>
    </row>
    <row r="71" spans="1:24">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c r="U71" s="18" t="s">
        <v>349</v>
      </c>
      <c r="V71" s="20" t="s">
        <v>349</v>
      </c>
      <c r="W71" s="18" t="s">
        <v>349</v>
      </c>
      <c r="X71" s="20" t="s">
        <v>349</v>
      </c>
    </row>
    <row r="72" spans="1:24">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c r="U72" s="18" t="s">
        <v>349</v>
      </c>
      <c r="V72" s="20" t="s">
        <v>349</v>
      </c>
      <c r="W72" s="18" t="s">
        <v>349</v>
      </c>
      <c r="X72" s="20" t="s">
        <v>349</v>
      </c>
    </row>
    <row r="73" spans="1:24">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c r="U73" s="18" t="s">
        <v>349</v>
      </c>
      <c r="V73" s="20" t="s">
        <v>349</v>
      </c>
      <c r="W73" s="18" t="s">
        <v>349</v>
      </c>
      <c r="X73" s="20" t="s">
        <v>349</v>
      </c>
    </row>
    <row r="74" spans="1:24">
      <c r="A74" s="15" t="s">
        <v>416</v>
      </c>
      <c r="B74" s="17" t="n">
        <v>4692</v>
      </c>
      <c r="C74" s="18">
        <f>(4692.0/B74*100)</f>
        <v/>
      </c>
      <c r="D74" s="19" t="n">
        <v>0</v>
      </c>
      <c r="E74" s="18" t="s">
        <v>349</v>
      </c>
      <c r="F74" s="20" t="s">
        <v>349</v>
      </c>
      <c r="G74" s="18" t="s">
        <v>349</v>
      </c>
      <c r="H74" s="20" t="s">
        <v>349</v>
      </c>
      <c r="I74" s="18" t="s">
        <v>349</v>
      </c>
      <c r="J74" s="20" t="s">
        <v>349</v>
      </c>
      <c r="K74" s="18" t="s">
        <v>349</v>
      </c>
      <c r="L74" s="20" t="s">
        <v>349</v>
      </c>
      <c r="M74" s="18" t="s">
        <v>349</v>
      </c>
      <c r="N74" s="20" t="s">
        <v>349</v>
      </c>
      <c r="O74" s="18" t="s">
        <v>349</v>
      </c>
      <c r="P74" s="20" t="s">
        <v>349</v>
      </c>
      <c r="Q74" s="18" t="s">
        <v>349</v>
      </c>
      <c r="R74" s="20" t="s">
        <v>349</v>
      </c>
      <c r="S74" s="18" t="s">
        <v>349</v>
      </c>
      <c r="T74" s="20" t="s">
        <v>349</v>
      </c>
      <c r="U74" s="18" t="s">
        <v>349</v>
      </c>
      <c r="V74" s="20" t="s">
        <v>349</v>
      </c>
      <c r="W74" s="18" t="s">
        <v>349</v>
      </c>
      <c r="X74" s="20" t="s">
        <v>349</v>
      </c>
    </row>
    <row r="75" spans="1:24">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c r="U75" s="18" t="s">
        <v>349</v>
      </c>
      <c r="V75" s="20" t="s">
        <v>349</v>
      </c>
      <c r="W75" s="18" t="s">
        <v>349</v>
      </c>
      <c r="X75" s="20" t="s">
        <v>349</v>
      </c>
    </row>
    <row r="76" spans="1:24">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c r="U76" s="18" t="s">
        <v>349</v>
      </c>
      <c r="V76" s="20" t="s">
        <v>349</v>
      </c>
      <c r="W76" s="18" t="s">
        <v>349</v>
      </c>
      <c r="X76" s="20" t="s">
        <v>349</v>
      </c>
    </row>
    <row r="77" spans="1:24">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c r="U77" s="18" t="s">
        <v>349</v>
      </c>
      <c r="V77" s="20" t="s">
        <v>349</v>
      </c>
      <c r="W77" s="18" t="s">
        <v>349</v>
      </c>
      <c r="X77" s="20" t="s">
        <v>349</v>
      </c>
    </row>
    <row r="78" spans="1:24">
      <c r="A78" s="15" t="s">
        <v>420</v>
      </c>
      <c r="B78" s="17" t="n">
        <v>5826</v>
      </c>
      <c r="C78" s="18">
        <f>(5826.0/B78*100)</f>
        <v/>
      </c>
      <c r="D78" s="19" t="n">
        <v>0</v>
      </c>
      <c r="E78" s="18" t="s">
        <v>349</v>
      </c>
      <c r="F78" s="20" t="s">
        <v>349</v>
      </c>
      <c r="G78" s="18" t="s">
        <v>349</v>
      </c>
      <c r="H78" s="20" t="s">
        <v>349</v>
      </c>
      <c r="I78" s="18" t="s">
        <v>349</v>
      </c>
      <c r="J78" s="20" t="s">
        <v>349</v>
      </c>
      <c r="K78" s="18" t="s">
        <v>349</v>
      </c>
      <c r="L78" s="20" t="s">
        <v>349</v>
      </c>
      <c r="M78" s="18" t="s">
        <v>349</v>
      </c>
      <c r="N78" s="20" t="s">
        <v>349</v>
      </c>
      <c r="O78" s="18" t="s">
        <v>349</v>
      </c>
      <c r="P78" s="20" t="s">
        <v>349</v>
      </c>
      <c r="Q78" s="18" t="s">
        <v>349</v>
      </c>
      <c r="R78" s="20" t="s">
        <v>349</v>
      </c>
      <c r="S78" s="18" t="s">
        <v>349</v>
      </c>
      <c r="T78" s="20" t="s">
        <v>349</v>
      </c>
      <c r="U78" s="18" t="s">
        <v>349</v>
      </c>
      <c r="V78" s="20" t="s">
        <v>349</v>
      </c>
      <c r="W78" s="18" t="s">
        <v>349</v>
      </c>
      <c r="X78" s="20" t="s">
        <v>349</v>
      </c>
    </row>
    <row customHeight="1" ht="25" r="79" spans="1:24">
      <c r="A79" s="15" t="s">
        <v>421</v>
      </c>
      <c r="B79" s="17" t="n">
        <v>1657</v>
      </c>
      <c r="C79" s="18">
        <f>(1657.0/B79*100)</f>
        <v/>
      </c>
      <c r="D79" s="19" t="n">
        <v>0</v>
      </c>
      <c r="E79" s="18" t="s">
        <v>349</v>
      </c>
      <c r="F79" s="20" t="s">
        <v>349</v>
      </c>
      <c r="G79" s="18" t="s">
        <v>349</v>
      </c>
      <c r="H79" s="20" t="s">
        <v>349</v>
      </c>
      <c r="I79" s="18" t="s">
        <v>349</v>
      </c>
      <c r="J79" s="20" t="s">
        <v>349</v>
      </c>
      <c r="K79" s="18" t="s">
        <v>349</v>
      </c>
      <c r="L79" s="20" t="s">
        <v>349</v>
      </c>
      <c r="M79" s="18" t="s">
        <v>349</v>
      </c>
      <c r="N79" s="20" t="s">
        <v>349</v>
      </c>
      <c r="O79" s="18" t="s">
        <v>349</v>
      </c>
      <c r="P79" s="20" t="s">
        <v>349</v>
      </c>
      <c r="Q79" s="18" t="s">
        <v>349</v>
      </c>
      <c r="R79" s="20" t="s">
        <v>349</v>
      </c>
      <c r="S79" s="18" t="s">
        <v>349</v>
      </c>
      <c r="T79" s="20" t="s">
        <v>349</v>
      </c>
      <c r="U79" s="18" t="s">
        <v>349</v>
      </c>
      <c r="V79" s="20" t="s">
        <v>349</v>
      </c>
      <c r="W79" s="18" t="s">
        <v>349</v>
      </c>
      <c r="X79" s="20" t="s">
        <v>349</v>
      </c>
    </row>
    <row r="80" spans="1:24">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c r="U80" s="18" t="s">
        <v>349</v>
      </c>
      <c r="V80" s="20" t="s">
        <v>349</v>
      </c>
      <c r="W80" s="18" t="s">
        <v>349</v>
      </c>
      <c r="X80" s="20" t="s">
        <v>349</v>
      </c>
    </row>
    <row r="81" spans="1:24">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c r="U81" s="18" t="s">
        <v>349</v>
      </c>
      <c r="V81" s="20" t="s">
        <v>349</v>
      </c>
      <c r="W81" s="18" t="s">
        <v>349</v>
      </c>
      <c r="X81" s="20" t="s">
        <v>349</v>
      </c>
    </row>
    <row r="82" spans="1:24">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c r="U82" s="22" t="s">
        <v>424</v>
      </c>
      <c r="V82" s="22" t="s">
        <v>424</v>
      </c>
      <c r="W82" s="22" t="s">
        <v>424</v>
      </c>
      <c r="X82" s="22" t="s">
        <v>424</v>
      </c>
    </row>
    <row r="83" spans="1:24">
      <c r="A83" s="3" t="s">
        <v>425</v>
      </c>
    </row>
    <row r="84" spans="1:24">
      <c r="A84" s="23" t="s">
        <v>426</v>
      </c>
    </row>
    <row r="85" spans="1:24">
      <c r="A85" s="23" t="s">
        <v>427</v>
      </c>
    </row>
    <row customHeight="1" ht="30" r="86" spans="1:24">
      <c r="A86" s="23" t="s">
        <v>428</v>
      </c>
    </row>
    <row customHeight="1" ht="30" r="87" spans="1:24">
      <c r="A87" s="23" t="s">
        <v>424</v>
      </c>
    </row>
    <row customHeight="1" ht="30" r="88" spans="1:24">
      <c r="A88" s="23" t="s">
        <v>429</v>
      </c>
    </row>
    <row customHeight="1" ht="30" r="89" spans="1:24">
      <c r="A89" s="23" t="s">
        <v>430</v>
      </c>
    </row>
    <row customHeight="1" ht="30" r="90" spans="1:24">
      <c r="A90" s="23" t="s">
        <v>431</v>
      </c>
    </row>
    <row customHeight="1" ht="30" r="91" spans="1:24">
      <c r="A91" s="23" t="s">
        <v>432</v>
      </c>
    </row>
    <row customHeight="1" ht="30" r="92" spans="1:24">
      <c r="A92" s="23" t="s">
        <v>433</v>
      </c>
    </row>
    <row customHeight="1" ht="30" r="93" spans="1:24">
      <c r="A93" s="23" t="s">
        <v>434</v>
      </c>
    </row>
    <row customHeight="1" ht="30" r="94" spans="1:24">
      <c r="A94" s="23" t="s">
        <v>435</v>
      </c>
    </row>
    <row customHeight="1" ht="30" r="95" spans="1:24">
      <c r="A95" s="23" t="s">
        <v>436</v>
      </c>
    </row>
    <row customHeight="1" ht="30" r="96" spans="1:24">
      <c r="A96" s="23" t="s">
        <v>437</v>
      </c>
    </row>
  </sheetData>
  <mergeCells count="25">
    <mergeCell ref="E4:F4"/>
    <mergeCell ref="G4:H4"/>
    <mergeCell ref="I4:J4"/>
    <mergeCell ref="K4:L4"/>
    <mergeCell ref="M4:N4"/>
    <mergeCell ref="O4:P4"/>
    <mergeCell ref="Q4:R4"/>
    <mergeCell ref="S4:T4"/>
    <mergeCell ref="U4:V4"/>
    <mergeCell ref="W4:X4"/>
    <mergeCell ref="A1:X1"/>
    <mergeCell ref="A2:X2"/>
    <mergeCell ref="A84:X84"/>
    <mergeCell ref="A85:X85"/>
    <mergeCell ref="A86:X86"/>
    <mergeCell ref="A87:X87"/>
    <mergeCell ref="A88:X88"/>
    <mergeCell ref="A89:X89"/>
    <mergeCell ref="A90:X90"/>
    <mergeCell ref="A91:X91"/>
    <mergeCell ref="A92:X92"/>
    <mergeCell ref="A93:X93"/>
    <mergeCell ref="A94:X94"/>
    <mergeCell ref="A95:X95"/>
    <mergeCell ref="A96:X96"/>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605</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38.87144538</v>
      </c>
      <c r="F45" s="20" t="n">
        <v>1.69605681</v>
      </c>
      <c r="G45" s="18" t="n">
        <v>54.0454584</v>
      </c>
      <c r="H45" s="20" t="n">
        <v>1.79647685</v>
      </c>
      <c r="I45" s="18" t="s">
        <v>349</v>
      </c>
      <c r="J45" s="20" t="s">
        <v>349</v>
      </c>
      <c r="K45" s="18" t="n">
        <v>2.40569986</v>
      </c>
      <c r="L45" s="20" t="n">
        <v>0.49836188</v>
      </c>
      <c r="M45" s="18" t="n">
        <v>0.63048755</v>
      </c>
      <c r="N45" s="20" t="n">
        <v>0.26808586</v>
      </c>
      <c r="O45" s="18" t="n">
        <v>0.89915809</v>
      </c>
      <c r="P45" s="20" t="n">
        <v>0.29022946</v>
      </c>
      <c r="Q45" s="18" t="n">
        <v>3.14775071</v>
      </c>
      <c r="R45" s="20" t="n">
        <v>0.55294249</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10.41771428</v>
      </c>
      <c r="F49" s="20" t="n">
        <v>1.14707922</v>
      </c>
      <c r="G49" s="18" t="n">
        <v>85.47230896000001</v>
      </c>
      <c r="H49" s="20" t="n">
        <v>1.2169546</v>
      </c>
      <c r="I49" s="18" t="s">
        <v>349</v>
      </c>
      <c r="J49" s="20" t="s">
        <v>349</v>
      </c>
      <c r="K49" s="18" t="n">
        <v>2.32664174</v>
      </c>
      <c r="L49" s="20" t="n">
        <v>0.5014886</v>
      </c>
      <c r="M49" s="18" t="n">
        <v>0.26597032</v>
      </c>
      <c r="N49" s="20" t="n">
        <v>0.18273064</v>
      </c>
      <c r="O49" s="18" t="n">
        <v>0.65601613</v>
      </c>
      <c r="P49" s="20" t="n">
        <v>0.30902661</v>
      </c>
      <c r="Q49" s="18" t="n">
        <v>0.86134857</v>
      </c>
      <c r="R49" s="20" t="n">
        <v>0.3212418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51.96327183</v>
      </c>
      <c r="F58" s="20" t="n">
        <v>1.80667258</v>
      </c>
      <c r="G58" s="18" t="n">
        <v>43.28062748</v>
      </c>
      <c r="H58" s="20" t="n">
        <v>1.81017214</v>
      </c>
      <c r="I58" s="18" t="s">
        <v>349</v>
      </c>
      <c r="J58" s="20" t="s">
        <v>349</v>
      </c>
      <c r="K58" s="18" t="n">
        <v>2.04792939</v>
      </c>
      <c r="L58" s="20" t="n">
        <v>0.44999931</v>
      </c>
      <c r="M58" s="18" t="n">
        <v>0</v>
      </c>
      <c r="N58" s="20" t="n">
        <v>0</v>
      </c>
      <c r="O58" s="18" t="n">
        <v>0.8341731999999999</v>
      </c>
      <c r="P58" s="20" t="n">
        <v>0.30484928</v>
      </c>
      <c r="Q58" s="18" t="n">
        <v>1.8739981</v>
      </c>
      <c r="R58" s="20" t="n">
        <v>0.43359012</v>
      </c>
    </row>
    <row r="59" spans="1:18">
      <c r="A59" s="15" t="s">
        <v>401</v>
      </c>
      <c r="B59" s="17" t="n">
        <v>4826</v>
      </c>
      <c r="C59" s="18">
        <f>(4005.0/B59*100)</f>
        <v/>
      </c>
      <c r="D59" s="19" t="n">
        <v>821</v>
      </c>
      <c r="E59" s="18" t="n">
        <v>26.63270264</v>
      </c>
      <c r="F59" s="20" t="n">
        <v>1.76563546</v>
      </c>
      <c r="G59" s="18" t="n">
        <v>69.8864785</v>
      </c>
      <c r="H59" s="20" t="n">
        <v>1.85419599</v>
      </c>
      <c r="I59" s="18" t="s">
        <v>349</v>
      </c>
      <c r="J59" s="20" t="s">
        <v>349</v>
      </c>
      <c r="K59" s="18" t="n">
        <v>0.11483512</v>
      </c>
      <c r="L59" s="20" t="n">
        <v>0.0809501</v>
      </c>
      <c r="M59" s="18" t="n">
        <v>0.39367893</v>
      </c>
      <c r="N59" s="20" t="n">
        <v>0.35699552</v>
      </c>
      <c r="O59" s="18" t="n">
        <v>1.20651429</v>
      </c>
      <c r="P59" s="20" t="n">
        <v>0.56040884</v>
      </c>
      <c r="Q59" s="18" t="n">
        <v>1.76579052</v>
      </c>
      <c r="R59" s="20" t="n">
        <v>0.55933528</v>
      </c>
    </row>
    <row r="60" spans="1:18">
      <c r="A60" s="15" t="s">
        <v>402</v>
      </c>
      <c r="B60" s="17" t="n">
        <v>4546</v>
      </c>
      <c r="C60" s="18">
        <f>(3800.0/B60*100)</f>
        <v/>
      </c>
      <c r="D60" s="19" t="n">
        <v>746</v>
      </c>
      <c r="E60" s="18" t="n">
        <v>33.61560824</v>
      </c>
      <c r="F60" s="20" t="n">
        <v>2.20094787</v>
      </c>
      <c r="G60" s="18" t="n">
        <v>59.47868898</v>
      </c>
      <c r="H60" s="20" t="n">
        <v>2.35458596</v>
      </c>
      <c r="I60" s="18" t="s">
        <v>349</v>
      </c>
      <c r="J60" s="20" t="s">
        <v>349</v>
      </c>
      <c r="K60" s="18" t="n">
        <v>1.82655914</v>
      </c>
      <c r="L60" s="20" t="n">
        <v>0.72415191</v>
      </c>
      <c r="M60" s="18" t="n">
        <v>0</v>
      </c>
      <c r="N60" s="20" t="n">
        <v>0</v>
      </c>
      <c r="O60" s="18" t="n">
        <v>2.12973121</v>
      </c>
      <c r="P60" s="20" t="n">
        <v>0.8754154200000001</v>
      </c>
      <c r="Q60" s="18" t="n">
        <v>2.94941243</v>
      </c>
      <c r="R60" s="20" t="n">
        <v>0.5626590299999999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22.31741649</v>
      </c>
      <c r="F63" s="20" t="n">
        <v>1.35876242</v>
      </c>
      <c r="G63" s="18" t="n">
        <v>74.43677363</v>
      </c>
      <c r="H63" s="20" t="n">
        <v>1.35603801</v>
      </c>
      <c r="I63" s="18" t="s">
        <v>349</v>
      </c>
      <c r="J63" s="20" t="s">
        <v>349</v>
      </c>
      <c r="K63" s="18" t="n">
        <v>1.20819319</v>
      </c>
      <c r="L63" s="20" t="n">
        <v>0.35321935</v>
      </c>
      <c r="M63" s="18" t="n">
        <v>0</v>
      </c>
      <c r="N63" s="20" t="n">
        <v>0</v>
      </c>
      <c r="O63" s="18" t="n">
        <v>0.19976249</v>
      </c>
      <c r="P63" s="20" t="n">
        <v>0.11940709</v>
      </c>
      <c r="Q63" s="18" t="n">
        <v>1.8378542</v>
      </c>
      <c r="R63" s="20" t="n">
        <v>0.45374333</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13.54137216</v>
      </c>
      <c r="F65" s="20" t="n">
        <v>1.41480289</v>
      </c>
      <c r="G65" s="18" t="n">
        <v>83.31677953000001</v>
      </c>
      <c r="H65" s="20" t="n">
        <v>1.48828826</v>
      </c>
      <c r="I65" s="18" t="s">
        <v>349</v>
      </c>
      <c r="J65" s="20" t="s">
        <v>349</v>
      </c>
      <c r="K65" s="18" t="n">
        <v>1.36711848</v>
      </c>
      <c r="L65" s="20" t="n">
        <v>0.34382115</v>
      </c>
      <c r="M65" s="18" t="n">
        <v>0.70922829</v>
      </c>
      <c r="N65" s="20" t="n">
        <v>0.24743745</v>
      </c>
      <c r="O65" s="18" t="n">
        <v>0</v>
      </c>
      <c r="P65" s="20" t="n">
        <v>0</v>
      </c>
      <c r="Q65" s="18" t="n">
        <v>1.06550154</v>
      </c>
      <c r="R65" s="20" t="n">
        <v>0.40178209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32.30878332</v>
      </c>
      <c r="F69" s="20" t="n">
        <v>1.55546794</v>
      </c>
      <c r="G69" s="18" t="n">
        <v>67.69121668</v>
      </c>
      <c r="H69" s="20" t="n">
        <v>1.55546794</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23.21561894</v>
      </c>
      <c r="F74" s="20" t="n">
        <v>1.47312266</v>
      </c>
      <c r="G74" s="18" t="n">
        <v>71.88588688999999</v>
      </c>
      <c r="H74" s="20" t="n">
        <v>1.6938301</v>
      </c>
      <c r="I74" s="18" t="s">
        <v>349</v>
      </c>
      <c r="J74" s="20" t="s">
        <v>349</v>
      </c>
      <c r="K74" s="18" t="n">
        <v>3.38270372</v>
      </c>
      <c r="L74" s="20" t="n">
        <v>0.7813639100000001</v>
      </c>
      <c r="M74" s="18" t="n">
        <v>0</v>
      </c>
      <c r="N74" s="20" t="n">
        <v>0</v>
      </c>
      <c r="O74" s="18" t="n">
        <v>0</v>
      </c>
      <c r="P74" s="20" t="n">
        <v>0</v>
      </c>
      <c r="Q74" s="18" t="n">
        <v>1.51579045</v>
      </c>
      <c r="R74" s="20" t="n">
        <v>0.44396949</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2.40625558</v>
      </c>
      <c r="F78" s="20" t="n">
        <v>0.8123923</v>
      </c>
      <c r="G78" s="18" t="n">
        <v>97.59374441999999</v>
      </c>
      <c r="H78" s="20" t="n">
        <v>0.8123923</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(1367.0/B79*100)</f>
        <v/>
      </c>
      <c r="D79" s="19" t="n">
        <v>290</v>
      </c>
      <c r="E79" s="18" t="n">
        <v>5.62024399</v>
      </c>
      <c r="F79" s="20" t="n">
        <v>0.97075351</v>
      </c>
      <c r="G79" s="18" t="n">
        <v>90.40930831999999</v>
      </c>
      <c r="H79" s="20" t="n">
        <v>1.84367976</v>
      </c>
      <c r="I79" s="18" t="s">
        <v>349</v>
      </c>
      <c r="J79" s="20" t="s">
        <v>349</v>
      </c>
      <c r="K79" s="18" t="n">
        <v>3.72011167</v>
      </c>
      <c r="L79" s="20" t="n">
        <v>1.31443934</v>
      </c>
      <c r="M79" s="18" t="n">
        <v>0</v>
      </c>
      <c r="N79" s="20" t="n">
        <v>0</v>
      </c>
      <c r="O79" s="18" t="n">
        <v>0</v>
      </c>
      <c r="P79" s="20" t="n">
        <v>0</v>
      </c>
      <c r="Q79" s="18" t="n">
        <v>0.25033601</v>
      </c>
      <c r="R79" s="20" t="n">
        <v>0.23940904</v>
      </c>
    </row>
    <row r="80" spans="1:18">
      <c r="A80" s="15" t="s">
        <v>422</v>
      </c>
      <c r="B80" s="17" t="n">
        <v>7841</v>
      </c>
      <c r="C80" s="18">
        <f>(6541.0/B80*100)</f>
        <v/>
      </c>
      <c r="D80" s="19" t="n">
        <v>1300</v>
      </c>
      <c r="E80" s="18" t="n">
        <v>13.49741969</v>
      </c>
      <c r="F80" s="20" t="n">
        <v>1.42428046</v>
      </c>
      <c r="G80" s="18" t="n">
        <v>86.37881771000001</v>
      </c>
      <c r="H80" s="20" t="n">
        <v>1.44014775</v>
      </c>
      <c r="I80" s="18" t="s">
        <v>349</v>
      </c>
      <c r="J80" s="20" t="s">
        <v>349</v>
      </c>
      <c r="K80" s="18" t="n">
        <v>0</v>
      </c>
      <c r="L80" s="20" t="n">
        <v>0</v>
      </c>
      <c r="M80" s="18" t="n">
        <v>0</v>
      </c>
      <c r="N80" s="20" t="n">
        <v>0</v>
      </c>
      <c r="O80" s="18" t="n">
        <v>0</v>
      </c>
      <c r="P80" s="20" t="n">
        <v>0</v>
      </c>
      <c r="Q80" s="18" t="n">
        <v>0.1237626</v>
      </c>
      <c r="R80" s="20" t="n">
        <v>0.08403855</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606</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38.44909193</v>
      </c>
      <c r="F45" s="20" t="n">
        <v>1.5196822</v>
      </c>
      <c r="G45" s="18" t="n">
        <v>49.62100276</v>
      </c>
      <c r="H45" s="20" t="n">
        <v>1.59515266</v>
      </c>
      <c r="I45" s="18" t="s">
        <v>349</v>
      </c>
      <c r="J45" s="20" t="s">
        <v>349</v>
      </c>
      <c r="K45" s="18" t="n">
        <v>2.98195422</v>
      </c>
      <c r="L45" s="20" t="n">
        <v>0.5362592</v>
      </c>
      <c r="M45" s="18" t="n">
        <v>0.0637006</v>
      </c>
      <c r="N45" s="20" t="n">
        <v>0.0608098</v>
      </c>
      <c r="O45" s="18" t="n">
        <v>0</v>
      </c>
      <c r="P45" s="20" t="n">
        <v>0</v>
      </c>
      <c r="Q45" s="18" t="n">
        <v>8.8842505</v>
      </c>
      <c r="R45" s="20" t="n">
        <v>0.977881</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35.32285779</v>
      </c>
      <c r="F49" s="20" t="n">
        <v>1.87140903</v>
      </c>
      <c r="G49" s="18" t="n">
        <v>53.27508082</v>
      </c>
      <c r="H49" s="20" t="n">
        <v>1.93866926</v>
      </c>
      <c r="I49" s="18" t="s">
        <v>349</v>
      </c>
      <c r="J49" s="20" t="s">
        <v>349</v>
      </c>
      <c r="K49" s="18" t="n">
        <v>2.93497701</v>
      </c>
      <c r="L49" s="20" t="n">
        <v>0.55412109</v>
      </c>
      <c r="M49" s="18" t="n">
        <v>0.26597032</v>
      </c>
      <c r="N49" s="20" t="n">
        <v>0.18273064</v>
      </c>
      <c r="O49" s="18" t="n">
        <v>0</v>
      </c>
      <c r="P49" s="20" t="n">
        <v>0</v>
      </c>
      <c r="Q49" s="18" t="n">
        <v>8.20111406</v>
      </c>
      <c r="R49" s="20" t="n">
        <v>0.89981068</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50.97034851</v>
      </c>
      <c r="F58" s="20" t="n">
        <v>1.57707032</v>
      </c>
      <c r="G58" s="18" t="n">
        <v>42.45644103</v>
      </c>
      <c r="H58" s="20" t="n">
        <v>1.56833393</v>
      </c>
      <c r="I58" s="18" t="s">
        <v>349</v>
      </c>
      <c r="J58" s="20" t="s">
        <v>349</v>
      </c>
      <c r="K58" s="18" t="n">
        <v>2.28146613</v>
      </c>
      <c r="L58" s="20" t="n">
        <v>0.4799505</v>
      </c>
      <c r="M58" s="18" t="n">
        <v>0.03565391</v>
      </c>
      <c r="N58" s="20" t="n">
        <v>0.03558472</v>
      </c>
      <c r="O58" s="18" t="n">
        <v>0</v>
      </c>
      <c r="P58" s="20" t="n">
        <v>0</v>
      </c>
      <c r="Q58" s="18" t="n">
        <v>4.25609042</v>
      </c>
      <c r="R58" s="20" t="n">
        <v>0.76846468</v>
      </c>
    </row>
    <row r="59" spans="1:18">
      <c r="A59" s="15" t="s">
        <v>401</v>
      </c>
      <c r="B59" s="17" t="n">
        <v>4826</v>
      </c>
      <c r="C59" s="18">
        <f>(4005.0/B59*100)</f>
        <v/>
      </c>
      <c r="D59" s="19" t="n">
        <v>821</v>
      </c>
      <c r="E59" s="18" t="n">
        <v>41.00597354</v>
      </c>
      <c r="F59" s="20" t="n">
        <v>2.24587496</v>
      </c>
      <c r="G59" s="18" t="n">
        <v>49.8151498</v>
      </c>
      <c r="H59" s="20" t="n">
        <v>2.31204494</v>
      </c>
      <c r="I59" s="18" t="s">
        <v>349</v>
      </c>
      <c r="J59" s="20" t="s">
        <v>349</v>
      </c>
      <c r="K59" s="18" t="n">
        <v>0.5783985699999999</v>
      </c>
      <c r="L59" s="20" t="n">
        <v>0.25686231</v>
      </c>
      <c r="M59" s="18" t="n">
        <v>0</v>
      </c>
      <c r="N59" s="20" t="n">
        <v>0</v>
      </c>
      <c r="O59" s="18" t="n">
        <v>0</v>
      </c>
      <c r="P59" s="20" t="n">
        <v>0</v>
      </c>
      <c r="Q59" s="18" t="n">
        <v>8.600478089999999</v>
      </c>
      <c r="R59" s="20" t="n">
        <v>1.19926834</v>
      </c>
    </row>
    <row r="60" spans="1:18">
      <c r="A60" s="15" t="s">
        <v>402</v>
      </c>
      <c r="B60" s="17" t="n">
        <v>4546</v>
      </c>
      <c r="C60" s="18">
        <f>(3800.0/B60*100)</f>
        <v/>
      </c>
      <c r="D60" s="19" t="n">
        <v>746</v>
      </c>
      <c r="E60" s="18" t="n">
        <v>25.80579241</v>
      </c>
      <c r="F60" s="20" t="n">
        <v>1.69835534</v>
      </c>
      <c r="G60" s="18" t="n">
        <v>59.66747765</v>
      </c>
      <c r="H60" s="20" t="n">
        <v>2.05434939</v>
      </c>
      <c r="I60" s="18" t="s">
        <v>349</v>
      </c>
      <c r="J60" s="20" t="s">
        <v>349</v>
      </c>
      <c r="K60" s="18" t="n">
        <v>1.99922278</v>
      </c>
      <c r="L60" s="20" t="n">
        <v>0.7517215</v>
      </c>
      <c r="M60" s="18" t="n">
        <v>0</v>
      </c>
      <c r="N60" s="20" t="n">
        <v>0</v>
      </c>
      <c r="O60" s="18" t="n">
        <v>0</v>
      </c>
      <c r="P60" s="20" t="n">
        <v>0</v>
      </c>
      <c r="Q60" s="18" t="n">
        <v>12.52750716</v>
      </c>
      <c r="R60" s="20" t="n">
        <v>1.40101485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29.23567396</v>
      </c>
      <c r="F63" s="20" t="n">
        <v>1.72939795</v>
      </c>
      <c r="G63" s="18" t="n">
        <v>49.12247776</v>
      </c>
      <c r="H63" s="20" t="n">
        <v>1.7870378</v>
      </c>
      <c r="I63" s="18" t="s">
        <v>349</v>
      </c>
      <c r="J63" s="20" t="s">
        <v>349</v>
      </c>
      <c r="K63" s="18" t="n">
        <v>1.9331791</v>
      </c>
      <c r="L63" s="20" t="n">
        <v>0.38202692</v>
      </c>
      <c r="M63" s="18" t="n">
        <v>0</v>
      </c>
      <c r="N63" s="20" t="n">
        <v>0</v>
      </c>
      <c r="O63" s="18" t="n">
        <v>0</v>
      </c>
      <c r="P63" s="20" t="n">
        <v>0</v>
      </c>
      <c r="Q63" s="18" t="n">
        <v>19.70866918</v>
      </c>
      <c r="R63" s="20" t="n">
        <v>1.45475751</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25.57444461</v>
      </c>
      <c r="F65" s="20" t="n">
        <v>1.74050927</v>
      </c>
      <c r="G65" s="18" t="n">
        <v>59.71185501</v>
      </c>
      <c r="H65" s="20" t="n">
        <v>1.95176352</v>
      </c>
      <c r="I65" s="18" t="s">
        <v>349</v>
      </c>
      <c r="J65" s="20" t="s">
        <v>349</v>
      </c>
      <c r="K65" s="18" t="n">
        <v>2.69945195</v>
      </c>
      <c r="L65" s="20" t="n">
        <v>0.54616577</v>
      </c>
      <c r="M65" s="18" t="n">
        <v>0</v>
      </c>
      <c r="N65" s="20" t="n">
        <v>0</v>
      </c>
      <c r="O65" s="18" t="n">
        <v>0</v>
      </c>
      <c r="P65" s="20" t="n">
        <v>0</v>
      </c>
      <c r="Q65" s="18" t="n">
        <v>12.01424842</v>
      </c>
      <c r="R65" s="20" t="n">
        <v>1.22673819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47.96731749</v>
      </c>
      <c r="F69" s="20" t="n">
        <v>2.4115564</v>
      </c>
      <c r="G69" s="18" t="n">
        <v>52.03268251</v>
      </c>
      <c r="H69" s="20" t="n">
        <v>2.4115564</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27.78243987</v>
      </c>
      <c r="F74" s="20" t="n">
        <v>1.85633283</v>
      </c>
      <c r="G74" s="18" t="n">
        <v>60.55782043</v>
      </c>
      <c r="H74" s="20" t="n">
        <v>1.90283768</v>
      </c>
      <c r="I74" s="18" t="s">
        <v>349</v>
      </c>
      <c r="J74" s="20" t="s">
        <v>349</v>
      </c>
      <c r="K74" s="18" t="n">
        <v>4.21504257</v>
      </c>
      <c r="L74" s="20" t="n">
        <v>0.82747532</v>
      </c>
      <c r="M74" s="18" t="n">
        <v>0</v>
      </c>
      <c r="N74" s="20" t="n">
        <v>0</v>
      </c>
      <c r="O74" s="18" t="n">
        <v>0</v>
      </c>
      <c r="P74" s="20" t="n">
        <v>0</v>
      </c>
      <c r="Q74" s="18" t="n">
        <v>7.44469713</v>
      </c>
      <c r="R74" s="20" t="n">
        <v>0.97628638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17.86145936</v>
      </c>
      <c r="F78" s="20" t="n">
        <v>1.4134976</v>
      </c>
      <c r="G78" s="18" t="n">
        <v>81.88443046</v>
      </c>
      <c r="H78" s="20" t="n">
        <v>1.45691206</v>
      </c>
      <c r="I78" s="18" t="s">
        <v>349</v>
      </c>
      <c r="J78" s="20" t="s">
        <v>349</v>
      </c>
      <c r="K78" s="18" t="n">
        <v>0</v>
      </c>
      <c r="L78" s="20" t="n">
        <v>0</v>
      </c>
      <c r="M78" s="18" t="n">
        <v>0</v>
      </c>
      <c r="N78" s="20" t="n">
        <v>0</v>
      </c>
      <c r="O78" s="18" t="n">
        <v>0</v>
      </c>
      <c r="P78" s="20" t="n">
        <v>0</v>
      </c>
      <c r="Q78" s="18" t="n">
        <v>0.25411018</v>
      </c>
      <c r="R78" s="20" t="n">
        <v>0.16049929</v>
      </c>
    </row>
    <row customHeight="1" ht="25" r="79" spans="1:18">
      <c r="A79" s="15" t="s">
        <v>421</v>
      </c>
      <c r="B79" s="17" t="n">
        <v>1657</v>
      </c>
      <c r="C79" s="18">
        <f>(1367.0/B79*100)</f>
        <v/>
      </c>
      <c r="D79" s="19" t="n">
        <v>290</v>
      </c>
      <c r="E79" s="18" t="n">
        <v>22.82980291</v>
      </c>
      <c r="F79" s="20" t="n">
        <v>2.38477936</v>
      </c>
      <c r="G79" s="18" t="n">
        <v>66.95512798</v>
      </c>
      <c r="H79" s="20" t="n">
        <v>2.94115149</v>
      </c>
      <c r="I79" s="18" t="s">
        <v>349</v>
      </c>
      <c r="J79" s="20" t="s">
        <v>349</v>
      </c>
      <c r="K79" s="18" t="n">
        <v>4.42567806</v>
      </c>
      <c r="L79" s="20" t="n">
        <v>1.75003378</v>
      </c>
      <c r="M79" s="18" t="n">
        <v>0</v>
      </c>
      <c r="N79" s="20" t="n">
        <v>0</v>
      </c>
      <c r="O79" s="18" t="n">
        <v>0</v>
      </c>
      <c r="P79" s="20" t="n">
        <v>0</v>
      </c>
      <c r="Q79" s="18" t="n">
        <v>5.78939105</v>
      </c>
      <c r="R79" s="20" t="n">
        <v>1.87621829</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607</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78.70063817</v>
      </c>
      <c r="F45" s="20" t="n">
        <v>1.29757673</v>
      </c>
      <c r="G45" s="18" t="n">
        <v>4.14050989</v>
      </c>
      <c r="H45" s="20" t="n">
        <v>0.76724255</v>
      </c>
      <c r="I45" s="18" t="s">
        <v>349</v>
      </c>
      <c r="J45" s="20" t="s">
        <v>349</v>
      </c>
      <c r="K45" s="18" t="n">
        <v>3.42654116</v>
      </c>
      <c r="L45" s="20" t="n">
        <v>0.61401202</v>
      </c>
      <c r="M45" s="18" t="n">
        <v>0.11613488</v>
      </c>
      <c r="N45" s="20" t="n">
        <v>0.11732043</v>
      </c>
      <c r="O45" s="18" t="n">
        <v>0</v>
      </c>
      <c r="P45" s="20" t="n">
        <v>0</v>
      </c>
      <c r="Q45" s="18" t="n">
        <v>13.61617589</v>
      </c>
      <c r="R45" s="20" t="n">
        <v>1.30333813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81.21244108</v>
      </c>
      <c r="F49" s="20" t="n">
        <v>1.33565578</v>
      </c>
      <c r="G49" s="18" t="n">
        <v>6.84455789</v>
      </c>
      <c r="H49" s="20" t="n">
        <v>0.80148267</v>
      </c>
      <c r="I49" s="18" t="s">
        <v>349</v>
      </c>
      <c r="J49" s="20" t="s">
        <v>349</v>
      </c>
      <c r="K49" s="18" t="n">
        <v>3.27653549</v>
      </c>
      <c r="L49" s="20" t="n">
        <v>0.56424634</v>
      </c>
      <c r="M49" s="18" t="n">
        <v>0.26597032</v>
      </c>
      <c r="N49" s="20" t="n">
        <v>0.18273064</v>
      </c>
      <c r="O49" s="18" t="n">
        <v>0</v>
      </c>
      <c r="P49" s="20" t="n">
        <v>0</v>
      </c>
      <c r="Q49" s="18" t="n">
        <v>8.400495210000001</v>
      </c>
      <c r="R49" s="20" t="n">
        <v>0.90159665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86.56414117999999</v>
      </c>
      <c r="F58" s="20" t="n">
        <v>1.10718121</v>
      </c>
      <c r="G58" s="18" t="n">
        <v>6.39740958</v>
      </c>
      <c r="H58" s="20" t="n">
        <v>0.75489076</v>
      </c>
      <c r="I58" s="18" t="s">
        <v>349</v>
      </c>
      <c r="J58" s="20" t="s">
        <v>349</v>
      </c>
      <c r="K58" s="18" t="n">
        <v>2.45942717</v>
      </c>
      <c r="L58" s="20" t="n">
        <v>0.5063076</v>
      </c>
      <c r="M58" s="18" t="n">
        <v>0</v>
      </c>
      <c r="N58" s="20" t="n">
        <v>0</v>
      </c>
      <c r="O58" s="18" t="n">
        <v>0</v>
      </c>
      <c r="P58" s="20" t="n">
        <v>0</v>
      </c>
      <c r="Q58" s="18" t="n">
        <v>4.57902206</v>
      </c>
      <c r="R58" s="20" t="n">
        <v>0.63093489</v>
      </c>
    </row>
    <row r="59" spans="1:18">
      <c r="A59" s="15" t="s">
        <v>401</v>
      </c>
      <c r="B59" s="17" t="n">
        <v>4826</v>
      </c>
      <c r="C59" s="18">
        <f>(4005.0/B59*100)</f>
        <v/>
      </c>
      <c r="D59" s="19" t="n">
        <v>821</v>
      </c>
      <c r="E59" s="18" t="n">
        <v>85.58375009</v>
      </c>
      <c r="F59" s="20" t="n">
        <v>1.39192043</v>
      </c>
      <c r="G59" s="18" t="n">
        <v>0.87162104</v>
      </c>
      <c r="H59" s="20" t="n">
        <v>0.3474137</v>
      </c>
      <c r="I59" s="18" t="s">
        <v>349</v>
      </c>
      <c r="J59" s="20" t="s">
        <v>349</v>
      </c>
      <c r="K59" s="18" t="n">
        <v>0.8563174</v>
      </c>
      <c r="L59" s="20" t="n">
        <v>0.3211652</v>
      </c>
      <c r="M59" s="18" t="n">
        <v>0</v>
      </c>
      <c r="N59" s="20" t="n">
        <v>0</v>
      </c>
      <c r="O59" s="18" t="n">
        <v>0</v>
      </c>
      <c r="P59" s="20" t="n">
        <v>0</v>
      </c>
      <c r="Q59" s="18" t="n">
        <v>12.68831147</v>
      </c>
      <c r="R59" s="20" t="n">
        <v>1.37272412</v>
      </c>
    </row>
    <row r="60" spans="1:18">
      <c r="A60" s="15" t="s">
        <v>402</v>
      </c>
      <c r="B60" s="17" t="n">
        <v>4546</v>
      </c>
      <c r="C60" s="18">
        <f>(3800.0/B60*100)</f>
        <v/>
      </c>
      <c r="D60" s="19" t="n">
        <v>746</v>
      </c>
      <c r="E60" s="18" t="n">
        <v>67.42194128</v>
      </c>
      <c r="F60" s="20" t="n">
        <v>2.0075247</v>
      </c>
      <c r="G60" s="18" t="n">
        <v>12.43936362</v>
      </c>
      <c r="H60" s="20" t="n">
        <v>1.44785822</v>
      </c>
      <c r="I60" s="18" t="s">
        <v>349</v>
      </c>
      <c r="J60" s="20" t="s">
        <v>349</v>
      </c>
      <c r="K60" s="18" t="n">
        <v>2.21611286</v>
      </c>
      <c r="L60" s="20" t="n">
        <v>0.7645757</v>
      </c>
      <c r="M60" s="18" t="n">
        <v>0</v>
      </c>
      <c r="N60" s="20" t="n">
        <v>0</v>
      </c>
      <c r="O60" s="18" t="n">
        <v>0</v>
      </c>
      <c r="P60" s="20" t="n">
        <v>0</v>
      </c>
      <c r="Q60" s="18" t="n">
        <v>17.92258224</v>
      </c>
      <c r="R60" s="20" t="n">
        <v>1.62771557</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67.7842017</v>
      </c>
      <c r="F63" s="20" t="n">
        <v>1.68606236</v>
      </c>
      <c r="G63" s="18" t="n">
        <v>4.21033292</v>
      </c>
      <c r="H63" s="20" t="n">
        <v>0.68892729</v>
      </c>
      <c r="I63" s="18" t="s">
        <v>349</v>
      </c>
      <c r="J63" s="20" t="s">
        <v>349</v>
      </c>
      <c r="K63" s="18" t="n">
        <v>1.9331791</v>
      </c>
      <c r="L63" s="20" t="n">
        <v>0.38202692</v>
      </c>
      <c r="M63" s="18" t="n">
        <v>0</v>
      </c>
      <c r="N63" s="20" t="n">
        <v>0</v>
      </c>
      <c r="O63" s="18" t="n">
        <v>0</v>
      </c>
      <c r="P63" s="20" t="n">
        <v>0</v>
      </c>
      <c r="Q63" s="18" t="n">
        <v>26.07228628</v>
      </c>
      <c r="R63" s="20" t="n">
        <v>1.54719845</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71.47896111</v>
      </c>
      <c r="F65" s="20" t="n">
        <v>1.72340719</v>
      </c>
      <c r="G65" s="18" t="n">
        <v>8.763598460000001</v>
      </c>
      <c r="H65" s="20" t="n">
        <v>1.31287667</v>
      </c>
      <c r="I65" s="18" t="s">
        <v>349</v>
      </c>
      <c r="J65" s="20" t="s">
        <v>349</v>
      </c>
      <c r="K65" s="18" t="n">
        <v>3.20486383</v>
      </c>
      <c r="L65" s="20" t="n">
        <v>0.56872628</v>
      </c>
      <c r="M65" s="18" t="n">
        <v>0</v>
      </c>
      <c r="N65" s="20" t="n">
        <v>0</v>
      </c>
      <c r="O65" s="18" t="n">
        <v>0</v>
      </c>
      <c r="P65" s="20" t="n">
        <v>0</v>
      </c>
      <c r="Q65" s="18" t="n">
        <v>16.5525766</v>
      </c>
      <c r="R65" s="20" t="n">
        <v>1.4548419</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79.63316819000001</v>
      </c>
      <c r="F69" s="20" t="n">
        <v>1.49106332</v>
      </c>
      <c r="G69" s="18" t="n">
        <v>20.36683181</v>
      </c>
      <c r="H69" s="20" t="n">
        <v>1.49106332</v>
      </c>
      <c r="I69" s="18" t="s">
        <v>349</v>
      </c>
      <c r="J69" s="20" t="s">
        <v>349</v>
      </c>
      <c r="K69" s="18" t="n">
        <v>0</v>
      </c>
      <c r="L69" s="20" t="n">
        <v>0</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70.78404972</v>
      </c>
      <c r="F74" s="20" t="n">
        <v>1.59487079</v>
      </c>
      <c r="G74" s="18" t="n">
        <v>13.55820498</v>
      </c>
      <c r="H74" s="20" t="n">
        <v>1.26277494</v>
      </c>
      <c r="I74" s="18" t="s">
        <v>349</v>
      </c>
      <c r="J74" s="20" t="s">
        <v>349</v>
      </c>
      <c r="K74" s="18" t="n">
        <v>4.65064672</v>
      </c>
      <c r="L74" s="20" t="n">
        <v>0.83450298</v>
      </c>
      <c r="M74" s="18" t="n">
        <v>0</v>
      </c>
      <c r="N74" s="20" t="n">
        <v>0</v>
      </c>
      <c r="O74" s="18" t="n">
        <v>0</v>
      </c>
      <c r="P74" s="20" t="n">
        <v>0</v>
      </c>
      <c r="Q74" s="18" t="n">
        <v>11.00709857</v>
      </c>
      <c r="R74" s="20" t="n">
        <v>1.28764136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87.11419698</v>
      </c>
      <c r="F78" s="20" t="n">
        <v>1.49151425</v>
      </c>
      <c r="G78" s="18" t="n">
        <v>11.80329312</v>
      </c>
      <c r="H78" s="20" t="n">
        <v>1.42214727</v>
      </c>
      <c r="I78" s="18" t="s">
        <v>349</v>
      </c>
      <c r="J78" s="20" t="s">
        <v>349</v>
      </c>
      <c r="K78" s="18" t="n">
        <v>0</v>
      </c>
      <c r="L78" s="20" t="n">
        <v>0</v>
      </c>
      <c r="M78" s="18" t="n">
        <v>0</v>
      </c>
      <c r="N78" s="20" t="n">
        <v>0</v>
      </c>
      <c r="O78" s="18" t="n">
        <v>0</v>
      </c>
      <c r="P78" s="20" t="n">
        <v>0</v>
      </c>
      <c r="Q78" s="18" t="n">
        <v>1.0825099</v>
      </c>
      <c r="R78" s="20" t="n">
        <v>0.37627664</v>
      </c>
    </row>
    <row customHeight="1" ht="25" r="79" spans="1:18">
      <c r="A79" s="15" t="s">
        <v>421</v>
      </c>
      <c r="B79" s="17" t="n">
        <v>1657</v>
      </c>
      <c r="C79" s="18">
        <f>(1367.0/B79*100)</f>
        <v/>
      </c>
      <c r="D79" s="19" t="n">
        <v>290</v>
      </c>
      <c r="E79" s="18" t="n">
        <v>68.73022998</v>
      </c>
      <c r="F79" s="20" t="n">
        <v>3.18745227</v>
      </c>
      <c r="G79" s="18" t="n">
        <v>18.53928728</v>
      </c>
      <c r="H79" s="20" t="n">
        <v>2.39700334</v>
      </c>
      <c r="I79" s="18" t="s">
        <v>349</v>
      </c>
      <c r="J79" s="20" t="s">
        <v>349</v>
      </c>
      <c r="K79" s="18" t="n">
        <v>5.52608595</v>
      </c>
      <c r="L79" s="20" t="n">
        <v>1.77346374</v>
      </c>
      <c r="M79" s="18" t="n">
        <v>0</v>
      </c>
      <c r="N79" s="20" t="n">
        <v>0</v>
      </c>
      <c r="O79" s="18" t="n">
        <v>0</v>
      </c>
      <c r="P79" s="20" t="n">
        <v>0</v>
      </c>
      <c r="Q79" s="18" t="n">
        <v>7.20439679</v>
      </c>
      <c r="R79" s="20" t="n">
        <v>1.91010686</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608</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59.19659442</v>
      </c>
      <c r="F45" s="20" t="n">
        <v>1.75446604</v>
      </c>
      <c r="G45" s="18" t="n">
        <v>20.38199836</v>
      </c>
      <c r="H45" s="20" t="n">
        <v>1.67481765</v>
      </c>
      <c r="I45" s="18" t="s">
        <v>349</v>
      </c>
      <c r="J45" s="20" t="s">
        <v>349</v>
      </c>
      <c r="K45" s="18" t="n">
        <v>3.78703434</v>
      </c>
      <c r="L45" s="20" t="n">
        <v>0.65976458</v>
      </c>
      <c r="M45" s="18" t="n">
        <v>0</v>
      </c>
      <c r="N45" s="20" t="n">
        <v>0</v>
      </c>
      <c r="O45" s="18" t="n">
        <v>0</v>
      </c>
      <c r="P45" s="20" t="n">
        <v>0</v>
      </c>
      <c r="Q45" s="18" t="n">
        <v>16.63437288</v>
      </c>
      <c r="R45" s="20" t="n">
        <v>1.3134203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52.13561063</v>
      </c>
      <c r="F49" s="20" t="n">
        <v>2.26617669</v>
      </c>
      <c r="G49" s="18" t="n">
        <v>22.63843475</v>
      </c>
      <c r="H49" s="20" t="n">
        <v>1.84356721</v>
      </c>
      <c r="I49" s="18" t="s">
        <v>349</v>
      </c>
      <c r="J49" s="20" t="s">
        <v>349</v>
      </c>
      <c r="K49" s="18" t="n">
        <v>3.84678001</v>
      </c>
      <c r="L49" s="20" t="n">
        <v>0.62455808</v>
      </c>
      <c r="M49" s="18" t="n">
        <v>0.10496537</v>
      </c>
      <c r="N49" s="20" t="n">
        <v>0.10555958</v>
      </c>
      <c r="O49" s="18" t="n">
        <v>0</v>
      </c>
      <c r="P49" s="20" t="n">
        <v>0</v>
      </c>
      <c r="Q49" s="18" t="n">
        <v>21.27420923</v>
      </c>
      <c r="R49" s="20" t="n">
        <v>1.45696582</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0</v>
      </c>
      <c r="F58" s="20" t="n">
        <v>0</v>
      </c>
      <c r="G58" s="18" t="n">
        <v>0</v>
      </c>
      <c r="H58" s="20" t="n">
        <v>0</v>
      </c>
      <c r="I58" s="18" t="s">
        <v>349</v>
      </c>
      <c r="J58" s="20" t="s">
        <v>349</v>
      </c>
      <c r="K58" s="18" t="n">
        <v>0</v>
      </c>
      <c r="L58" s="20" t="n">
        <v>0</v>
      </c>
      <c r="M58" s="18" t="n">
        <v>100</v>
      </c>
      <c r="N58" s="20" t="n">
        <v>0</v>
      </c>
      <c r="O58" s="18" t="n">
        <v>0</v>
      </c>
      <c r="P58" s="20" t="n">
        <v>0</v>
      </c>
      <c r="Q58" s="18" t="n">
        <v>0</v>
      </c>
      <c r="R58" s="20" t="n">
        <v>0</v>
      </c>
    </row>
    <row r="59" spans="1:18">
      <c r="A59" s="15" t="s">
        <v>401</v>
      </c>
      <c r="B59" s="17" t="n">
        <v>4826</v>
      </c>
      <c r="C59" s="18">
        <f>(4005.0/B59*100)</f>
        <v/>
      </c>
      <c r="D59" s="19" t="n">
        <v>821</v>
      </c>
      <c r="E59" s="18" t="n">
        <v>64.69991966000001</v>
      </c>
      <c r="F59" s="20" t="n">
        <v>2.13208327</v>
      </c>
      <c r="G59" s="18" t="n">
        <v>23.3739135</v>
      </c>
      <c r="H59" s="20" t="n">
        <v>1.96530279</v>
      </c>
      <c r="I59" s="18" t="s">
        <v>349</v>
      </c>
      <c r="J59" s="20" t="s">
        <v>349</v>
      </c>
      <c r="K59" s="18" t="n">
        <v>1.39722453</v>
      </c>
      <c r="L59" s="20" t="n">
        <v>0.50091756</v>
      </c>
      <c r="M59" s="18" t="n">
        <v>0</v>
      </c>
      <c r="N59" s="20" t="n">
        <v>0</v>
      </c>
      <c r="O59" s="18" t="n">
        <v>0</v>
      </c>
      <c r="P59" s="20" t="n">
        <v>0</v>
      </c>
      <c r="Q59" s="18" t="n">
        <v>10.52894231</v>
      </c>
      <c r="R59" s="20" t="n">
        <v>1.17849299</v>
      </c>
    </row>
    <row r="60" spans="1:18">
      <c r="A60" s="15" t="s">
        <v>402</v>
      </c>
      <c r="B60" s="17" t="n">
        <v>4546</v>
      </c>
      <c r="C60" s="18">
        <f>(3800.0/B60*100)</f>
        <v/>
      </c>
      <c r="D60" s="19" t="n">
        <v>746</v>
      </c>
      <c r="E60" s="18" t="n">
        <v>29.82035637</v>
      </c>
      <c r="F60" s="20" t="n">
        <v>1.94229436</v>
      </c>
      <c r="G60" s="18" t="n">
        <v>52.70538224</v>
      </c>
      <c r="H60" s="20" t="n">
        <v>2.0979149</v>
      </c>
      <c r="I60" s="18" t="s">
        <v>349</v>
      </c>
      <c r="J60" s="20" t="s">
        <v>349</v>
      </c>
      <c r="K60" s="18" t="n">
        <v>2.98053088</v>
      </c>
      <c r="L60" s="20" t="n">
        <v>0.77792877</v>
      </c>
      <c r="M60" s="18" t="n">
        <v>0</v>
      </c>
      <c r="N60" s="20" t="n">
        <v>0</v>
      </c>
      <c r="O60" s="18" t="n">
        <v>0</v>
      </c>
      <c r="P60" s="20" t="n">
        <v>0</v>
      </c>
      <c r="Q60" s="18" t="n">
        <v>14.49373052</v>
      </c>
      <c r="R60" s="20" t="n">
        <v>1.50711879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35.50325655</v>
      </c>
      <c r="F63" s="20" t="n">
        <v>1.66022967</v>
      </c>
      <c r="G63" s="18" t="n">
        <v>33.39053599</v>
      </c>
      <c r="H63" s="20" t="n">
        <v>1.51009981</v>
      </c>
      <c r="I63" s="18" t="s">
        <v>349</v>
      </c>
      <c r="J63" s="20" t="s">
        <v>349</v>
      </c>
      <c r="K63" s="18" t="n">
        <v>2.59253308</v>
      </c>
      <c r="L63" s="20" t="n">
        <v>0.49248481</v>
      </c>
      <c r="M63" s="18" t="n">
        <v>0</v>
      </c>
      <c r="N63" s="20" t="n">
        <v>0</v>
      </c>
      <c r="O63" s="18" t="n">
        <v>0</v>
      </c>
      <c r="P63" s="20" t="n">
        <v>0</v>
      </c>
      <c r="Q63" s="18" t="n">
        <v>28.51367438</v>
      </c>
      <c r="R63" s="20" t="n">
        <v>1.49281098</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35.86815536</v>
      </c>
      <c r="F65" s="20" t="n">
        <v>2.03658606</v>
      </c>
      <c r="G65" s="18" t="n">
        <v>40.71653389</v>
      </c>
      <c r="H65" s="20" t="n">
        <v>1.96145612</v>
      </c>
      <c r="I65" s="18" t="s">
        <v>349</v>
      </c>
      <c r="J65" s="20" t="s">
        <v>349</v>
      </c>
      <c r="K65" s="18" t="n">
        <v>4.40141556</v>
      </c>
      <c r="L65" s="20" t="n">
        <v>0.6550555300000001</v>
      </c>
      <c r="M65" s="18" t="n">
        <v>0</v>
      </c>
      <c r="N65" s="20" t="n">
        <v>0</v>
      </c>
      <c r="O65" s="18" t="n">
        <v>0</v>
      </c>
      <c r="P65" s="20" t="n">
        <v>0</v>
      </c>
      <c r="Q65" s="18" t="n">
        <v>19.01389519</v>
      </c>
      <c r="R65" s="20" t="n">
        <v>1.3134378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49.71292837</v>
      </c>
      <c r="F69" s="20" t="n">
        <v>2.29405866</v>
      </c>
      <c r="G69" s="18" t="n">
        <v>50.16151157</v>
      </c>
      <c r="H69" s="20" t="n">
        <v>2.28746657</v>
      </c>
      <c r="I69" s="18" t="s">
        <v>349</v>
      </c>
      <c r="J69" s="20" t="s">
        <v>349</v>
      </c>
      <c r="K69" s="18" t="n">
        <v>0</v>
      </c>
      <c r="L69" s="20" t="n">
        <v>0</v>
      </c>
      <c r="M69" s="18" t="n">
        <v>0</v>
      </c>
      <c r="N69" s="20" t="n">
        <v>0</v>
      </c>
      <c r="O69" s="18" t="n">
        <v>0</v>
      </c>
      <c r="P69" s="20" t="n">
        <v>0</v>
      </c>
      <c r="Q69" s="18" t="n">
        <v>0.12556006</v>
      </c>
      <c r="R69" s="20" t="n">
        <v>0.1253518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38.46593516</v>
      </c>
      <c r="F74" s="20" t="n">
        <v>1.81093762</v>
      </c>
      <c r="G74" s="18" t="n">
        <v>33.80591337</v>
      </c>
      <c r="H74" s="20" t="n">
        <v>1.84792252</v>
      </c>
      <c r="I74" s="18" t="s">
        <v>349</v>
      </c>
      <c r="J74" s="20" t="s">
        <v>349</v>
      </c>
      <c r="K74" s="18" t="n">
        <v>6.12137241</v>
      </c>
      <c r="L74" s="20" t="n">
        <v>0.91105103</v>
      </c>
      <c r="M74" s="18" t="n">
        <v>0</v>
      </c>
      <c r="N74" s="20" t="n">
        <v>0</v>
      </c>
      <c r="O74" s="18" t="n">
        <v>0</v>
      </c>
      <c r="P74" s="20" t="n">
        <v>0</v>
      </c>
      <c r="Q74" s="18" t="n">
        <v>21.60677905</v>
      </c>
      <c r="R74" s="20" t="n">
        <v>1.77962162</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35.09438019</v>
      </c>
      <c r="F78" s="20" t="n">
        <v>2.40566381</v>
      </c>
      <c r="G78" s="18" t="n">
        <v>63.02288048</v>
      </c>
      <c r="H78" s="20" t="n">
        <v>2.51978082</v>
      </c>
      <c r="I78" s="18" t="s">
        <v>349</v>
      </c>
      <c r="J78" s="20" t="s">
        <v>349</v>
      </c>
      <c r="K78" s="18" t="n">
        <v>0</v>
      </c>
      <c r="L78" s="20" t="n">
        <v>0</v>
      </c>
      <c r="M78" s="18" t="n">
        <v>0</v>
      </c>
      <c r="N78" s="20" t="n">
        <v>0</v>
      </c>
      <c r="O78" s="18" t="n">
        <v>0</v>
      </c>
      <c r="P78" s="20" t="n">
        <v>0</v>
      </c>
      <c r="Q78" s="18" t="n">
        <v>1.88273933</v>
      </c>
      <c r="R78" s="20" t="n">
        <v>0.80793123</v>
      </c>
    </row>
    <row customHeight="1" ht="25" r="79" spans="1:18">
      <c r="A79" s="15" t="s">
        <v>421</v>
      </c>
      <c r="B79" s="17" t="n">
        <v>1657</v>
      </c>
      <c r="C79" s="18">
        <f>(1367.0/B79*100)</f>
        <v/>
      </c>
      <c r="D79" s="19" t="n">
        <v>290</v>
      </c>
      <c r="E79" s="18" t="n">
        <v>33.58575585</v>
      </c>
      <c r="F79" s="20" t="n">
        <v>3.64346095</v>
      </c>
      <c r="G79" s="18" t="n">
        <v>40.28483229</v>
      </c>
      <c r="H79" s="20" t="n">
        <v>3.9445913</v>
      </c>
      <c r="I79" s="18" t="s">
        <v>349</v>
      </c>
      <c r="J79" s="20" t="s">
        <v>349</v>
      </c>
      <c r="K79" s="18" t="n">
        <v>6.63740659</v>
      </c>
      <c r="L79" s="20" t="n">
        <v>1.89643515</v>
      </c>
      <c r="M79" s="18" t="n">
        <v>0</v>
      </c>
      <c r="N79" s="20" t="n">
        <v>0</v>
      </c>
      <c r="O79" s="18" t="n">
        <v>0</v>
      </c>
      <c r="P79" s="20" t="n">
        <v>0</v>
      </c>
      <c r="Q79" s="18" t="n">
        <v>19.49200527</v>
      </c>
      <c r="R79" s="20" t="n">
        <v>2.6925434</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609</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50.02169731</v>
      </c>
      <c r="F45" s="20" t="n">
        <v>1.68392587</v>
      </c>
      <c r="G45" s="18" t="n">
        <v>18.83614347</v>
      </c>
      <c r="H45" s="20" t="n">
        <v>1.50371017</v>
      </c>
      <c r="I45" s="18" t="s">
        <v>349</v>
      </c>
      <c r="J45" s="20" t="s">
        <v>349</v>
      </c>
      <c r="K45" s="18" t="n">
        <v>5.04783773</v>
      </c>
      <c r="L45" s="20" t="n">
        <v>0.78419984</v>
      </c>
      <c r="M45" s="18" t="n">
        <v>0.07390133</v>
      </c>
      <c r="N45" s="20" t="n">
        <v>0.07466941000000001</v>
      </c>
      <c r="O45" s="18" t="n">
        <v>0.10310396</v>
      </c>
      <c r="P45" s="20" t="n">
        <v>0.10434329</v>
      </c>
      <c r="Q45" s="18" t="n">
        <v>25.9173162</v>
      </c>
      <c r="R45" s="20" t="n">
        <v>1.66461904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40.33235098</v>
      </c>
      <c r="F49" s="20" t="n">
        <v>2.00131029</v>
      </c>
      <c r="G49" s="18" t="n">
        <v>19.90489649</v>
      </c>
      <c r="H49" s="20" t="n">
        <v>1.64063072</v>
      </c>
      <c r="I49" s="18" t="s">
        <v>349</v>
      </c>
      <c r="J49" s="20" t="s">
        <v>349</v>
      </c>
      <c r="K49" s="18" t="n">
        <v>4.44642147</v>
      </c>
      <c r="L49" s="20" t="n">
        <v>0.68482237</v>
      </c>
      <c r="M49" s="18" t="n">
        <v>0.10496537</v>
      </c>
      <c r="N49" s="20" t="n">
        <v>0.10555958</v>
      </c>
      <c r="O49" s="18" t="n">
        <v>0.14715135</v>
      </c>
      <c r="P49" s="20" t="n">
        <v>0.1527214</v>
      </c>
      <c r="Q49" s="18" t="n">
        <v>35.06421433</v>
      </c>
      <c r="R49" s="20" t="n">
        <v>1.71085162</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48.92417454</v>
      </c>
      <c r="F58" s="20" t="n">
        <v>1.63036437</v>
      </c>
      <c r="G58" s="18" t="n">
        <v>35.92861698</v>
      </c>
      <c r="H58" s="20" t="n">
        <v>1.65863878</v>
      </c>
      <c r="I58" s="18" t="s">
        <v>349</v>
      </c>
      <c r="J58" s="20" t="s">
        <v>349</v>
      </c>
      <c r="K58" s="18" t="n">
        <v>2.97778323</v>
      </c>
      <c r="L58" s="20" t="n">
        <v>0.51256273</v>
      </c>
      <c r="M58" s="18" t="n">
        <v>0</v>
      </c>
      <c r="N58" s="20" t="n">
        <v>0</v>
      </c>
      <c r="O58" s="18" t="n">
        <v>0</v>
      </c>
      <c r="P58" s="20" t="n">
        <v>0</v>
      </c>
      <c r="Q58" s="18" t="n">
        <v>12.16942525</v>
      </c>
      <c r="R58" s="20" t="n">
        <v>0.97134862</v>
      </c>
    </row>
    <row r="59" spans="1:18">
      <c r="A59" s="15" t="s">
        <v>401</v>
      </c>
      <c r="B59" s="17" t="n">
        <v>4826</v>
      </c>
      <c r="C59" s="18">
        <f>(4005.0/B59*100)</f>
        <v/>
      </c>
      <c r="D59" s="19" t="n">
        <v>821</v>
      </c>
      <c r="E59" s="18" t="n">
        <v>48.56676414</v>
      </c>
      <c r="F59" s="20" t="n">
        <v>2.13229334</v>
      </c>
      <c r="G59" s="18" t="n">
        <v>24.57931416</v>
      </c>
      <c r="H59" s="20" t="n">
        <v>1.88134773</v>
      </c>
      <c r="I59" s="18" t="s">
        <v>349</v>
      </c>
      <c r="J59" s="20" t="s">
        <v>349</v>
      </c>
      <c r="K59" s="18" t="n">
        <v>1.66521921</v>
      </c>
      <c r="L59" s="20" t="n">
        <v>0.56495666</v>
      </c>
      <c r="M59" s="18" t="n">
        <v>0</v>
      </c>
      <c r="N59" s="20" t="n">
        <v>0</v>
      </c>
      <c r="O59" s="18" t="n">
        <v>0</v>
      </c>
      <c r="P59" s="20" t="n">
        <v>0</v>
      </c>
      <c r="Q59" s="18" t="n">
        <v>25.18870248</v>
      </c>
      <c r="R59" s="20" t="n">
        <v>1.65179884</v>
      </c>
    </row>
    <row r="60" spans="1:18">
      <c r="A60" s="15" t="s">
        <v>402</v>
      </c>
      <c r="B60" s="17" t="n">
        <v>4546</v>
      </c>
      <c r="C60" s="18">
        <f>(3800.0/B60*100)</f>
        <v/>
      </c>
      <c r="D60" s="19" t="n">
        <v>746</v>
      </c>
      <c r="E60" s="18" t="n">
        <v>41.97612413</v>
      </c>
      <c r="F60" s="20" t="n">
        <v>2.13023432</v>
      </c>
      <c r="G60" s="18" t="n">
        <v>31.02733477</v>
      </c>
      <c r="H60" s="20" t="n">
        <v>1.92325428</v>
      </c>
      <c r="I60" s="18" t="s">
        <v>349</v>
      </c>
      <c r="J60" s="20" t="s">
        <v>349</v>
      </c>
      <c r="K60" s="18" t="n">
        <v>3.57367993</v>
      </c>
      <c r="L60" s="20" t="n">
        <v>0.8629054</v>
      </c>
      <c r="M60" s="18" t="n">
        <v>0</v>
      </c>
      <c r="N60" s="20" t="n">
        <v>0</v>
      </c>
      <c r="O60" s="18" t="n">
        <v>0</v>
      </c>
      <c r="P60" s="20" t="n">
        <v>0</v>
      </c>
      <c r="Q60" s="18" t="n">
        <v>23.42286117</v>
      </c>
      <c r="R60" s="20" t="n">
        <v>1.66973858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29.68500338</v>
      </c>
      <c r="F63" s="20" t="n">
        <v>1.78412272</v>
      </c>
      <c r="G63" s="18" t="n">
        <v>25.21027562</v>
      </c>
      <c r="H63" s="20" t="n">
        <v>1.61173726</v>
      </c>
      <c r="I63" s="18" t="s">
        <v>349</v>
      </c>
      <c r="J63" s="20" t="s">
        <v>349</v>
      </c>
      <c r="K63" s="18" t="n">
        <v>2.7276849</v>
      </c>
      <c r="L63" s="20" t="n">
        <v>0.50939309</v>
      </c>
      <c r="M63" s="18" t="n">
        <v>0</v>
      </c>
      <c r="N63" s="20" t="n">
        <v>0</v>
      </c>
      <c r="O63" s="18" t="n">
        <v>0</v>
      </c>
      <c r="P63" s="20" t="n">
        <v>0</v>
      </c>
      <c r="Q63" s="18" t="n">
        <v>42.37703611</v>
      </c>
      <c r="R63" s="20" t="n">
        <v>1.64459541</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25.84561425</v>
      </c>
      <c r="F65" s="20" t="n">
        <v>1.50803665</v>
      </c>
      <c r="G65" s="18" t="n">
        <v>35.2905849</v>
      </c>
      <c r="H65" s="20" t="n">
        <v>1.98445692</v>
      </c>
      <c r="I65" s="18" t="s">
        <v>349</v>
      </c>
      <c r="J65" s="20" t="s">
        <v>349</v>
      </c>
      <c r="K65" s="18" t="n">
        <v>4.95840671</v>
      </c>
      <c r="L65" s="20" t="n">
        <v>0.60614187</v>
      </c>
      <c r="M65" s="18" t="n">
        <v>0</v>
      </c>
      <c r="N65" s="20" t="n">
        <v>0</v>
      </c>
      <c r="O65" s="18" t="n">
        <v>0</v>
      </c>
      <c r="P65" s="20" t="n">
        <v>0</v>
      </c>
      <c r="Q65" s="18" t="n">
        <v>33.90539413</v>
      </c>
      <c r="R65" s="20" t="n">
        <v>1.57807862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50.32627311</v>
      </c>
      <c r="F69" s="20" t="n">
        <v>2.03613748</v>
      </c>
      <c r="G69" s="18" t="n">
        <v>49.44633644</v>
      </c>
      <c r="H69" s="20" t="n">
        <v>2.04653651</v>
      </c>
      <c r="I69" s="18" t="s">
        <v>349</v>
      </c>
      <c r="J69" s="20" t="s">
        <v>349</v>
      </c>
      <c r="K69" s="18" t="n">
        <v>0</v>
      </c>
      <c r="L69" s="20" t="n">
        <v>0</v>
      </c>
      <c r="M69" s="18" t="n">
        <v>0</v>
      </c>
      <c r="N69" s="20" t="n">
        <v>0</v>
      </c>
      <c r="O69" s="18" t="n">
        <v>0</v>
      </c>
      <c r="P69" s="20" t="n">
        <v>0</v>
      </c>
      <c r="Q69" s="18" t="n">
        <v>0.22739044</v>
      </c>
      <c r="R69" s="20" t="n">
        <v>0.16122468</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34.87639157</v>
      </c>
      <c r="F74" s="20" t="n">
        <v>1.7785563</v>
      </c>
      <c r="G74" s="18" t="n">
        <v>28.85145148</v>
      </c>
      <c r="H74" s="20" t="n">
        <v>1.82998559</v>
      </c>
      <c r="I74" s="18" t="s">
        <v>349</v>
      </c>
      <c r="J74" s="20" t="s">
        <v>349</v>
      </c>
      <c r="K74" s="18" t="n">
        <v>6.3419446</v>
      </c>
      <c r="L74" s="20" t="n">
        <v>0.89807959</v>
      </c>
      <c r="M74" s="18" t="n">
        <v>0</v>
      </c>
      <c r="N74" s="20" t="n">
        <v>0</v>
      </c>
      <c r="O74" s="18" t="n">
        <v>0</v>
      </c>
      <c r="P74" s="20" t="n">
        <v>0</v>
      </c>
      <c r="Q74" s="18" t="n">
        <v>29.93021235</v>
      </c>
      <c r="R74" s="20" t="n">
        <v>1.95963966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43.75241245</v>
      </c>
      <c r="F78" s="20" t="n">
        <v>2.36605666</v>
      </c>
      <c r="G78" s="18" t="n">
        <v>54.05413218</v>
      </c>
      <c r="H78" s="20" t="n">
        <v>2.28432163</v>
      </c>
      <c r="I78" s="18" t="s">
        <v>349</v>
      </c>
      <c r="J78" s="20" t="s">
        <v>349</v>
      </c>
      <c r="K78" s="18" t="n">
        <v>0</v>
      </c>
      <c r="L78" s="20" t="n">
        <v>0</v>
      </c>
      <c r="M78" s="18" t="n">
        <v>0</v>
      </c>
      <c r="N78" s="20" t="n">
        <v>0</v>
      </c>
      <c r="O78" s="18" t="n">
        <v>0</v>
      </c>
      <c r="P78" s="20" t="n">
        <v>0</v>
      </c>
      <c r="Q78" s="18" t="n">
        <v>2.19345537</v>
      </c>
      <c r="R78" s="20" t="n">
        <v>0.50357128</v>
      </c>
    </row>
    <row customHeight="1" ht="25" r="79" spans="1:18">
      <c r="A79" s="15" t="s">
        <v>421</v>
      </c>
      <c r="B79" s="17" t="n">
        <v>1657</v>
      </c>
      <c r="C79" s="18">
        <f>(1367.0/B79*100)</f>
        <v/>
      </c>
      <c r="D79" s="19" t="n">
        <v>290</v>
      </c>
      <c r="E79" s="18" t="n">
        <v>25.54381799</v>
      </c>
      <c r="F79" s="20" t="n">
        <v>2.85003358</v>
      </c>
      <c r="G79" s="18" t="n">
        <v>38.20575276</v>
      </c>
      <c r="H79" s="20" t="n">
        <v>4.40407268</v>
      </c>
      <c r="I79" s="18" t="s">
        <v>349</v>
      </c>
      <c r="J79" s="20" t="s">
        <v>349</v>
      </c>
      <c r="K79" s="18" t="n">
        <v>7.04099837</v>
      </c>
      <c r="L79" s="20" t="n">
        <v>1.87597064</v>
      </c>
      <c r="M79" s="18" t="n">
        <v>0</v>
      </c>
      <c r="N79" s="20" t="n">
        <v>0</v>
      </c>
      <c r="O79" s="18" t="n">
        <v>0</v>
      </c>
      <c r="P79" s="20" t="n">
        <v>0</v>
      </c>
      <c r="Q79" s="18" t="n">
        <v>29.20943089</v>
      </c>
      <c r="R79" s="20" t="n">
        <v>3.39629353</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610</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59.7713132</v>
      </c>
      <c r="F45" s="20" t="n">
        <v>1.81651698</v>
      </c>
      <c r="G45" s="18" t="n">
        <v>12.99956901</v>
      </c>
      <c r="H45" s="20" t="n">
        <v>1.05288287</v>
      </c>
      <c r="I45" s="18" t="s">
        <v>349</v>
      </c>
      <c r="J45" s="20" t="s">
        <v>349</v>
      </c>
      <c r="K45" s="18" t="n">
        <v>5.66277746</v>
      </c>
      <c r="L45" s="20" t="n">
        <v>0.85189234</v>
      </c>
      <c r="M45" s="18" t="n">
        <v>0.2014372</v>
      </c>
      <c r="N45" s="20" t="n">
        <v>0.14916495</v>
      </c>
      <c r="O45" s="18" t="n">
        <v>0</v>
      </c>
      <c r="P45" s="20" t="n">
        <v>0</v>
      </c>
      <c r="Q45" s="18" t="n">
        <v>21.36490313</v>
      </c>
      <c r="R45" s="20" t="n">
        <v>1.49562713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69.33498307000001</v>
      </c>
      <c r="F49" s="20" t="n">
        <v>1.89949429</v>
      </c>
      <c r="G49" s="18" t="n">
        <v>5.36057085</v>
      </c>
      <c r="H49" s="20" t="n">
        <v>0.7302613999999999</v>
      </c>
      <c r="I49" s="18" t="s">
        <v>349</v>
      </c>
      <c r="J49" s="20" t="s">
        <v>349</v>
      </c>
      <c r="K49" s="18" t="n">
        <v>4.60846064</v>
      </c>
      <c r="L49" s="20" t="n">
        <v>0.69677987</v>
      </c>
      <c r="M49" s="18" t="n">
        <v>0.26597032</v>
      </c>
      <c r="N49" s="20" t="n">
        <v>0.18273064</v>
      </c>
      <c r="O49" s="18" t="n">
        <v>0</v>
      </c>
      <c r="P49" s="20" t="n">
        <v>0</v>
      </c>
      <c r="Q49" s="18" t="n">
        <v>20.43001511</v>
      </c>
      <c r="R49" s="20" t="n">
        <v>1.60365919</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81.17033893999999</v>
      </c>
      <c r="F58" s="20" t="n">
        <v>1.29967</v>
      </c>
      <c r="G58" s="18" t="n">
        <v>1.92811399</v>
      </c>
      <c r="H58" s="20" t="n">
        <v>0.38182709</v>
      </c>
      <c r="I58" s="18" t="s">
        <v>349</v>
      </c>
      <c r="J58" s="20" t="s">
        <v>349</v>
      </c>
      <c r="K58" s="18" t="n">
        <v>3.19082658</v>
      </c>
      <c r="L58" s="20" t="n">
        <v>0.5303226</v>
      </c>
      <c r="M58" s="18" t="n">
        <v>0</v>
      </c>
      <c r="N58" s="20" t="n">
        <v>0</v>
      </c>
      <c r="O58" s="18" t="n">
        <v>0</v>
      </c>
      <c r="P58" s="20" t="n">
        <v>0</v>
      </c>
      <c r="Q58" s="18" t="n">
        <v>13.71072048</v>
      </c>
      <c r="R58" s="20" t="n">
        <v>1.0705873</v>
      </c>
    </row>
    <row r="59" spans="1:18">
      <c r="A59" s="15" t="s">
        <v>401</v>
      </c>
      <c r="B59" s="17" t="n">
        <v>4826</v>
      </c>
      <c r="C59" s="18">
        <f>(4005.0/B59*100)</f>
        <v/>
      </c>
      <c r="D59" s="19" t="n">
        <v>821</v>
      </c>
      <c r="E59" s="18" t="n">
        <v>75.11785854999999</v>
      </c>
      <c r="F59" s="20" t="n">
        <v>2.03541886</v>
      </c>
      <c r="G59" s="18" t="n">
        <v>2.22784437</v>
      </c>
      <c r="H59" s="20" t="n">
        <v>0.65935996</v>
      </c>
      <c r="I59" s="18" t="s">
        <v>349</v>
      </c>
      <c r="J59" s="20" t="s">
        <v>349</v>
      </c>
      <c r="K59" s="18" t="n">
        <v>1.7075341</v>
      </c>
      <c r="L59" s="20" t="n">
        <v>0.5667728400000001</v>
      </c>
      <c r="M59" s="18" t="n">
        <v>0</v>
      </c>
      <c r="N59" s="20" t="n">
        <v>0</v>
      </c>
      <c r="O59" s="18" t="n">
        <v>0</v>
      </c>
      <c r="P59" s="20" t="n">
        <v>0</v>
      </c>
      <c r="Q59" s="18" t="n">
        <v>20.94676298</v>
      </c>
      <c r="R59" s="20" t="n">
        <v>1.84296528</v>
      </c>
    </row>
    <row r="60" spans="1:18">
      <c r="A60" s="15" t="s">
        <v>402</v>
      </c>
      <c r="B60" s="17" t="n">
        <v>4546</v>
      </c>
      <c r="C60" s="18">
        <f>(3800.0/B60*100)</f>
        <v/>
      </c>
      <c r="D60" s="19" t="n">
        <v>746</v>
      </c>
      <c r="E60" s="18" t="n">
        <v>62.95335204</v>
      </c>
      <c r="F60" s="20" t="n">
        <v>1.90542388</v>
      </c>
      <c r="G60" s="18" t="n">
        <v>5.55379105</v>
      </c>
      <c r="H60" s="20" t="n">
        <v>0.83475385</v>
      </c>
      <c r="I60" s="18" t="s">
        <v>349</v>
      </c>
      <c r="J60" s="20" t="s">
        <v>349</v>
      </c>
      <c r="K60" s="18" t="n">
        <v>4.37298311</v>
      </c>
      <c r="L60" s="20" t="n">
        <v>0.9408924</v>
      </c>
      <c r="M60" s="18" t="n">
        <v>0</v>
      </c>
      <c r="N60" s="20" t="n">
        <v>0</v>
      </c>
      <c r="O60" s="18" t="n">
        <v>0.27180062</v>
      </c>
      <c r="P60" s="20" t="n">
        <v>0.26646338</v>
      </c>
      <c r="Q60" s="18" t="n">
        <v>26.84807319</v>
      </c>
      <c r="R60" s="20" t="n">
        <v>1.57100905</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52.23553449</v>
      </c>
      <c r="F63" s="20" t="n">
        <v>1.69144925</v>
      </c>
      <c r="G63" s="18" t="n">
        <v>4.21124113</v>
      </c>
      <c r="H63" s="20" t="n">
        <v>0.76948225</v>
      </c>
      <c r="I63" s="18" t="s">
        <v>349</v>
      </c>
      <c r="J63" s="20" t="s">
        <v>349</v>
      </c>
      <c r="K63" s="18" t="n">
        <v>3.04597887</v>
      </c>
      <c r="L63" s="20" t="n">
        <v>0.52620614</v>
      </c>
      <c r="M63" s="18" t="n">
        <v>0</v>
      </c>
      <c r="N63" s="20" t="n">
        <v>0</v>
      </c>
      <c r="O63" s="18" t="n">
        <v>0</v>
      </c>
      <c r="P63" s="20" t="n">
        <v>0</v>
      </c>
      <c r="Q63" s="18" t="n">
        <v>40.50724551</v>
      </c>
      <c r="R63" s="20" t="n">
        <v>1.78129626</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59.51098178</v>
      </c>
      <c r="F65" s="20" t="n">
        <v>2.00218736</v>
      </c>
      <c r="G65" s="18" t="n">
        <v>5.54172371</v>
      </c>
      <c r="H65" s="20" t="n">
        <v>0.7755926400000001</v>
      </c>
      <c r="I65" s="18" t="s">
        <v>349</v>
      </c>
      <c r="J65" s="20" t="s">
        <v>349</v>
      </c>
      <c r="K65" s="18" t="n">
        <v>5.83717736</v>
      </c>
      <c r="L65" s="20" t="n">
        <v>0.67679966</v>
      </c>
      <c r="M65" s="18" t="n">
        <v>0</v>
      </c>
      <c r="N65" s="20" t="n">
        <v>0</v>
      </c>
      <c r="O65" s="18" t="n">
        <v>0</v>
      </c>
      <c r="P65" s="20" t="n">
        <v>0</v>
      </c>
      <c r="Q65" s="18" t="n">
        <v>29.11011714</v>
      </c>
      <c r="R65" s="20" t="n">
        <v>1.84564752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72.79009542999999</v>
      </c>
      <c r="F69" s="20" t="n">
        <v>1.64155999</v>
      </c>
      <c r="G69" s="18" t="n">
        <v>26.99206119</v>
      </c>
      <c r="H69" s="20" t="n">
        <v>1.6409661</v>
      </c>
      <c r="I69" s="18" t="s">
        <v>349</v>
      </c>
      <c r="J69" s="20" t="s">
        <v>349</v>
      </c>
      <c r="K69" s="18" t="n">
        <v>0</v>
      </c>
      <c r="L69" s="20" t="n">
        <v>0</v>
      </c>
      <c r="M69" s="18" t="n">
        <v>0</v>
      </c>
      <c r="N69" s="20" t="n">
        <v>0</v>
      </c>
      <c r="O69" s="18" t="n">
        <v>0</v>
      </c>
      <c r="P69" s="20" t="n">
        <v>0</v>
      </c>
      <c r="Q69" s="18" t="n">
        <v>0.21784338</v>
      </c>
      <c r="R69" s="20" t="n">
        <v>0.15299751</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71.91754457</v>
      </c>
      <c r="F74" s="20" t="n">
        <v>1.69342999</v>
      </c>
      <c r="G74" s="18" t="n">
        <v>2.17609531</v>
      </c>
      <c r="H74" s="20" t="n">
        <v>0.48969192</v>
      </c>
      <c r="I74" s="18" t="s">
        <v>349</v>
      </c>
      <c r="J74" s="20" t="s">
        <v>349</v>
      </c>
      <c r="K74" s="18" t="n">
        <v>6.60773296</v>
      </c>
      <c r="L74" s="20" t="n">
        <v>0.91380693</v>
      </c>
      <c r="M74" s="18" t="n">
        <v>0</v>
      </c>
      <c r="N74" s="20" t="n">
        <v>0</v>
      </c>
      <c r="O74" s="18" t="n">
        <v>0</v>
      </c>
      <c r="P74" s="20" t="n">
        <v>0</v>
      </c>
      <c r="Q74" s="18" t="n">
        <v>19.29862716</v>
      </c>
      <c r="R74" s="20" t="n">
        <v>1.63390576</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82.50109224000001</v>
      </c>
      <c r="F78" s="20" t="n">
        <v>1.63547083</v>
      </c>
      <c r="G78" s="18" t="n">
        <v>14.17299224</v>
      </c>
      <c r="H78" s="20" t="n">
        <v>1.51894909</v>
      </c>
      <c r="I78" s="18" t="s">
        <v>349</v>
      </c>
      <c r="J78" s="20" t="s">
        <v>349</v>
      </c>
      <c r="K78" s="18" t="n">
        <v>0</v>
      </c>
      <c r="L78" s="20" t="n">
        <v>0</v>
      </c>
      <c r="M78" s="18" t="n">
        <v>0</v>
      </c>
      <c r="N78" s="20" t="n">
        <v>0</v>
      </c>
      <c r="O78" s="18" t="n">
        <v>0</v>
      </c>
      <c r="P78" s="20" t="n">
        <v>0</v>
      </c>
      <c r="Q78" s="18" t="n">
        <v>3.32591553</v>
      </c>
      <c r="R78" s="20" t="n">
        <v>0.87895555</v>
      </c>
    </row>
    <row customHeight="1" ht="25" r="79" spans="1:18">
      <c r="A79" s="15" t="s">
        <v>421</v>
      </c>
      <c r="B79" s="17" t="n">
        <v>1657</v>
      </c>
      <c r="C79" s="18">
        <f>(1367.0/B79*100)</f>
        <v/>
      </c>
      <c r="D79" s="19" t="n">
        <v>290</v>
      </c>
      <c r="E79" s="18" t="n">
        <v>61.31832575</v>
      </c>
      <c r="F79" s="20" t="n">
        <v>3.29650939</v>
      </c>
      <c r="G79" s="18" t="n">
        <v>15.21125253</v>
      </c>
      <c r="H79" s="20" t="n">
        <v>2.79568851</v>
      </c>
      <c r="I79" s="18" t="s">
        <v>349</v>
      </c>
      <c r="J79" s="20" t="s">
        <v>349</v>
      </c>
      <c r="K79" s="18" t="n">
        <v>7.04099837</v>
      </c>
      <c r="L79" s="20" t="n">
        <v>1.87597064</v>
      </c>
      <c r="M79" s="18" t="n">
        <v>0</v>
      </c>
      <c r="N79" s="20" t="n">
        <v>0</v>
      </c>
      <c r="O79" s="18" t="n">
        <v>0</v>
      </c>
      <c r="P79" s="20" t="n">
        <v>0</v>
      </c>
      <c r="Q79" s="18" t="n">
        <v>16.42942335</v>
      </c>
      <c r="R79" s="20" t="n">
        <v>2.40104087</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611</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42.43778641</v>
      </c>
      <c r="F45" s="20" t="n">
        <v>1.92191284</v>
      </c>
      <c r="G45" s="18" t="n">
        <v>14.18231554</v>
      </c>
      <c r="H45" s="20" t="n">
        <v>1.02012735</v>
      </c>
      <c r="I45" s="18" t="s">
        <v>349</v>
      </c>
      <c r="J45" s="20" t="s">
        <v>349</v>
      </c>
      <c r="K45" s="18" t="n">
        <v>5.97396468</v>
      </c>
      <c r="L45" s="20" t="n">
        <v>0.88622409</v>
      </c>
      <c r="M45" s="18" t="n">
        <v>2.22696538</v>
      </c>
      <c r="N45" s="20" t="n">
        <v>0.44289957</v>
      </c>
      <c r="O45" s="18" t="n">
        <v>0.55951197</v>
      </c>
      <c r="P45" s="20" t="n">
        <v>0.23609419</v>
      </c>
      <c r="Q45" s="18" t="n">
        <v>34.61945602</v>
      </c>
      <c r="R45" s="20" t="n">
        <v>1.73239703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43.47875418</v>
      </c>
      <c r="F49" s="20" t="n">
        <v>1.77188578</v>
      </c>
      <c r="G49" s="18" t="n">
        <v>36.35796203</v>
      </c>
      <c r="H49" s="20" t="n">
        <v>1.63109628</v>
      </c>
      <c r="I49" s="18" t="s">
        <v>349</v>
      </c>
      <c r="J49" s="20" t="s">
        <v>349</v>
      </c>
      <c r="K49" s="18" t="n">
        <v>4.62138361</v>
      </c>
      <c r="L49" s="20" t="n">
        <v>0.69911745</v>
      </c>
      <c r="M49" s="18" t="n">
        <v>0.26597032</v>
      </c>
      <c r="N49" s="20" t="n">
        <v>0.18273064</v>
      </c>
      <c r="O49" s="18" t="n">
        <v>0.01292296</v>
      </c>
      <c r="P49" s="20" t="n">
        <v>0.01242128</v>
      </c>
      <c r="Q49" s="18" t="n">
        <v>15.26300691</v>
      </c>
      <c r="R49" s="20" t="n">
        <v>1.33310631</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51.81922736</v>
      </c>
      <c r="F58" s="20" t="n">
        <v>1.72753354</v>
      </c>
      <c r="G58" s="18" t="n">
        <v>31.46306985</v>
      </c>
      <c r="H58" s="20" t="n">
        <v>1.78404475</v>
      </c>
      <c r="I58" s="18" t="s">
        <v>349</v>
      </c>
      <c r="J58" s="20" t="s">
        <v>349</v>
      </c>
      <c r="K58" s="18" t="n">
        <v>3.5961583</v>
      </c>
      <c r="L58" s="20" t="n">
        <v>0.5586257</v>
      </c>
      <c r="M58" s="18" t="n">
        <v>0</v>
      </c>
      <c r="N58" s="20" t="n">
        <v>0</v>
      </c>
      <c r="O58" s="18" t="n">
        <v>0.80727382</v>
      </c>
      <c r="P58" s="20" t="n">
        <v>0.28143253</v>
      </c>
      <c r="Q58" s="18" t="n">
        <v>12.31427067</v>
      </c>
      <c r="R58" s="20" t="n">
        <v>1.01108099</v>
      </c>
    </row>
    <row r="59" spans="1:18">
      <c r="A59" s="15" t="s">
        <v>401</v>
      </c>
      <c r="B59" s="17" t="n">
        <v>4826</v>
      </c>
      <c r="C59" s="18">
        <f>(4005.0/B59*100)</f>
        <v/>
      </c>
      <c r="D59" s="19" t="n">
        <v>821</v>
      </c>
      <c r="E59" s="18" t="n">
        <v>46.02429523</v>
      </c>
      <c r="F59" s="20" t="n">
        <v>2.29193643</v>
      </c>
      <c r="G59" s="18" t="n">
        <v>24.89796241</v>
      </c>
      <c r="H59" s="20" t="n">
        <v>1.81935103</v>
      </c>
      <c r="I59" s="18" t="s">
        <v>349</v>
      </c>
      <c r="J59" s="20" t="s">
        <v>349</v>
      </c>
      <c r="K59" s="18" t="n">
        <v>2.05095363</v>
      </c>
      <c r="L59" s="20" t="n">
        <v>0.63842035</v>
      </c>
      <c r="M59" s="18" t="n">
        <v>0.1007376</v>
      </c>
      <c r="N59" s="20" t="n">
        <v>0.07139543</v>
      </c>
      <c r="O59" s="18" t="n">
        <v>0.31953427</v>
      </c>
      <c r="P59" s="20" t="n">
        <v>0.27073152</v>
      </c>
      <c r="Q59" s="18" t="n">
        <v>26.60651686</v>
      </c>
      <c r="R59" s="20" t="n">
        <v>1.9875066</v>
      </c>
    </row>
    <row r="60" spans="1:18">
      <c r="A60" s="15" t="s">
        <v>402</v>
      </c>
      <c r="B60" s="17" t="n">
        <v>4546</v>
      </c>
      <c r="C60" s="18">
        <f>(3800.0/B60*100)</f>
        <v/>
      </c>
      <c r="D60" s="19" t="n">
        <v>746</v>
      </c>
      <c r="E60" s="18" t="n">
        <v>28.20121774</v>
      </c>
      <c r="F60" s="20" t="n">
        <v>2.06569501</v>
      </c>
      <c r="G60" s="18" t="n">
        <v>42.61246437</v>
      </c>
      <c r="H60" s="20" t="n">
        <v>2.21284137</v>
      </c>
      <c r="I60" s="18" t="s">
        <v>349</v>
      </c>
      <c r="J60" s="20" t="s">
        <v>349</v>
      </c>
      <c r="K60" s="18" t="n">
        <v>4.96899223</v>
      </c>
      <c r="L60" s="20" t="n">
        <v>1.04692241</v>
      </c>
      <c r="M60" s="18" t="n">
        <v>0</v>
      </c>
      <c r="N60" s="20" t="n">
        <v>0</v>
      </c>
      <c r="O60" s="18" t="n">
        <v>0.44177801</v>
      </c>
      <c r="P60" s="20" t="n">
        <v>0.22177316</v>
      </c>
      <c r="Q60" s="18" t="n">
        <v>23.77554766</v>
      </c>
      <c r="R60" s="20" t="n">
        <v>1.8790367</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40.36796765</v>
      </c>
      <c r="F63" s="20" t="n">
        <v>2.13703416</v>
      </c>
      <c r="G63" s="18" t="n">
        <v>30.66774134</v>
      </c>
      <c r="H63" s="20" t="n">
        <v>1.75845893</v>
      </c>
      <c r="I63" s="18" t="s">
        <v>349</v>
      </c>
      <c r="J63" s="20" t="s">
        <v>349</v>
      </c>
      <c r="K63" s="18" t="n">
        <v>3.59655785</v>
      </c>
      <c r="L63" s="20" t="n">
        <v>0.60204908</v>
      </c>
      <c r="M63" s="18" t="n">
        <v>0</v>
      </c>
      <c r="N63" s="20" t="n">
        <v>0</v>
      </c>
      <c r="O63" s="18" t="n">
        <v>0.1475706</v>
      </c>
      <c r="P63" s="20" t="n">
        <v>0.1146051</v>
      </c>
      <c r="Q63" s="18" t="n">
        <v>25.22016257</v>
      </c>
      <c r="R63" s="20" t="n">
        <v>1.75812681</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35.37703461</v>
      </c>
      <c r="F65" s="20" t="n">
        <v>2.02581801</v>
      </c>
      <c r="G65" s="18" t="n">
        <v>42.90625731</v>
      </c>
      <c r="H65" s="20" t="n">
        <v>1.80589772</v>
      </c>
      <c r="I65" s="18" t="s">
        <v>349</v>
      </c>
      <c r="J65" s="20" t="s">
        <v>349</v>
      </c>
      <c r="K65" s="18" t="n">
        <v>6.18413037</v>
      </c>
      <c r="L65" s="20" t="n">
        <v>0.75394133</v>
      </c>
      <c r="M65" s="18" t="n">
        <v>0.24463184</v>
      </c>
      <c r="N65" s="20" t="n">
        <v>0.19536177</v>
      </c>
      <c r="O65" s="18" t="n">
        <v>0</v>
      </c>
      <c r="P65" s="20" t="n">
        <v>0</v>
      </c>
      <c r="Q65" s="18" t="n">
        <v>15.28794586</v>
      </c>
      <c r="R65" s="20" t="n">
        <v>1.17070742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55.17702906</v>
      </c>
      <c r="F69" s="20" t="n">
        <v>1.85637763</v>
      </c>
      <c r="G69" s="18" t="n">
        <v>42.82259387</v>
      </c>
      <c r="H69" s="20" t="n">
        <v>1.81642374</v>
      </c>
      <c r="I69" s="18" t="s">
        <v>349</v>
      </c>
      <c r="J69" s="20" t="s">
        <v>349</v>
      </c>
      <c r="K69" s="18" t="n">
        <v>0</v>
      </c>
      <c r="L69" s="20" t="n">
        <v>0</v>
      </c>
      <c r="M69" s="18" t="n">
        <v>0</v>
      </c>
      <c r="N69" s="20" t="n">
        <v>0</v>
      </c>
      <c r="O69" s="18" t="n">
        <v>0</v>
      </c>
      <c r="P69" s="20" t="n">
        <v>0</v>
      </c>
      <c r="Q69" s="18" t="n">
        <v>2.00037707</v>
      </c>
      <c r="R69" s="20" t="n">
        <v>0.45230225</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40.7118641</v>
      </c>
      <c r="F74" s="20" t="n">
        <v>1.89146226</v>
      </c>
      <c r="G74" s="18" t="n">
        <v>36.66404721</v>
      </c>
      <c r="H74" s="20" t="n">
        <v>1.91972779</v>
      </c>
      <c r="I74" s="18" t="s">
        <v>349</v>
      </c>
      <c r="J74" s="20" t="s">
        <v>349</v>
      </c>
      <c r="K74" s="18" t="n">
        <v>7.30664927</v>
      </c>
      <c r="L74" s="20" t="n">
        <v>0.96608779</v>
      </c>
      <c r="M74" s="18" t="n">
        <v>0</v>
      </c>
      <c r="N74" s="20" t="n">
        <v>0</v>
      </c>
      <c r="O74" s="18" t="n">
        <v>0.10535725</v>
      </c>
      <c r="P74" s="20" t="n">
        <v>0.10532429</v>
      </c>
      <c r="Q74" s="18" t="n">
        <v>15.21208218</v>
      </c>
      <c r="R74" s="20" t="n">
        <v>1.4160828</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17.8252259</v>
      </c>
      <c r="F78" s="20" t="n">
        <v>1.2857885</v>
      </c>
      <c r="G78" s="18" t="n">
        <v>81.90765304</v>
      </c>
      <c r="H78" s="20" t="n">
        <v>1.28775191</v>
      </c>
      <c r="I78" s="18" t="s">
        <v>349</v>
      </c>
      <c r="J78" s="20" t="s">
        <v>349</v>
      </c>
      <c r="K78" s="18" t="n">
        <v>0</v>
      </c>
      <c r="L78" s="20" t="n">
        <v>0</v>
      </c>
      <c r="M78" s="18" t="n">
        <v>0</v>
      </c>
      <c r="N78" s="20" t="n">
        <v>0</v>
      </c>
      <c r="O78" s="18" t="n">
        <v>0.06356934</v>
      </c>
      <c r="P78" s="20" t="n">
        <v>0.06398357</v>
      </c>
      <c r="Q78" s="18" t="n">
        <v>0.20355172</v>
      </c>
      <c r="R78" s="20" t="n">
        <v>0.14475699</v>
      </c>
    </row>
    <row customHeight="1" ht="25" r="79" spans="1:18">
      <c r="A79" s="15" t="s">
        <v>421</v>
      </c>
      <c r="B79" s="17" t="n">
        <v>1657</v>
      </c>
      <c r="C79" s="18">
        <f>(1367.0/B79*100)</f>
        <v/>
      </c>
      <c r="D79" s="19" t="n">
        <v>290</v>
      </c>
      <c r="E79" s="18" t="n">
        <v>31.83008192</v>
      </c>
      <c r="F79" s="20" t="n">
        <v>3.57225849</v>
      </c>
      <c r="G79" s="18" t="n">
        <v>50.56650076</v>
      </c>
      <c r="H79" s="20" t="n">
        <v>2.93405423</v>
      </c>
      <c r="I79" s="18" t="s">
        <v>349</v>
      </c>
      <c r="J79" s="20" t="s">
        <v>349</v>
      </c>
      <c r="K79" s="18" t="n">
        <v>7.19231782</v>
      </c>
      <c r="L79" s="20" t="n">
        <v>1.89510986</v>
      </c>
      <c r="M79" s="18" t="n">
        <v>0</v>
      </c>
      <c r="N79" s="20" t="n">
        <v>0</v>
      </c>
      <c r="O79" s="18" t="n">
        <v>0.15131946</v>
      </c>
      <c r="P79" s="20" t="n">
        <v>0.14776425</v>
      </c>
      <c r="Q79" s="18" t="n">
        <v>10.25978004</v>
      </c>
      <c r="R79" s="20" t="n">
        <v>2.21347482</v>
      </c>
    </row>
    <row r="80" spans="1:18">
      <c r="A80" s="15" t="s">
        <v>422</v>
      </c>
      <c r="B80" s="17" t="n">
        <v>7841</v>
      </c>
      <c r="C80" s="18">
        <f>(6541.0/B80*100)</f>
        <v/>
      </c>
      <c r="D80" s="19" t="n">
        <v>1300</v>
      </c>
      <c r="E80" s="18" t="n">
        <v>38.46694567</v>
      </c>
      <c r="F80" s="20" t="n">
        <v>2.13887744</v>
      </c>
      <c r="G80" s="18" t="n">
        <v>60.86973145</v>
      </c>
      <c r="H80" s="20" t="n">
        <v>2.16505754</v>
      </c>
      <c r="I80" s="18" t="s">
        <v>349</v>
      </c>
      <c r="J80" s="20" t="s">
        <v>349</v>
      </c>
      <c r="K80" s="18" t="n">
        <v>0</v>
      </c>
      <c r="L80" s="20" t="n">
        <v>0</v>
      </c>
      <c r="M80" s="18" t="n">
        <v>0</v>
      </c>
      <c r="N80" s="20" t="n">
        <v>0</v>
      </c>
      <c r="O80" s="18" t="n">
        <v>0</v>
      </c>
      <c r="P80" s="20" t="n">
        <v>0</v>
      </c>
      <c r="Q80" s="18" t="n">
        <v>0.6633228799999999</v>
      </c>
      <c r="R80" s="20" t="n">
        <v>0.25041751</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T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331</v>
      </c>
    </row>
    <row r="2" spans="1:20">
      <c r="A2" s="5" t="s">
        <v>612</v>
      </c>
    </row>
    <row customHeight="1" ht="30" r="4" spans="1:20">
      <c r="A4" s="6" t="n"/>
      <c r="B4" s="7" t="s">
        <v>333</v>
      </c>
      <c r="C4" s="7" t="s">
        <v>334</v>
      </c>
      <c r="D4" s="8" t="s">
        <v>333</v>
      </c>
      <c r="E4" s="9" t="s">
        <v>464</v>
      </c>
      <c r="F4" s="10" t="n"/>
      <c r="G4" s="9" t="s">
        <v>493</v>
      </c>
      <c r="H4" s="10" t="n"/>
      <c r="I4" s="9" t="s">
        <v>494</v>
      </c>
      <c r="J4" s="10" t="n"/>
      <c r="K4" s="9" t="s">
        <v>337</v>
      </c>
      <c r="L4" s="10" t="n"/>
      <c r="M4" s="9" t="s">
        <v>338</v>
      </c>
      <c r="N4" s="10" t="n"/>
      <c r="O4" s="9" t="s">
        <v>339</v>
      </c>
      <c r="P4" s="10" t="n"/>
      <c r="Q4" s="9" t="s">
        <v>340</v>
      </c>
      <c r="R4" s="10" t="n"/>
      <c r="S4" s="9" t="s">
        <v>341</v>
      </c>
      <c r="T4" s="10" t="n"/>
    </row>
    <row r="5" spans="1:20">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c r="S5" s="12" t="s">
        <v>345</v>
      </c>
      <c r="T5" s="11" t="s">
        <v>346</v>
      </c>
    </row>
    <row r="6" spans="1:20">
      <c r="A6" s="13" t="s">
        <v>347</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c r="S7" s="18" t="s">
        <v>349</v>
      </c>
      <c r="T7" s="20" t="s">
        <v>349</v>
      </c>
    </row>
    <row r="8" spans="1:20">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c r="S8" s="18" t="s">
        <v>349</v>
      </c>
      <c r="T8" s="20" t="s">
        <v>349</v>
      </c>
    </row>
    <row r="9" spans="1:20">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c r="S9" s="18" t="s">
        <v>349</v>
      </c>
      <c r="T9" s="20" t="s">
        <v>349</v>
      </c>
    </row>
    <row r="10" spans="1:20">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c r="S10" s="18" t="s">
        <v>349</v>
      </c>
      <c r="T10" s="20" t="s">
        <v>349</v>
      </c>
    </row>
    <row r="11" spans="1:20">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c r="S11" s="18" t="s">
        <v>349</v>
      </c>
      <c r="T11" s="20" t="s">
        <v>349</v>
      </c>
    </row>
    <row r="12" spans="1:20">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c r="S12" s="18" t="s">
        <v>349</v>
      </c>
      <c r="T12" s="20" t="s">
        <v>349</v>
      </c>
    </row>
    <row r="13" spans="1:20">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c r="S13" s="18" t="s">
        <v>349</v>
      </c>
      <c r="T13" s="20" t="s">
        <v>349</v>
      </c>
    </row>
    <row r="14" spans="1:20">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c r="S14" s="18" t="s">
        <v>349</v>
      </c>
      <c r="T14" s="20" t="s">
        <v>349</v>
      </c>
    </row>
    <row r="15" spans="1:20">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c r="S15" s="18" t="s">
        <v>349</v>
      </c>
      <c r="T15" s="20" t="s">
        <v>349</v>
      </c>
    </row>
    <row r="16" spans="1:20">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c r="S16" s="18" t="s">
        <v>349</v>
      </c>
      <c r="T16" s="20" t="s">
        <v>349</v>
      </c>
    </row>
    <row r="17" spans="1:20">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c r="S17" s="18" t="s">
        <v>349</v>
      </c>
      <c r="T17" s="20" t="s">
        <v>349</v>
      </c>
    </row>
    <row r="18" spans="1:20">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c r="S18" s="18" t="s">
        <v>349</v>
      </c>
      <c r="T18" s="20" t="s">
        <v>349</v>
      </c>
    </row>
    <row r="19" spans="1:20">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c r="S19" s="18" t="s">
        <v>349</v>
      </c>
      <c r="T19" s="20" t="s">
        <v>349</v>
      </c>
    </row>
    <row r="20" spans="1:20">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c r="S20" s="18" t="s">
        <v>349</v>
      </c>
      <c r="T20" s="20" t="s">
        <v>349</v>
      </c>
    </row>
    <row r="21" spans="1:20">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c r="S21" s="18" t="s">
        <v>349</v>
      </c>
      <c r="T21" s="20" t="s">
        <v>349</v>
      </c>
    </row>
    <row r="22" spans="1:20">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c r="S22" s="18" t="s">
        <v>349</v>
      </c>
      <c r="T22" s="20" t="s">
        <v>349</v>
      </c>
    </row>
    <row r="23" spans="1:20">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c r="S23" s="18" t="s">
        <v>349</v>
      </c>
      <c r="T23" s="20" t="s">
        <v>349</v>
      </c>
    </row>
    <row r="24" spans="1:20">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c r="S24" s="18" t="s">
        <v>349</v>
      </c>
      <c r="T24" s="20" t="s">
        <v>349</v>
      </c>
    </row>
    <row r="25" spans="1:20">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c r="S25" s="18" t="s">
        <v>349</v>
      </c>
      <c r="T25" s="20" t="s">
        <v>349</v>
      </c>
    </row>
    <row r="26" spans="1:20">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c r="S26" s="18" t="s">
        <v>349</v>
      </c>
      <c r="T26" s="20" t="s">
        <v>349</v>
      </c>
    </row>
    <row r="27" spans="1:20">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c r="S27" s="18" t="s">
        <v>349</v>
      </c>
      <c r="T27" s="20" t="s">
        <v>349</v>
      </c>
    </row>
    <row r="28" spans="1:20">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c r="S28" s="18" t="s">
        <v>349</v>
      </c>
      <c r="T28" s="20" t="s">
        <v>349</v>
      </c>
    </row>
    <row r="29" spans="1:20">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c r="S29" s="18" t="s">
        <v>349</v>
      </c>
      <c r="T29" s="20" t="s">
        <v>349</v>
      </c>
    </row>
    <row r="30" spans="1:20">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c r="S30" s="18" t="s">
        <v>349</v>
      </c>
      <c r="T30" s="20" t="s">
        <v>349</v>
      </c>
    </row>
    <row r="31" spans="1:20">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c r="S31" s="18" t="s">
        <v>349</v>
      </c>
      <c r="T31" s="20" t="s">
        <v>349</v>
      </c>
    </row>
    <row r="32" spans="1:20">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c r="S32" s="18" t="s">
        <v>349</v>
      </c>
      <c r="T32" s="20" t="s">
        <v>349</v>
      </c>
    </row>
    <row r="33" spans="1:20">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c r="S33" s="18" t="s">
        <v>349</v>
      </c>
      <c r="T33" s="20" t="s">
        <v>349</v>
      </c>
    </row>
    <row r="34" spans="1:20">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c r="S34" s="18" t="s">
        <v>349</v>
      </c>
      <c r="T34" s="20" t="s">
        <v>349</v>
      </c>
    </row>
    <row r="35" spans="1:20">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c r="S35" s="18" t="s">
        <v>349</v>
      </c>
      <c r="T35" s="20" t="s">
        <v>349</v>
      </c>
    </row>
    <row r="36" spans="1:20">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c r="S36" s="18" t="s">
        <v>349</v>
      </c>
      <c r="T36" s="20" t="s">
        <v>349</v>
      </c>
    </row>
    <row r="37" spans="1:20">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c r="S37" s="18" t="s">
        <v>349</v>
      </c>
      <c r="T37" s="20" t="s">
        <v>349</v>
      </c>
    </row>
    <row r="38" spans="1:20">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c r="S38" s="18" t="s">
        <v>349</v>
      </c>
      <c r="T38" s="20" t="s">
        <v>349</v>
      </c>
    </row>
    <row r="39" spans="1:20">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c r="S39" s="18" t="s">
        <v>349</v>
      </c>
      <c r="T39" s="20" t="s">
        <v>349</v>
      </c>
    </row>
    <row r="40" spans="1:20">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c r="S40" s="18" t="s">
        <v>349</v>
      </c>
      <c r="T40" s="20" t="s">
        <v>349</v>
      </c>
    </row>
    <row r="41" spans="1:20">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c r="S41" s="18" t="s">
        <v>349</v>
      </c>
      <c r="T41" s="20" t="s">
        <v>349</v>
      </c>
    </row>
    <row r="42" spans="1:20">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385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c r="S44" s="18" t="s">
        <v>349</v>
      </c>
      <c r="T44" s="20" t="s">
        <v>349</v>
      </c>
    </row>
    <row r="45" spans="1:20">
      <c r="A45" s="15" t="s">
        <v>387</v>
      </c>
      <c r="B45" s="17" t="n">
        <v>5519</v>
      </c>
      <c r="C45" s="18">
        <f>(4607.0/B45*100)</f>
        <v/>
      </c>
      <c r="D45" s="19" t="n">
        <v>912</v>
      </c>
      <c r="E45" s="18" t="n">
        <v>28.59012877</v>
      </c>
      <c r="F45" s="20" t="n">
        <v>1.52142967</v>
      </c>
      <c r="G45" s="18" t="n">
        <v>25.62174042</v>
      </c>
      <c r="H45" s="20" t="n">
        <v>1.64581519</v>
      </c>
      <c r="I45" s="18" t="n">
        <v>14.87108771</v>
      </c>
      <c r="J45" s="20" t="n">
        <v>1.31263128</v>
      </c>
      <c r="K45" s="18" t="s">
        <v>349</v>
      </c>
      <c r="L45" s="20" t="s">
        <v>349</v>
      </c>
      <c r="M45" s="18" t="n">
        <v>6.21308592</v>
      </c>
      <c r="N45" s="20" t="n">
        <v>0.88685979</v>
      </c>
      <c r="O45" s="18" t="n">
        <v>0.48914702</v>
      </c>
      <c r="P45" s="20" t="n">
        <v>0.22862071</v>
      </c>
      <c r="Q45" s="18" t="n">
        <v>0</v>
      </c>
      <c r="R45" s="20" t="n">
        <v>0</v>
      </c>
      <c r="S45" s="18" t="n">
        <v>24.21481016</v>
      </c>
      <c r="T45" s="20" t="n">
        <v>1.60136383</v>
      </c>
    </row>
    <row r="46" spans="1:20">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c r="S46" s="18" t="s">
        <v>349</v>
      </c>
      <c r="T46" s="20" t="s">
        <v>349</v>
      </c>
    </row>
    <row r="47" spans="1:20">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c r="S47" s="18" t="s">
        <v>349</v>
      </c>
      <c r="T47" s="20" t="s">
        <v>349</v>
      </c>
    </row>
    <row r="48" spans="1:20">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c r="S48" s="18" t="s">
        <v>349</v>
      </c>
      <c r="T48" s="20" t="s">
        <v>349</v>
      </c>
    </row>
    <row r="49" spans="1:20">
      <c r="A49" s="15" t="s">
        <v>391</v>
      </c>
      <c r="B49" s="17" t="n">
        <v>6349</v>
      </c>
      <c r="C49" s="18">
        <f>(5268.0/B49*100)</f>
        <v/>
      </c>
      <c r="D49" s="19" t="n">
        <v>1081</v>
      </c>
      <c r="E49" s="18" t="n">
        <v>22.4746657</v>
      </c>
      <c r="F49" s="20" t="n">
        <v>1.57070589</v>
      </c>
      <c r="G49" s="18" t="n">
        <v>22.02098768</v>
      </c>
      <c r="H49" s="20" t="n">
        <v>1.41921578</v>
      </c>
      <c r="I49" s="18" t="n">
        <v>24.22714444</v>
      </c>
      <c r="J49" s="20" t="n">
        <v>1.73849046</v>
      </c>
      <c r="K49" s="18" t="s">
        <v>349</v>
      </c>
      <c r="L49" s="20" t="s">
        <v>349</v>
      </c>
      <c r="M49" s="18" t="n">
        <v>5.03810862</v>
      </c>
      <c r="N49" s="20" t="n">
        <v>0.73873628</v>
      </c>
      <c r="O49" s="18" t="n">
        <v>0.10496537</v>
      </c>
      <c r="P49" s="20" t="n">
        <v>0.10555958</v>
      </c>
      <c r="Q49" s="18" t="n">
        <v>0</v>
      </c>
      <c r="R49" s="20" t="n">
        <v>0</v>
      </c>
      <c r="S49" s="18" t="n">
        <v>26.13412818</v>
      </c>
      <c r="T49" s="20" t="n">
        <v>1.72307604</v>
      </c>
    </row>
    <row r="50" spans="1:20">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c r="S50" s="18" t="s">
        <v>349</v>
      </c>
      <c r="T50" s="20" t="s">
        <v>349</v>
      </c>
    </row>
    <row r="51" spans="1:20">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c r="S51" s="18" t="s">
        <v>349</v>
      </c>
      <c r="T51" s="20" t="s">
        <v>349</v>
      </c>
    </row>
    <row r="52" spans="1:20">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c r="S52" s="18" t="s">
        <v>349</v>
      </c>
      <c r="T52" s="20" t="s">
        <v>349</v>
      </c>
    </row>
    <row r="53" spans="1:20">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c r="S53" s="18" t="s">
        <v>349</v>
      </c>
      <c r="T53" s="20" t="s">
        <v>349</v>
      </c>
    </row>
    <row r="54" spans="1:20">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c r="S54" s="18" t="s">
        <v>349</v>
      </c>
      <c r="T54" s="20" t="s">
        <v>349</v>
      </c>
    </row>
    <row r="55" spans="1:20">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c r="S55" s="18" t="s">
        <v>349</v>
      </c>
      <c r="T55" s="20" t="s">
        <v>349</v>
      </c>
    </row>
    <row r="56" spans="1:20">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c r="S56" s="18" t="s">
        <v>349</v>
      </c>
      <c r="T56" s="20" t="s">
        <v>349</v>
      </c>
    </row>
    <row r="57" spans="1:20">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c r="S57" s="18" t="s">
        <v>349</v>
      </c>
      <c r="T57" s="20" t="s">
        <v>349</v>
      </c>
    </row>
    <row r="58" spans="1:20">
      <c r="A58" s="15" t="s">
        <v>400</v>
      </c>
      <c r="B58" s="17" t="n">
        <v>7267</v>
      </c>
      <c r="C58" s="18">
        <f>(6025.0/B58*100)</f>
        <v/>
      </c>
      <c r="D58" s="19" t="n">
        <v>1242</v>
      </c>
      <c r="E58" s="18" t="n">
        <v>36.05122428</v>
      </c>
      <c r="F58" s="20" t="n">
        <v>1.75356571</v>
      </c>
      <c r="G58" s="18" t="n">
        <v>22.9731459</v>
      </c>
      <c r="H58" s="20" t="n">
        <v>1.3855833</v>
      </c>
      <c r="I58" s="18" t="n">
        <v>21.05643573</v>
      </c>
      <c r="J58" s="20" t="n">
        <v>1.36465169</v>
      </c>
      <c r="K58" s="18" t="s">
        <v>349</v>
      </c>
      <c r="L58" s="20" t="s">
        <v>349</v>
      </c>
      <c r="M58" s="18" t="n">
        <v>4.02512775</v>
      </c>
      <c r="N58" s="20" t="n">
        <v>0.59527405</v>
      </c>
      <c r="O58" s="18" t="n">
        <v>0</v>
      </c>
      <c r="P58" s="20" t="n">
        <v>0</v>
      </c>
      <c r="Q58" s="18" t="n">
        <v>0</v>
      </c>
      <c r="R58" s="20" t="n">
        <v>0</v>
      </c>
      <c r="S58" s="18" t="n">
        <v>15.89406634</v>
      </c>
      <c r="T58" s="20" t="n">
        <v>1.21343268</v>
      </c>
    </row>
    <row r="59" spans="1:20">
      <c r="A59" s="15" t="s">
        <v>401</v>
      </c>
      <c r="B59" s="17" t="n">
        <v>4826</v>
      </c>
      <c r="C59" s="18">
        <f>(4005.0/B59*100)</f>
        <v/>
      </c>
      <c r="D59" s="19" t="n">
        <v>821</v>
      </c>
      <c r="E59" s="18" t="n">
        <v>40.47632919</v>
      </c>
      <c r="F59" s="20" t="n">
        <v>1.75599224</v>
      </c>
      <c r="G59" s="18" t="n">
        <v>25.24464876</v>
      </c>
      <c r="H59" s="20" t="n">
        <v>1.85903922</v>
      </c>
      <c r="I59" s="18" t="n">
        <v>14.79031621</v>
      </c>
      <c r="J59" s="20" t="n">
        <v>1.28845265</v>
      </c>
      <c r="K59" s="18" t="s">
        <v>349</v>
      </c>
      <c r="L59" s="20" t="s">
        <v>349</v>
      </c>
      <c r="M59" s="18" t="n">
        <v>2.05095363</v>
      </c>
      <c r="N59" s="20" t="n">
        <v>0.63842035</v>
      </c>
      <c r="O59" s="18" t="n">
        <v>0</v>
      </c>
      <c r="P59" s="20" t="n">
        <v>0</v>
      </c>
      <c r="Q59" s="18" t="n">
        <v>0</v>
      </c>
      <c r="R59" s="20" t="n">
        <v>0</v>
      </c>
      <c r="S59" s="18" t="n">
        <v>17.43775221</v>
      </c>
      <c r="T59" s="20" t="n">
        <v>1.6203609</v>
      </c>
    </row>
    <row r="60" spans="1:20">
      <c r="A60" s="15" t="s">
        <v>402</v>
      </c>
      <c r="B60" s="17" t="n">
        <v>4546</v>
      </c>
      <c r="C60" s="18">
        <f>(3800.0/B60*100)</f>
        <v/>
      </c>
      <c r="D60" s="19" t="n">
        <v>746</v>
      </c>
      <c r="E60" s="18" t="n">
        <v>21.59860582</v>
      </c>
      <c r="F60" s="20" t="n">
        <v>1.52878251</v>
      </c>
      <c r="G60" s="18" t="n">
        <v>15.47354039</v>
      </c>
      <c r="H60" s="20" t="n">
        <v>1.4961505</v>
      </c>
      <c r="I60" s="18" t="n">
        <v>24.20901634</v>
      </c>
      <c r="J60" s="20" t="n">
        <v>1.97225997</v>
      </c>
      <c r="K60" s="18" t="s">
        <v>349</v>
      </c>
      <c r="L60" s="20" t="s">
        <v>349</v>
      </c>
      <c r="M60" s="18" t="n">
        <v>5.4791672</v>
      </c>
      <c r="N60" s="20" t="n">
        <v>1.09579386</v>
      </c>
      <c r="O60" s="18" t="n">
        <v>0.15971897</v>
      </c>
      <c r="P60" s="20" t="n">
        <v>0.16205137</v>
      </c>
      <c r="Q60" s="18" t="n">
        <v>0</v>
      </c>
      <c r="R60" s="20" t="n">
        <v>0</v>
      </c>
      <c r="S60" s="18" t="n">
        <v>33.07995129</v>
      </c>
      <c r="T60" s="20" t="n">
        <v>1.82820756</v>
      </c>
    </row>
    <row r="61" spans="1:20">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c r="S61" s="18" t="s">
        <v>349</v>
      </c>
      <c r="T61" s="20" t="s">
        <v>349</v>
      </c>
    </row>
    <row r="62" spans="1:20">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c r="S62" s="18" t="s">
        <v>349</v>
      </c>
      <c r="T62" s="20" t="s">
        <v>349</v>
      </c>
    </row>
    <row r="63" spans="1:20">
      <c r="A63" s="15" t="s">
        <v>405</v>
      </c>
      <c r="B63" s="17" t="n">
        <v>5324</v>
      </c>
      <c r="C63" s="18">
        <f>(4453.0/B63*100)</f>
        <v/>
      </c>
      <c r="D63" s="19" t="n">
        <v>871</v>
      </c>
      <c r="E63" s="18" t="n">
        <v>17.3701713</v>
      </c>
      <c r="F63" s="20" t="n">
        <v>1.183858</v>
      </c>
      <c r="G63" s="18" t="n">
        <v>15.79402564</v>
      </c>
      <c r="H63" s="20" t="n">
        <v>1.36266585</v>
      </c>
      <c r="I63" s="18" t="n">
        <v>18.69997871</v>
      </c>
      <c r="J63" s="20" t="n">
        <v>1.38765286</v>
      </c>
      <c r="K63" s="18" t="s">
        <v>349</v>
      </c>
      <c r="L63" s="20" t="s">
        <v>349</v>
      </c>
      <c r="M63" s="18" t="n">
        <v>3.68594802</v>
      </c>
      <c r="N63" s="20" t="n">
        <v>0.59566549</v>
      </c>
      <c r="O63" s="18" t="n">
        <v>0</v>
      </c>
      <c r="P63" s="20" t="n">
        <v>0</v>
      </c>
      <c r="Q63" s="18" t="n">
        <v>0</v>
      </c>
      <c r="R63" s="20" t="n">
        <v>0</v>
      </c>
      <c r="S63" s="18" t="n">
        <v>44.44987633</v>
      </c>
      <c r="T63" s="20" t="n">
        <v>1.80707331</v>
      </c>
    </row>
    <row r="64" spans="1:20">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c r="S64" s="18" t="s">
        <v>349</v>
      </c>
      <c r="T64" s="20" t="s">
        <v>349</v>
      </c>
    </row>
    <row r="65" spans="1:20">
      <c r="A65" s="15" t="s">
        <v>407</v>
      </c>
      <c r="B65" s="17" t="n">
        <v>5325</v>
      </c>
      <c r="C65" s="18">
        <f>(4436.0/B65*100)</f>
        <v/>
      </c>
      <c r="D65" s="19" t="n">
        <v>889</v>
      </c>
      <c r="E65" s="18" t="n">
        <v>20.70659456</v>
      </c>
      <c r="F65" s="20" t="n">
        <v>1.52750848</v>
      </c>
      <c r="G65" s="18" t="n">
        <v>20.90890463</v>
      </c>
      <c r="H65" s="20" t="n">
        <v>1.43301843</v>
      </c>
      <c r="I65" s="18" t="n">
        <v>20.98825353</v>
      </c>
      <c r="J65" s="20" t="n">
        <v>1.64620763</v>
      </c>
      <c r="K65" s="18" t="s">
        <v>349</v>
      </c>
      <c r="L65" s="20" t="s">
        <v>349</v>
      </c>
      <c r="M65" s="18" t="n">
        <v>6.49604146</v>
      </c>
      <c r="N65" s="20" t="n">
        <v>0.76216341</v>
      </c>
      <c r="O65" s="18" t="n">
        <v>0</v>
      </c>
      <c r="P65" s="20" t="n">
        <v>0</v>
      </c>
      <c r="Q65" s="18" t="n">
        <v>0</v>
      </c>
      <c r="R65" s="20" t="n">
        <v>0</v>
      </c>
      <c r="S65" s="18" t="n">
        <v>30.90020582</v>
      </c>
      <c r="T65" s="20" t="n">
        <v>1.86822539</v>
      </c>
    </row>
    <row r="66" spans="1:20">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c r="S66" s="18" t="s">
        <v>349</v>
      </c>
      <c r="T66" s="20" t="s">
        <v>349</v>
      </c>
    </row>
    <row r="67" spans="1:20">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c r="S67" s="18" t="s">
        <v>349</v>
      </c>
      <c r="T67" s="20" t="s">
        <v>349</v>
      </c>
    </row>
    <row r="68" spans="1:20">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c r="S68" s="18" t="s">
        <v>349</v>
      </c>
      <c r="T68" s="20" t="s">
        <v>349</v>
      </c>
    </row>
    <row r="69" spans="1:20">
      <c r="A69" s="15" t="s">
        <v>411</v>
      </c>
      <c r="B69" s="17" t="n">
        <v>4876</v>
      </c>
      <c r="C69" s="18">
        <f>(4068.0/B69*100)</f>
        <v/>
      </c>
      <c r="D69" s="19" t="n">
        <v>808</v>
      </c>
      <c r="E69" s="18" t="n">
        <v>35.89614653</v>
      </c>
      <c r="F69" s="20" t="n">
        <v>2.08867874</v>
      </c>
      <c r="G69" s="18" t="n">
        <v>31.71622222</v>
      </c>
      <c r="H69" s="20" t="n">
        <v>1.68862882</v>
      </c>
      <c r="I69" s="18" t="n">
        <v>32.38763126</v>
      </c>
      <c r="J69" s="20" t="n">
        <v>2.20514503</v>
      </c>
      <c r="K69" s="18" t="s">
        <v>349</v>
      </c>
      <c r="L69" s="20" t="s">
        <v>349</v>
      </c>
      <c r="M69" s="18" t="n">
        <v>0</v>
      </c>
      <c r="N69" s="20" t="n">
        <v>0</v>
      </c>
      <c r="O69" s="18" t="n">
        <v>0</v>
      </c>
      <c r="P69" s="20" t="n">
        <v>0</v>
      </c>
      <c r="Q69" s="18" t="n">
        <v>0</v>
      </c>
      <c r="R69" s="20" t="n">
        <v>0</v>
      </c>
      <c r="S69" s="18" t="n">
        <v>0</v>
      </c>
      <c r="T69" s="20" t="n">
        <v>0</v>
      </c>
    </row>
    <row r="70" spans="1:20">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c r="S70" s="18" t="s">
        <v>349</v>
      </c>
      <c r="T70" s="20" t="s">
        <v>349</v>
      </c>
    </row>
    <row r="71" spans="1:20">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c r="S71" s="18" t="s">
        <v>349</v>
      </c>
      <c r="T71" s="20" t="s">
        <v>349</v>
      </c>
    </row>
    <row r="72" spans="1:20">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c r="S72" s="18" t="s">
        <v>349</v>
      </c>
      <c r="T72" s="20" t="s">
        <v>349</v>
      </c>
    </row>
    <row r="73" spans="1:20">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c r="S73" s="18" t="s">
        <v>349</v>
      </c>
      <c r="T73" s="20" t="s">
        <v>349</v>
      </c>
    </row>
    <row r="74" spans="1:20">
      <c r="A74" s="15" t="s">
        <v>416</v>
      </c>
      <c r="B74" s="17" t="n">
        <v>4692</v>
      </c>
      <c r="C74" s="18">
        <f>(3909.0/B74*100)</f>
        <v/>
      </c>
      <c r="D74" s="19" t="n">
        <v>783</v>
      </c>
      <c r="E74" s="18" t="n">
        <v>17.39329732</v>
      </c>
      <c r="F74" s="20" t="n">
        <v>1.44803223</v>
      </c>
      <c r="G74" s="18" t="n">
        <v>16.02407299</v>
      </c>
      <c r="H74" s="20" t="n">
        <v>1.27906269</v>
      </c>
      <c r="I74" s="18" t="n">
        <v>30.71944114</v>
      </c>
      <c r="J74" s="20" t="n">
        <v>1.78988875</v>
      </c>
      <c r="K74" s="18" t="s">
        <v>349</v>
      </c>
      <c r="L74" s="20" t="s">
        <v>349</v>
      </c>
      <c r="M74" s="18" t="n">
        <v>7.30664927</v>
      </c>
      <c r="N74" s="20" t="n">
        <v>0.96608779</v>
      </c>
      <c r="O74" s="18" t="n">
        <v>0</v>
      </c>
      <c r="P74" s="20" t="n">
        <v>0</v>
      </c>
      <c r="Q74" s="18" t="n">
        <v>0</v>
      </c>
      <c r="R74" s="20" t="n">
        <v>0</v>
      </c>
      <c r="S74" s="18" t="n">
        <v>28.55653928</v>
      </c>
      <c r="T74" s="20" t="n">
        <v>1.83358154</v>
      </c>
    </row>
    <row r="75" spans="1:20">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c r="S75" s="18" t="s">
        <v>349</v>
      </c>
      <c r="T75" s="20" t="s">
        <v>349</v>
      </c>
    </row>
    <row r="76" spans="1:20">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c r="S76" s="18" t="s">
        <v>349</v>
      </c>
      <c r="T76" s="20" t="s">
        <v>349</v>
      </c>
    </row>
    <row r="77" spans="1:20">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c r="S77" s="18" t="s">
        <v>349</v>
      </c>
      <c r="T77" s="20" t="s">
        <v>349</v>
      </c>
    </row>
    <row r="78" spans="1:20">
      <c r="A78" s="15" t="s">
        <v>420</v>
      </c>
      <c r="B78" s="17" t="n">
        <v>5826</v>
      </c>
      <c r="C78" s="18">
        <f>(4867.0/B78*100)</f>
        <v/>
      </c>
      <c r="D78" s="19" t="n">
        <v>959</v>
      </c>
      <c r="E78" s="18" t="n">
        <v>20.56750112</v>
      </c>
      <c r="F78" s="20" t="n">
        <v>1.84935149</v>
      </c>
      <c r="G78" s="18" t="n">
        <v>34.7961466</v>
      </c>
      <c r="H78" s="20" t="n">
        <v>1.57681023</v>
      </c>
      <c r="I78" s="18" t="n">
        <v>43.13391047</v>
      </c>
      <c r="J78" s="20" t="n">
        <v>1.82054929</v>
      </c>
      <c r="K78" s="18" t="s">
        <v>349</v>
      </c>
      <c r="L78" s="20" t="s">
        <v>349</v>
      </c>
      <c r="M78" s="18" t="n">
        <v>0</v>
      </c>
      <c r="N78" s="20" t="n">
        <v>0</v>
      </c>
      <c r="O78" s="18" t="n">
        <v>0</v>
      </c>
      <c r="P78" s="20" t="n">
        <v>0</v>
      </c>
      <c r="Q78" s="18" t="n">
        <v>0</v>
      </c>
      <c r="R78" s="20" t="n">
        <v>0</v>
      </c>
      <c r="S78" s="18" t="n">
        <v>1.50244181</v>
      </c>
      <c r="T78" s="20" t="n">
        <v>0.44045872</v>
      </c>
    </row>
    <row customHeight="1" ht="25" r="79" spans="1:20">
      <c r="A79" s="15" t="s">
        <v>421</v>
      </c>
      <c r="B79" s="17" t="n">
        <v>1657</v>
      </c>
      <c r="C79" s="18">
        <f>(1367.0/B79*100)</f>
        <v/>
      </c>
      <c r="D79" s="19" t="n">
        <v>290</v>
      </c>
      <c r="E79" s="18" t="n">
        <v>14.33778719</v>
      </c>
      <c r="F79" s="20" t="n">
        <v>2.19437954</v>
      </c>
      <c r="G79" s="18" t="n">
        <v>22.40766686</v>
      </c>
      <c r="H79" s="20" t="n">
        <v>2.22434231</v>
      </c>
      <c r="I79" s="18" t="n">
        <v>38.35401856</v>
      </c>
      <c r="J79" s="20" t="n">
        <v>3.73365377</v>
      </c>
      <c r="K79" s="18" t="s">
        <v>349</v>
      </c>
      <c r="L79" s="20" t="s">
        <v>349</v>
      </c>
      <c r="M79" s="18" t="n">
        <v>7.19231782</v>
      </c>
      <c r="N79" s="20" t="n">
        <v>1.89510986</v>
      </c>
      <c r="O79" s="18" t="n">
        <v>0</v>
      </c>
      <c r="P79" s="20" t="n">
        <v>0</v>
      </c>
      <c r="Q79" s="18" t="n">
        <v>0</v>
      </c>
      <c r="R79" s="20" t="n">
        <v>0</v>
      </c>
      <c r="S79" s="18" t="n">
        <v>17.70820958</v>
      </c>
      <c r="T79" s="20" t="n">
        <v>2.39389599</v>
      </c>
    </row>
    <row r="80" spans="1:20">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c r="S80" s="18" t="s">
        <v>349</v>
      </c>
      <c r="T80" s="20" t="s">
        <v>349</v>
      </c>
    </row>
    <row r="81" spans="1:20">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c r="S81" s="18" t="s">
        <v>349</v>
      </c>
      <c r="T81" s="20" t="s">
        <v>349</v>
      </c>
    </row>
    <row r="82" spans="1:20">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c r="S82" s="22" t="s">
        <v>424</v>
      </c>
      <c r="T82" s="22" t="s">
        <v>424</v>
      </c>
    </row>
    <row r="83" spans="1:20">
      <c r="A83" s="3" t="s">
        <v>425</v>
      </c>
    </row>
    <row r="84" spans="1:20">
      <c r="A84" s="23" t="s">
        <v>426</v>
      </c>
    </row>
    <row r="85" spans="1:20">
      <c r="A85" s="23" t="s">
        <v>427</v>
      </c>
    </row>
    <row customHeight="1" ht="30" r="86" spans="1:20">
      <c r="A86" s="23" t="s">
        <v>428</v>
      </c>
    </row>
    <row customHeight="1" ht="30" r="87" spans="1:20">
      <c r="A87" s="23" t="s">
        <v>424</v>
      </c>
    </row>
    <row customHeight="1" ht="30" r="88" spans="1:20">
      <c r="A88" s="23" t="s">
        <v>429</v>
      </c>
    </row>
    <row customHeight="1" ht="30" r="89" spans="1:20">
      <c r="A89" s="23" t="s">
        <v>430</v>
      </c>
    </row>
    <row customHeight="1" ht="30" r="90" spans="1:20">
      <c r="A90" s="23" t="s">
        <v>431</v>
      </c>
    </row>
    <row customHeight="1" ht="30" r="91" spans="1:20">
      <c r="A91" s="23" t="s">
        <v>432</v>
      </c>
    </row>
    <row customHeight="1" ht="30" r="92" spans="1:20">
      <c r="A92" s="23" t="s">
        <v>433</v>
      </c>
    </row>
    <row customHeight="1" ht="30" r="93" spans="1:20">
      <c r="A93" s="23" t="s">
        <v>434</v>
      </c>
    </row>
    <row customHeight="1" ht="30" r="94" spans="1:20">
      <c r="A94" s="23" t="s">
        <v>435</v>
      </c>
    </row>
    <row customHeight="1" ht="30" r="95" spans="1:20">
      <c r="A95" s="23" t="s">
        <v>436</v>
      </c>
    </row>
    <row customHeight="1" ht="30" r="96" spans="1:20">
      <c r="A96" s="23" t="s">
        <v>437</v>
      </c>
    </row>
  </sheetData>
  <mergeCells count="23">
    <mergeCell ref="E4:F4"/>
    <mergeCell ref="G4:H4"/>
    <mergeCell ref="I4:J4"/>
    <mergeCell ref="K4:L4"/>
    <mergeCell ref="M4:N4"/>
    <mergeCell ref="O4:P4"/>
    <mergeCell ref="Q4:R4"/>
    <mergeCell ref="S4:T4"/>
    <mergeCell ref="A1:T1"/>
    <mergeCell ref="A2:T2"/>
    <mergeCell ref="A84:T84"/>
    <mergeCell ref="A85:T85"/>
    <mergeCell ref="A86:T86"/>
    <mergeCell ref="A87:T87"/>
    <mergeCell ref="A88:T88"/>
    <mergeCell ref="A89:T89"/>
    <mergeCell ref="A90:T90"/>
    <mergeCell ref="A91:T91"/>
    <mergeCell ref="A92:T92"/>
    <mergeCell ref="A93:T93"/>
    <mergeCell ref="A94:T94"/>
    <mergeCell ref="A95:T95"/>
    <mergeCell ref="A96:T96"/>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613</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45.07384786</v>
      </c>
      <c r="F45" s="20" t="n">
        <v>2.06056848</v>
      </c>
      <c r="G45" s="18" t="n">
        <v>40.7410405</v>
      </c>
      <c r="H45" s="20" t="n">
        <v>2.32275129</v>
      </c>
      <c r="I45" s="18" t="s">
        <v>349</v>
      </c>
      <c r="J45" s="20" t="s">
        <v>349</v>
      </c>
      <c r="K45" s="18" t="n">
        <v>6.85792414</v>
      </c>
      <c r="L45" s="20" t="n">
        <v>0.90612715</v>
      </c>
      <c r="M45" s="18" t="n">
        <v>1.56739089</v>
      </c>
      <c r="N45" s="20" t="n">
        <v>0.41792972</v>
      </c>
      <c r="O45" s="18" t="n">
        <v>2.06295756</v>
      </c>
      <c r="P45" s="20" t="n">
        <v>0.44053187</v>
      </c>
      <c r="Q45" s="18" t="n">
        <v>3.69683906</v>
      </c>
      <c r="R45" s="20" t="n">
        <v>0.63003738</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49.46118072</v>
      </c>
      <c r="F49" s="20" t="n">
        <v>1.93446926</v>
      </c>
      <c r="G49" s="18" t="n">
        <v>42.30846466</v>
      </c>
      <c r="H49" s="20" t="n">
        <v>1.88823738</v>
      </c>
      <c r="I49" s="18" t="s">
        <v>349</v>
      </c>
      <c r="J49" s="20" t="s">
        <v>349</v>
      </c>
      <c r="K49" s="18" t="n">
        <v>5.22180147</v>
      </c>
      <c r="L49" s="20" t="n">
        <v>0.7565144</v>
      </c>
      <c r="M49" s="18" t="n">
        <v>0.19721327</v>
      </c>
      <c r="N49" s="20" t="n">
        <v>0.14076453</v>
      </c>
      <c r="O49" s="18" t="n">
        <v>1.21375029</v>
      </c>
      <c r="P49" s="20" t="n">
        <v>0.38469135</v>
      </c>
      <c r="Q49" s="18" t="n">
        <v>1.59758959</v>
      </c>
      <c r="R49" s="20" t="n">
        <v>0.45278015</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54.52663591</v>
      </c>
      <c r="F58" s="20" t="n">
        <v>1.70920733</v>
      </c>
      <c r="G58" s="18" t="n">
        <v>38.04023833</v>
      </c>
      <c r="H58" s="20" t="n">
        <v>1.72272734</v>
      </c>
      <c r="I58" s="18" t="s">
        <v>349</v>
      </c>
      <c r="J58" s="20" t="s">
        <v>349</v>
      </c>
      <c r="K58" s="18" t="n">
        <v>4.53320491</v>
      </c>
      <c r="L58" s="20" t="n">
        <v>0.60663325</v>
      </c>
      <c r="M58" s="18" t="n">
        <v>0</v>
      </c>
      <c r="N58" s="20" t="n">
        <v>0</v>
      </c>
      <c r="O58" s="18" t="n">
        <v>0.78118142</v>
      </c>
      <c r="P58" s="20" t="n">
        <v>0.2874844</v>
      </c>
      <c r="Q58" s="18" t="n">
        <v>2.11873943</v>
      </c>
      <c r="R58" s="20" t="n">
        <v>0.45127928</v>
      </c>
    </row>
    <row r="59" spans="1:18">
      <c r="A59" s="15" t="s">
        <v>401</v>
      </c>
      <c r="B59" s="17" t="n">
        <v>4826</v>
      </c>
      <c r="C59" s="18">
        <f>(4005.0/B59*100)</f>
        <v/>
      </c>
      <c r="D59" s="19" t="n">
        <v>821</v>
      </c>
      <c r="E59" s="18" t="n">
        <v>53.1788603</v>
      </c>
      <c r="F59" s="20" t="n">
        <v>2.14319154</v>
      </c>
      <c r="G59" s="18" t="n">
        <v>41.429559</v>
      </c>
      <c r="H59" s="20" t="n">
        <v>2.11733346</v>
      </c>
      <c r="I59" s="18" t="s">
        <v>349</v>
      </c>
      <c r="J59" s="20" t="s">
        <v>349</v>
      </c>
      <c r="K59" s="18" t="n">
        <v>2.05095363</v>
      </c>
      <c r="L59" s="20" t="n">
        <v>0.63842035</v>
      </c>
      <c r="M59" s="18" t="n">
        <v>0.56940487</v>
      </c>
      <c r="N59" s="20" t="n">
        <v>0.28569892</v>
      </c>
      <c r="O59" s="18" t="n">
        <v>2.486281</v>
      </c>
      <c r="P59" s="20" t="n">
        <v>0.7074274699999999</v>
      </c>
      <c r="Q59" s="18" t="n">
        <v>0.28494121</v>
      </c>
      <c r="R59" s="20" t="n">
        <v>0.14779033</v>
      </c>
    </row>
    <row r="60" spans="1:18">
      <c r="A60" s="15" t="s">
        <v>402</v>
      </c>
      <c r="B60" s="17" t="n">
        <v>4546</v>
      </c>
      <c r="C60" s="18">
        <f>(3800.0/B60*100)</f>
        <v/>
      </c>
      <c r="D60" s="19" t="n">
        <v>746</v>
      </c>
      <c r="E60" s="18" t="n">
        <v>39.1761047</v>
      </c>
      <c r="F60" s="20" t="n">
        <v>2.24707767</v>
      </c>
      <c r="G60" s="18" t="n">
        <v>45.78327363</v>
      </c>
      <c r="H60" s="20" t="n">
        <v>2.26992095</v>
      </c>
      <c r="I60" s="18" t="s">
        <v>349</v>
      </c>
      <c r="J60" s="20" t="s">
        <v>349</v>
      </c>
      <c r="K60" s="18" t="n">
        <v>5.75807759</v>
      </c>
      <c r="L60" s="20" t="n">
        <v>1.11410101</v>
      </c>
      <c r="M60" s="18" t="n">
        <v>0</v>
      </c>
      <c r="N60" s="20" t="n">
        <v>0</v>
      </c>
      <c r="O60" s="18" t="n">
        <v>5.29754534</v>
      </c>
      <c r="P60" s="20" t="n">
        <v>0.90011139</v>
      </c>
      <c r="Q60" s="18" t="n">
        <v>3.98499874</v>
      </c>
      <c r="R60" s="20" t="n">
        <v>0.6985969</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39.85955386</v>
      </c>
      <c r="F63" s="20" t="n">
        <v>1.79867278</v>
      </c>
      <c r="G63" s="18" t="n">
        <v>53.52031426</v>
      </c>
      <c r="H63" s="20" t="n">
        <v>1.77005553</v>
      </c>
      <c r="I63" s="18" t="s">
        <v>349</v>
      </c>
      <c r="J63" s="20" t="s">
        <v>349</v>
      </c>
      <c r="K63" s="18" t="n">
        <v>3.68594802</v>
      </c>
      <c r="L63" s="20" t="n">
        <v>0.59566549</v>
      </c>
      <c r="M63" s="18" t="n">
        <v>0</v>
      </c>
      <c r="N63" s="20" t="n">
        <v>0</v>
      </c>
      <c r="O63" s="18" t="n">
        <v>0</v>
      </c>
      <c r="P63" s="20" t="n">
        <v>0</v>
      </c>
      <c r="Q63" s="18" t="n">
        <v>2.93418385</v>
      </c>
      <c r="R63" s="20" t="n">
        <v>0.61526977</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43.28090351</v>
      </c>
      <c r="F65" s="20" t="n">
        <v>2.19468584</v>
      </c>
      <c r="G65" s="18" t="n">
        <v>45.68176018</v>
      </c>
      <c r="H65" s="20" t="n">
        <v>1.987173</v>
      </c>
      <c r="I65" s="18" t="s">
        <v>349</v>
      </c>
      <c r="J65" s="20" t="s">
        <v>349</v>
      </c>
      <c r="K65" s="18" t="n">
        <v>7.06864429</v>
      </c>
      <c r="L65" s="20" t="n">
        <v>0.8689216</v>
      </c>
      <c r="M65" s="18" t="n">
        <v>1.5990162</v>
      </c>
      <c r="N65" s="20" t="n">
        <v>0.43197069</v>
      </c>
      <c r="O65" s="18" t="n">
        <v>0.16075536</v>
      </c>
      <c r="P65" s="20" t="n">
        <v>0.09950469000000001</v>
      </c>
      <c r="Q65" s="18" t="n">
        <v>2.20892045</v>
      </c>
      <c r="R65" s="20" t="n">
        <v>0.51269574</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62.73961009</v>
      </c>
      <c r="F69" s="20" t="n">
        <v>1.74109259</v>
      </c>
      <c r="G69" s="18" t="n">
        <v>37.15631735</v>
      </c>
      <c r="H69" s="20" t="n">
        <v>1.73036166</v>
      </c>
      <c r="I69" s="18" t="s">
        <v>349</v>
      </c>
      <c r="J69" s="20" t="s">
        <v>349</v>
      </c>
      <c r="K69" s="18" t="n">
        <v>0</v>
      </c>
      <c r="L69" s="20" t="n">
        <v>0</v>
      </c>
      <c r="M69" s="18" t="n">
        <v>0</v>
      </c>
      <c r="N69" s="20" t="n">
        <v>0</v>
      </c>
      <c r="O69" s="18" t="n">
        <v>0</v>
      </c>
      <c r="P69" s="20" t="n">
        <v>0</v>
      </c>
      <c r="Q69" s="18" t="n">
        <v>0.10407256</v>
      </c>
      <c r="R69" s="20" t="n">
        <v>0.10812833</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46.19440364</v>
      </c>
      <c r="F74" s="20" t="n">
        <v>1.84591555</v>
      </c>
      <c r="G74" s="18" t="n">
        <v>43.81691172</v>
      </c>
      <c r="H74" s="20" t="n">
        <v>1.92851473</v>
      </c>
      <c r="I74" s="18" t="s">
        <v>349</v>
      </c>
      <c r="J74" s="20" t="s">
        <v>349</v>
      </c>
      <c r="K74" s="18" t="n">
        <v>7.42248268</v>
      </c>
      <c r="L74" s="20" t="n">
        <v>0.97307321</v>
      </c>
      <c r="M74" s="18" t="n">
        <v>0</v>
      </c>
      <c r="N74" s="20" t="n">
        <v>0</v>
      </c>
      <c r="O74" s="18" t="n">
        <v>0.09047397</v>
      </c>
      <c r="P74" s="20" t="n">
        <v>0.09094911999999999</v>
      </c>
      <c r="Q74" s="18" t="n">
        <v>2.47572798</v>
      </c>
      <c r="R74" s="20" t="n">
        <v>0.5910981</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18.65951078</v>
      </c>
      <c r="F78" s="20" t="n">
        <v>1.48371822</v>
      </c>
      <c r="G78" s="18" t="n">
        <v>81.34048921999999</v>
      </c>
      <c r="H78" s="20" t="n">
        <v>1.48371822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(1367.0/B79*100)</f>
        <v/>
      </c>
      <c r="D79" s="19" t="n">
        <v>290</v>
      </c>
      <c r="E79" s="18" t="n">
        <v>34.77362151</v>
      </c>
      <c r="F79" s="20" t="n">
        <v>2.75741386</v>
      </c>
      <c r="G79" s="18" t="n">
        <v>55.17451641</v>
      </c>
      <c r="H79" s="20" t="n">
        <v>2.84795301</v>
      </c>
      <c r="I79" s="18" t="s">
        <v>349</v>
      </c>
      <c r="J79" s="20" t="s">
        <v>349</v>
      </c>
      <c r="K79" s="18" t="n">
        <v>7.61808027</v>
      </c>
      <c r="L79" s="20" t="n">
        <v>1.80030127</v>
      </c>
      <c r="M79" s="18" t="n">
        <v>0</v>
      </c>
      <c r="N79" s="20" t="n">
        <v>0</v>
      </c>
      <c r="O79" s="18" t="n">
        <v>0.38932115</v>
      </c>
      <c r="P79" s="20" t="n">
        <v>0.40756189</v>
      </c>
      <c r="Q79" s="18" t="n">
        <v>2.04446066</v>
      </c>
      <c r="R79" s="20" t="n">
        <v>0.94938729</v>
      </c>
    </row>
    <row r="80" spans="1:18">
      <c r="A80" s="15" t="s">
        <v>422</v>
      </c>
      <c r="B80" s="17" t="n">
        <v>7841</v>
      </c>
      <c r="C80" s="18">
        <f>(6541.0/B80*100)</f>
        <v/>
      </c>
      <c r="D80" s="19" t="n">
        <v>1300</v>
      </c>
      <c r="E80" s="18" t="n">
        <v>56.11811603</v>
      </c>
      <c r="F80" s="20" t="n">
        <v>2.03708936</v>
      </c>
      <c r="G80" s="18" t="n">
        <v>43.67638623</v>
      </c>
      <c r="H80" s="20" t="n">
        <v>2.0448659</v>
      </c>
      <c r="I80" s="18" t="s">
        <v>349</v>
      </c>
      <c r="J80" s="20" t="s">
        <v>349</v>
      </c>
      <c r="K80" s="18" t="n">
        <v>0</v>
      </c>
      <c r="L80" s="20" t="n">
        <v>0</v>
      </c>
      <c r="M80" s="18" t="n">
        <v>0</v>
      </c>
      <c r="N80" s="20" t="n">
        <v>0</v>
      </c>
      <c r="O80" s="18" t="n">
        <v>0</v>
      </c>
      <c r="P80" s="20" t="n">
        <v>0</v>
      </c>
      <c r="Q80" s="18" t="n">
        <v>0.20549774</v>
      </c>
      <c r="R80" s="20" t="n">
        <v>0.13939328</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614</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60.3086373</v>
      </c>
      <c r="F45" s="20" t="n">
        <v>1.6287101</v>
      </c>
      <c r="G45" s="18" t="n">
        <v>27.82258894</v>
      </c>
      <c r="H45" s="20" t="n">
        <v>1.70397747</v>
      </c>
      <c r="I45" s="18" t="s">
        <v>349</v>
      </c>
      <c r="J45" s="20" t="s">
        <v>349</v>
      </c>
      <c r="K45" s="18" t="n">
        <v>7.11991335</v>
      </c>
      <c r="L45" s="20" t="n">
        <v>0.9361038699999999</v>
      </c>
      <c r="M45" s="18" t="n">
        <v>0.53491229</v>
      </c>
      <c r="N45" s="20" t="n">
        <v>0.27764055</v>
      </c>
      <c r="O45" s="18" t="n">
        <v>0.70389238</v>
      </c>
      <c r="P45" s="20" t="n">
        <v>0.28684875</v>
      </c>
      <c r="Q45" s="18" t="n">
        <v>3.51005574</v>
      </c>
      <c r="R45" s="20" t="n">
        <v>0.62133964</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60.32635105</v>
      </c>
      <c r="F49" s="20" t="n">
        <v>1.76062214</v>
      </c>
      <c r="G49" s="18" t="n">
        <v>32.98657837</v>
      </c>
      <c r="H49" s="20" t="n">
        <v>1.66627202</v>
      </c>
      <c r="I49" s="18" t="s">
        <v>349</v>
      </c>
      <c r="J49" s="20" t="s">
        <v>349</v>
      </c>
      <c r="K49" s="18" t="n">
        <v>5.22180147</v>
      </c>
      <c r="L49" s="20" t="n">
        <v>0.7565144</v>
      </c>
      <c r="M49" s="18" t="n">
        <v>0.10496537</v>
      </c>
      <c r="N49" s="20" t="n">
        <v>0.10555958</v>
      </c>
      <c r="O49" s="18" t="n">
        <v>0.0133142</v>
      </c>
      <c r="P49" s="20" t="n">
        <v>0.01268537</v>
      </c>
      <c r="Q49" s="18" t="n">
        <v>1.34698953</v>
      </c>
      <c r="R49" s="20" t="n">
        <v>0.44038917</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71.5699765</v>
      </c>
      <c r="F58" s="20" t="n">
        <v>1.41046675</v>
      </c>
      <c r="G58" s="18" t="n">
        <v>21.6395542</v>
      </c>
      <c r="H58" s="20" t="n">
        <v>1.34681559</v>
      </c>
      <c r="I58" s="18" t="s">
        <v>349</v>
      </c>
      <c r="J58" s="20" t="s">
        <v>349</v>
      </c>
      <c r="K58" s="18" t="n">
        <v>4.53320491</v>
      </c>
      <c r="L58" s="20" t="n">
        <v>0.60663325</v>
      </c>
      <c r="M58" s="18" t="n">
        <v>0</v>
      </c>
      <c r="N58" s="20" t="n">
        <v>0</v>
      </c>
      <c r="O58" s="18" t="n">
        <v>0.5176894399999999</v>
      </c>
      <c r="P58" s="20" t="n">
        <v>0.25223247</v>
      </c>
      <c r="Q58" s="18" t="n">
        <v>1.73957495</v>
      </c>
      <c r="R58" s="20" t="n">
        <v>0.42398685</v>
      </c>
    </row>
    <row r="59" spans="1:18">
      <c r="A59" s="15" t="s">
        <v>401</v>
      </c>
      <c r="B59" s="17" t="n">
        <v>4826</v>
      </c>
      <c r="C59" s="18">
        <f>(4005.0/B59*100)</f>
        <v/>
      </c>
      <c r="D59" s="19" t="n">
        <v>821</v>
      </c>
      <c r="E59" s="18" t="n">
        <v>72.18978201</v>
      </c>
      <c r="F59" s="20" t="n">
        <v>1.86847275</v>
      </c>
      <c r="G59" s="18" t="n">
        <v>24.48804576</v>
      </c>
      <c r="H59" s="20" t="n">
        <v>1.81125852</v>
      </c>
      <c r="I59" s="18" t="s">
        <v>349</v>
      </c>
      <c r="J59" s="20" t="s">
        <v>349</v>
      </c>
      <c r="K59" s="18" t="n">
        <v>2.13398287</v>
      </c>
      <c r="L59" s="20" t="n">
        <v>0.6875633</v>
      </c>
      <c r="M59" s="18" t="n">
        <v>0.1571378</v>
      </c>
      <c r="N59" s="20" t="n">
        <v>0.15660271</v>
      </c>
      <c r="O59" s="18" t="n">
        <v>0.16858818</v>
      </c>
      <c r="P59" s="20" t="n">
        <v>0.12680448</v>
      </c>
      <c r="Q59" s="18" t="n">
        <v>0.86246338</v>
      </c>
      <c r="R59" s="20" t="n">
        <v>0.53127598</v>
      </c>
    </row>
    <row r="60" spans="1:18">
      <c r="A60" s="15" t="s">
        <v>402</v>
      </c>
      <c r="B60" s="17" t="n">
        <v>4546</v>
      </c>
      <c r="C60" s="18">
        <f>(3800.0/B60*100)</f>
        <v/>
      </c>
      <c r="D60" s="19" t="n">
        <v>746</v>
      </c>
      <c r="E60" s="18" t="n">
        <v>48.41060739</v>
      </c>
      <c r="F60" s="20" t="n">
        <v>2.349913</v>
      </c>
      <c r="G60" s="18" t="n">
        <v>40.8185291</v>
      </c>
      <c r="H60" s="20" t="n">
        <v>2.37962793</v>
      </c>
      <c r="I60" s="18" t="s">
        <v>349</v>
      </c>
      <c r="J60" s="20" t="s">
        <v>349</v>
      </c>
      <c r="K60" s="18" t="n">
        <v>6.06585103</v>
      </c>
      <c r="L60" s="20" t="n">
        <v>1.13859099</v>
      </c>
      <c r="M60" s="18" t="n">
        <v>0</v>
      </c>
      <c r="N60" s="20" t="n">
        <v>0</v>
      </c>
      <c r="O60" s="18" t="n">
        <v>1.52985371</v>
      </c>
      <c r="P60" s="20" t="n">
        <v>0.48775427</v>
      </c>
      <c r="Q60" s="18" t="n">
        <v>3.17515877</v>
      </c>
      <c r="R60" s="20" t="n">
        <v>0.60258418</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58.80289417</v>
      </c>
      <c r="F63" s="20" t="n">
        <v>1.7335354</v>
      </c>
      <c r="G63" s="18" t="n">
        <v>34.05999139</v>
      </c>
      <c r="H63" s="20" t="n">
        <v>1.51034865</v>
      </c>
      <c r="I63" s="18" t="s">
        <v>349</v>
      </c>
      <c r="J63" s="20" t="s">
        <v>349</v>
      </c>
      <c r="K63" s="18" t="n">
        <v>4.10261711</v>
      </c>
      <c r="L63" s="20" t="n">
        <v>0.61988225</v>
      </c>
      <c r="M63" s="18" t="n">
        <v>0</v>
      </c>
      <c r="N63" s="20" t="n">
        <v>0</v>
      </c>
      <c r="O63" s="18" t="n">
        <v>0</v>
      </c>
      <c r="P63" s="20" t="n">
        <v>0</v>
      </c>
      <c r="Q63" s="18" t="n">
        <v>3.03449733</v>
      </c>
      <c r="R63" s="20" t="n">
        <v>0.6556003</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50.88003141</v>
      </c>
      <c r="F65" s="20" t="n">
        <v>2.27025655</v>
      </c>
      <c r="G65" s="18" t="n">
        <v>40.11706768</v>
      </c>
      <c r="H65" s="20" t="n">
        <v>2.20277653</v>
      </c>
      <c r="I65" s="18" t="s">
        <v>349</v>
      </c>
      <c r="J65" s="20" t="s">
        <v>349</v>
      </c>
      <c r="K65" s="18" t="n">
        <v>7.44038554</v>
      </c>
      <c r="L65" s="20" t="n">
        <v>0.9057632</v>
      </c>
      <c r="M65" s="18" t="n">
        <v>0.32819663</v>
      </c>
      <c r="N65" s="20" t="n">
        <v>0.19237117</v>
      </c>
      <c r="O65" s="18" t="n">
        <v>0.02129036</v>
      </c>
      <c r="P65" s="20" t="n">
        <v>0.02141486</v>
      </c>
      <c r="Q65" s="18" t="n">
        <v>1.21302837</v>
      </c>
      <c r="R65" s="20" t="n">
        <v>0.37239798</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66.85531575</v>
      </c>
      <c r="F69" s="20" t="n">
        <v>1.82660418</v>
      </c>
      <c r="G69" s="18" t="n">
        <v>33.04061169</v>
      </c>
      <c r="H69" s="20" t="n">
        <v>1.82448762</v>
      </c>
      <c r="I69" s="18" t="s">
        <v>349</v>
      </c>
      <c r="J69" s="20" t="s">
        <v>349</v>
      </c>
      <c r="K69" s="18" t="n">
        <v>0</v>
      </c>
      <c r="L69" s="20" t="n">
        <v>0</v>
      </c>
      <c r="M69" s="18" t="n">
        <v>0</v>
      </c>
      <c r="N69" s="20" t="n">
        <v>0</v>
      </c>
      <c r="O69" s="18" t="n">
        <v>0</v>
      </c>
      <c r="P69" s="20" t="n">
        <v>0</v>
      </c>
      <c r="Q69" s="18" t="n">
        <v>0.10407256</v>
      </c>
      <c r="R69" s="20" t="n">
        <v>0.10812833</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55.30242715</v>
      </c>
      <c r="F74" s="20" t="n">
        <v>2.07280953</v>
      </c>
      <c r="G74" s="18" t="n">
        <v>35.42709355</v>
      </c>
      <c r="H74" s="20" t="n">
        <v>1.91268305</v>
      </c>
      <c r="I74" s="18" t="s">
        <v>349</v>
      </c>
      <c r="J74" s="20" t="s">
        <v>349</v>
      </c>
      <c r="K74" s="18" t="n">
        <v>7.42248268</v>
      </c>
      <c r="L74" s="20" t="n">
        <v>0.97307321</v>
      </c>
      <c r="M74" s="18" t="n">
        <v>0</v>
      </c>
      <c r="N74" s="20" t="n">
        <v>0</v>
      </c>
      <c r="O74" s="18" t="n">
        <v>0</v>
      </c>
      <c r="P74" s="20" t="n">
        <v>0</v>
      </c>
      <c r="Q74" s="18" t="n">
        <v>1.84799662</v>
      </c>
      <c r="R74" s="20" t="n">
        <v>0.49231617</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30.32577759</v>
      </c>
      <c r="F78" s="20" t="n">
        <v>1.95151832</v>
      </c>
      <c r="G78" s="18" t="n">
        <v>69.67422241</v>
      </c>
      <c r="H78" s="20" t="n">
        <v>1.95151832</v>
      </c>
      <c r="I78" s="18" t="s">
        <v>349</v>
      </c>
      <c r="J78" s="20" t="s">
        <v>349</v>
      </c>
      <c r="K78" s="18" t="n">
        <v>0</v>
      </c>
      <c r="L78" s="20" t="n">
        <v>0</v>
      </c>
      <c r="M78" s="18" t="n">
        <v>0</v>
      </c>
      <c r="N78" s="20" t="n">
        <v>0</v>
      </c>
      <c r="O78" s="18" t="n">
        <v>0</v>
      </c>
      <c r="P78" s="20" t="n">
        <v>0</v>
      </c>
      <c r="Q78" s="18" t="n">
        <v>0</v>
      </c>
      <c r="R78" s="20" t="n">
        <v>0</v>
      </c>
    </row>
    <row customHeight="1" ht="25" r="79" spans="1:18">
      <c r="A79" s="15" t="s">
        <v>421</v>
      </c>
      <c r="B79" s="17" t="n">
        <v>1657</v>
      </c>
      <c r="C79" s="18">
        <f>(1367.0/B79*100)</f>
        <v/>
      </c>
      <c r="D79" s="19" t="n">
        <v>290</v>
      </c>
      <c r="E79" s="18" t="n">
        <v>38.8606313</v>
      </c>
      <c r="F79" s="20" t="n">
        <v>3.02035312</v>
      </c>
      <c r="G79" s="18" t="n">
        <v>52.586536</v>
      </c>
      <c r="H79" s="20" t="n">
        <v>2.96335246</v>
      </c>
      <c r="I79" s="18" t="s">
        <v>349</v>
      </c>
      <c r="J79" s="20" t="s">
        <v>349</v>
      </c>
      <c r="K79" s="18" t="n">
        <v>7.61808027</v>
      </c>
      <c r="L79" s="20" t="n">
        <v>1.80030127</v>
      </c>
      <c r="M79" s="18" t="n">
        <v>0</v>
      </c>
      <c r="N79" s="20" t="n">
        <v>0</v>
      </c>
      <c r="O79" s="18" t="n">
        <v>0.15590065</v>
      </c>
      <c r="P79" s="20" t="n">
        <v>0.15014779</v>
      </c>
      <c r="Q79" s="18" t="n">
        <v>0.77885178</v>
      </c>
      <c r="R79" s="20" t="n">
        <v>0.4888055</v>
      </c>
    </row>
    <row r="80" spans="1:18">
      <c r="A80" s="15" t="s">
        <v>422</v>
      </c>
      <c r="B80" s="17" t="n">
        <v>7841</v>
      </c>
      <c r="C80" s="18">
        <f>(6541.0/B80*100)</f>
        <v/>
      </c>
      <c r="D80" s="19" t="n">
        <v>1300</v>
      </c>
      <c r="E80" s="18" t="n">
        <v>50.53721929</v>
      </c>
      <c r="F80" s="20" t="n">
        <v>2.01783669</v>
      </c>
      <c r="G80" s="18" t="n">
        <v>49.25728296</v>
      </c>
      <c r="H80" s="20" t="n">
        <v>2.0033189</v>
      </c>
      <c r="I80" s="18" t="s">
        <v>349</v>
      </c>
      <c r="J80" s="20" t="s">
        <v>349</v>
      </c>
      <c r="K80" s="18" t="n">
        <v>0</v>
      </c>
      <c r="L80" s="20" t="n">
        <v>0</v>
      </c>
      <c r="M80" s="18" t="n">
        <v>0</v>
      </c>
      <c r="N80" s="20" t="n">
        <v>0</v>
      </c>
      <c r="O80" s="18" t="n">
        <v>0</v>
      </c>
      <c r="P80" s="20" t="n">
        <v>0</v>
      </c>
      <c r="Q80" s="18" t="n">
        <v>0.20549774</v>
      </c>
      <c r="R80" s="20" t="n">
        <v>0.13939328</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615</v>
      </c>
    </row>
    <row customHeight="1" ht="30" r="4" spans="1:18">
      <c r="A4" s="6" t="n"/>
      <c r="B4" s="7" t="s">
        <v>333</v>
      </c>
      <c r="C4" s="7" t="s">
        <v>334</v>
      </c>
      <c r="D4" s="8" t="s">
        <v>333</v>
      </c>
      <c r="E4" s="9" t="s">
        <v>464</v>
      </c>
      <c r="F4" s="10" t="n"/>
      <c r="G4" s="9" t="s">
        <v>465</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61.30584512</v>
      </c>
      <c r="F45" s="20" t="n">
        <v>1.72792223</v>
      </c>
      <c r="G45" s="18" t="n">
        <v>16.51943202</v>
      </c>
      <c r="H45" s="20" t="n">
        <v>1.27792182</v>
      </c>
      <c r="I45" s="18" t="s">
        <v>349</v>
      </c>
      <c r="J45" s="20" t="s">
        <v>349</v>
      </c>
      <c r="K45" s="18" t="n">
        <v>9.282755509999999</v>
      </c>
      <c r="L45" s="20" t="n">
        <v>0.95253526</v>
      </c>
      <c r="M45" s="18" t="n">
        <v>0.07390133</v>
      </c>
      <c r="N45" s="20" t="n">
        <v>0.07466941000000001</v>
      </c>
      <c r="O45" s="18" t="n">
        <v>0.14909993</v>
      </c>
      <c r="P45" s="20" t="n">
        <v>0.1511546</v>
      </c>
      <c r="Q45" s="18" t="n">
        <v>12.66896609</v>
      </c>
      <c r="R45" s="20" t="n">
        <v>1.12149863</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62.74832888</v>
      </c>
      <c r="F49" s="20" t="n">
        <v>1.81889218</v>
      </c>
      <c r="G49" s="18" t="n">
        <v>19.84109432</v>
      </c>
      <c r="H49" s="20" t="n">
        <v>1.52128855</v>
      </c>
      <c r="I49" s="18" t="s">
        <v>349</v>
      </c>
      <c r="J49" s="20" t="s">
        <v>349</v>
      </c>
      <c r="K49" s="18" t="n">
        <v>7.71488054</v>
      </c>
      <c r="L49" s="20" t="n">
        <v>0.91515708</v>
      </c>
      <c r="M49" s="18" t="n">
        <v>0.26597032</v>
      </c>
      <c r="N49" s="20" t="n">
        <v>0.18273064</v>
      </c>
      <c r="O49" s="18" t="n">
        <v>0</v>
      </c>
      <c r="P49" s="20" t="n">
        <v>0</v>
      </c>
      <c r="Q49" s="18" t="n">
        <v>9.42972593</v>
      </c>
      <c r="R49" s="20" t="n">
        <v>0.9926726</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72.09738564</v>
      </c>
      <c r="F58" s="20" t="n">
        <v>1.68261849</v>
      </c>
      <c r="G58" s="18" t="n">
        <v>14.44768456</v>
      </c>
      <c r="H58" s="20" t="n">
        <v>1.17259244</v>
      </c>
      <c r="I58" s="18" t="s">
        <v>349</v>
      </c>
      <c r="J58" s="20" t="s">
        <v>349</v>
      </c>
      <c r="K58" s="18" t="n">
        <v>6.53976486</v>
      </c>
      <c r="L58" s="20" t="n">
        <v>0.84259333</v>
      </c>
      <c r="M58" s="18" t="n">
        <v>0</v>
      </c>
      <c r="N58" s="20" t="n">
        <v>0</v>
      </c>
      <c r="O58" s="18" t="n">
        <v>0</v>
      </c>
      <c r="P58" s="20" t="n">
        <v>0</v>
      </c>
      <c r="Q58" s="18" t="n">
        <v>6.91516493</v>
      </c>
      <c r="R58" s="20" t="n">
        <v>0.87848313</v>
      </c>
    </row>
    <row r="59" spans="1:18">
      <c r="A59" s="15" t="s">
        <v>401</v>
      </c>
      <c r="B59" s="17" t="n">
        <v>4826</v>
      </c>
      <c r="C59" s="18">
        <f>(4005.0/B59*100)</f>
        <v/>
      </c>
      <c r="D59" s="19" t="n">
        <v>821</v>
      </c>
      <c r="E59" s="18" t="n">
        <v>73.58024424</v>
      </c>
      <c r="F59" s="20" t="n">
        <v>1.6655139</v>
      </c>
      <c r="G59" s="18" t="n">
        <v>14.15765973</v>
      </c>
      <c r="H59" s="20" t="n">
        <v>1.5018236</v>
      </c>
      <c r="I59" s="18" t="s">
        <v>349</v>
      </c>
      <c r="J59" s="20" t="s">
        <v>349</v>
      </c>
      <c r="K59" s="18" t="n">
        <v>3.34455256</v>
      </c>
      <c r="L59" s="20" t="n">
        <v>0.71410334</v>
      </c>
      <c r="M59" s="18" t="n">
        <v>0</v>
      </c>
      <c r="N59" s="20" t="n">
        <v>0</v>
      </c>
      <c r="O59" s="18" t="n">
        <v>0</v>
      </c>
      <c r="P59" s="20" t="n">
        <v>0</v>
      </c>
      <c r="Q59" s="18" t="n">
        <v>8.91754347</v>
      </c>
      <c r="R59" s="20" t="n">
        <v>1.25016682</v>
      </c>
    </row>
    <row r="60" spans="1:18">
      <c r="A60" s="15" t="s">
        <v>402</v>
      </c>
      <c r="B60" s="17" t="n">
        <v>4546</v>
      </c>
      <c r="C60" s="18">
        <f>(3800.0/B60*100)</f>
        <v/>
      </c>
      <c r="D60" s="19" t="n">
        <v>746</v>
      </c>
      <c r="E60" s="18" t="n">
        <v>39.73659186</v>
      </c>
      <c r="F60" s="20" t="n">
        <v>2.00520612</v>
      </c>
      <c r="G60" s="18" t="n">
        <v>35.12831681</v>
      </c>
      <c r="H60" s="20" t="n">
        <v>1.88079449</v>
      </c>
      <c r="I60" s="18" t="s">
        <v>349</v>
      </c>
      <c r="J60" s="20" t="s">
        <v>349</v>
      </c>
      <c r="K60" s="18" t="n">
        <v>8.81588704</v>
      </c>
      <c r="L60" s="20" t="n">
        <v>1.34203816</v>
      </c>
      <c r="M60" s="18" t="n">
        <v>0.27603564</v>
      </c>
      <c r="N60" s="20" t="n">
        <v>0.19839062</v>
      </c>
      <c r="O60" s="18" t="n">
        <v>0.16355308</v>
      </c>
      <c r="P60" s="20" t="n">
        <v>0.16420196</v>
      </c>
      <c r="Q60" s="18" t="n">
        <v>15.87961558</v>
      </c>
      <c r="R60" s="20" t="n">
        <v>1.35319483</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49.83290753</v>
      </c>
      <c r="F63" s="20" t="n">
        <v>1.96183999</v>
      </c>
      <c r="G63" s="18" t="n">
        <v>17.6834918</v>
      </c>
      <c r="H63" s="20" t="n">
        <v>1.34286054</v>
      </c>
      <c r="I63" s="18" t="s">
        <v>349</v>
      </c>
      <c r="J63" s="20" t="s">
        <v>349</v>
      </c>
      <c r="K63" s="18" t="n">
        <v>7.37328353</v>
      </c>
      <c r="L63" s="20" t="n">
        <v>0.97812619</v>
      </c>
      <c r="M63" s="18" t="n">
        <v>0</v>
      </c>
      <c r="N63" s="20" t="n">
        <v>0</v>
      </c>
      <c r="O63" s="18" t="n">
        <v>0</v>
      </c>
      <c r="P63" s="20" t="n">
        <v>0</v>
      </c>
      <c r="Q63" s="18" t="n">
        <v>25.11031714</v>
      </c>
      <c r="R63" s="20" t="n">
        <v>1.49028911</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43.20716053</v>
      </c>
      <c r="F65" s="20" t="n">
        <v>1.89800964</v>
      </c>
      <c r="G65" s="18" t="n">
        <v>28.12744542</v>
      </c>
      <c r="H65" s="20" t="n">
        <v>1.73947091</v>
      </c>
      <c r="I65" s="18" t="s">
        <v>349</v>
      </c>
      <c r="J65" s="20" t="s">
        <v>349</v>
      </c>
      <c r="K65" s="18" t="n">
        <v>11.82581151</v>
      </c>
      <c r="L65" s="20" t="n">
        <v>1.06771802</v>
      </c>
      <c r="M65" s="18" t="n">
        <v>0.02125398</v>
      </c>
      <c r="N65" s="20" t="n">
        <v>0.02130697</v>
      </c>
      <c r="O65" s="18" t="n">
        <v>0</v>
      </c>
      <c r="P65" s="20" t="n">
        <v>0</v>
      </c>
      <c r="Q65" s="18" t="n">
        <v>16.81832855</v>
      </c>
      <c r="R65" s="20" t="n">
        <v>1.46685962</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64.90775992</v>
      </c>
      <c r="F69" s="20" t="n">
        <v>1.78946405</v>
      </c>
      <c r="G69" s="18" t="n">
        <v>34.97010154</v>
      </c>
      <c r="H69" s="20" t="n">
        <v>1.80917557</v>
      </c>
      <c r="I69" s="18" t="s">
        <v>349</v>
      </c>
      <c r="J69" s="20" t="s">
        <v>349</v>
      </c>
      <c r="K69" s="18" t="n">
        <v>0</v>
      </c>
      <c r="L69" s="20" t="n">
        <v>0</v>
      </c>
      <c r="M69" s="18" t="n">
        <v>0</v>
      </c>
      <c r="N69" s="20" t="n">
        <v>0</v>
      </c>
      <c r="O69" s="18" t="n">
        <v>0</v>
      </c>
      <c r="P69" s="20" t="n">
        <v>0</v>
      </c>
      <c r="Q69" s="18" t="n">
        <v>0.12213854</v>
      </c>
      <c r="R69" s="20" t="n">
        <v>0.12355344</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39.25674492</v>
      </c>
      <c r="F74" s="20" t="n">
        <v>1.820892</v>
      </c>
      <c r="G74" s="18" t="n">
        <v>40.94266543</v>
      </c>
      <c r="H74" s="20" t="n">
        <v>1.84632683</v>
      </c>
      <c r="I74" s="18" t="s">
        <v>349</v>
      </c>
      <c r="J74" s="20" t="s">
        <v>349</v>
      </c>
      <c r="K74" s="18" t="n">
        <v>11.21284603</v>
      </c>
      <c r="L74" s="20" t="n">
        <v>1.14937384</v>
      </c>
      <c r="M74" s="18" t="n">
        <v>0</v>
      </c>
      <c r="N74" s="20" t="n">
        <v>0</v>
      </c>
      <c r="O74" s="18" t="n">
        <v>0</v>
      </c>
      <c r="P74" s="20" t="n">
        <v>0</v>
      </c>
      <c r="Q74" s="18" t="n">
        <v>8.587743619999999</v>
      </c>
      <c r="R74" s="20" t="n">
        <v>1.19279494</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57.32615249</v>
      </c>
      <c r="F78" s="20" t="n">
        <v>2.282329</v>
      </c>
      <c r="G78" s="18" t="n">
        <v>41.40849867</v>
      </c>
      <c r="H78" s="20" t="n">
        <v>2.27630693</v>
      </c>
      <c r="I78" s="18" t="s">
        <v>349</v>
      </c>
      <c r="J78" s="20" t="s">
        <v>349</v>
      </c>
      <c r="K78" s="18" t="n">
        <v>0</v>
      </c>
      <c r="L78" s="20" t="n">
        <v>0</v>
      </c>
      <c r="M78" s="18" t="n">
        <v>0</v>
      </c>
      <c r="N78" s="20" t="n">
        <v>0</v>
      </c>
      <c r="O78" s="18" t="n">
        <v>0</v>
      </c>
      <c r="P78" s="20" t="n">
        <v>0</v>
      </c>
      <c r="Q78" s="18" t="n">
        <v>1.26534884</v>
      </c>
      <c r="R78" s="20" t="n">
        <v>0.42021111</v>
      </c>
    </row>
    <row customHeight="1" ht="25" r="79" spans="1:18">
      <c r="A79" s="15" t="s">
        <v>421</v>
      </c>
      <c r="B79" s="17" t="n">
        <v>1657</v>
      </c>
      <c r="C79" s="18">
        <f>(1367.0/B79*100)</f>
        <v/>
      </c>
      <c r="D79" s="19" t="n">
        <v>290</v>
      </c>
      <c r="E79" s="18" t="n">
        <v>45.08023296</v>
      </c>
      <c r="F79" s="20" t="n">
        <v>3.52565615</v>
      </c>
      <c r="G79" s="18" t="n">
        <v>32.36391786</v>
      </c>
      <c r="H79" s="20" t="n">
        <v>3.49757527</v>
      </c>
      <c r="I79" s="18" t="s">
        <v>349</v>
      </c>
      <c r="J79" s="20" t="s">
        <v>349</v>
      </c>
      <c r="K79" s="18" t="n">
        <v>10.72064605</v>
      </c>
      <c r="L79" s="20" t="n">
        <v>1.90191146</v>
      </c>
      <c r="M79" s="18" t="n">
        <v>0</v>
      </c>
      <c r="N79" s="20" t="n">
        <v>0</v>
      </c>
      <c r="O79" s="18" t="n">
        <v>0</v>
      </c>
      <c r="P79" s="20" t="n">
        <v>0</v>
      </c>
      <c r="Q79" s="18" t="n">
        <v>11.83520313</v>
      </c>
      <c r="R79" s="20" t="n">
        <v>2.6118416</v>
      </c>
    </row>
    <row r="80" spans="1:18">
      <c r="A80" s="15" t="s">
        <v>422</v>
      </c>
      <c r="B80" s="17" t="n">
        <v>7841</v>
      </c>
      <c r="C80" s="18">
        <f>(7841.0/B80*100)</f>
        <v/>
      </c>
      <c r="D80" s="19" t="n">
        <v>0</v>
      </c>
      <c r="E80" s="18" t="s">
        <v>349</v>
      </c>
      <c r="F80" s="20" t="s">
        <v>349</v>
      </c>
      <c r="G80" s="18" t="s">
        <v>349</v>
      </c>
      <c r="H80" s="20" t="s">
        <v>349</v>
      </c>
      <c r="I80" s="18" t="s">
        <v>349</v>
      </c>
      <c r="J80" s="20" t="s">
        <v>349</v>
      </c>
      <c r="K80" s="18" t="s">
        <v>349</v>
      </c>
      <c r="L80" s="20" t="s">
        <v>349</v>
      </c>
      <c r="M80" s="18" t="s">
        <v>349</v>
      </c>
      <c r="N80" s="20" t="s">
        <v>349</v>
      </c>
      <c r="O80" s="18" t="s">
        <v>349</v>
      </c>
      <c r="P80" s="20" t="s">
        <v>349</v>
      </c>
      <c r="Q80" s="18" t="s">
        <v>349</v>
      </c>
      <c r="R80" s="20" t="s">
        <v>349</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6"/>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331</v>
      </c>
    </row>
    <row r="2" spans="1:18">
      <c r="A2" s="5" t="s">
        <v>616</v>
      </c>
    </row>
    <row customHeight="1" ht="30" r="4" spans="1:18">
      <c r="A4" s="6" t="n"/>
      <c r="B4" s="7" t="s">
        <v>333</v>
      </c>
      <c r="C4" s="7" t="s">
        <v>334</v>
      </c>
      <c r="D4" s="8" t="s">
        <v>333</v>
      </c>
      <c r="E4" s="9" t="s">
        <v>335</v>
      </c>
      <c r="F4" s="10" t="n"/>
      <c r="G4" s="9" t="s">
        <v>336</v>
      </c>
      <c r="H4" s="10" t="n"/>
      <c r="I4" s="9" t="s">
        <v>337</v>
      </c>
      <c r="J4" s="10" t="n"/>
      <c r="K4" s="9" t="s">
        <v>338</v>
      </c>
      <c r="L4" s="10" t="n"/>
      <c r="M4" s="9" t="s">
        <v>339</v>
      </c>
      <c r="N4" s="10" t="n"/>
      <c r="O4" s="9" t="s">
        <v>340</v>
      </c>
      <c r="P4" s="10" t="n"/>
      <c r="Q4" s="9" t="s">
        <v>341</v>
      </c>
      <c r="R4" s="10" t="n"/>
    </row>
    <row r="5" spans="1:18">
      <c r="A5" s="11" t="s"/>
      <c r="B5" s="12" t="s">
        <v>342</v>
      </c>
      <c r="C5" s="12" t="s">
        <v>343</v>
      </c>
      <c r="D5" s="11" t="s">
        <v>344</v>
      </c>
      <c r="E5" s="12" t="s">
        <v>345</v>
      </c>
      <c r="F5" s="11" t="s">
        <v>346</v>
      </c>
      <c r="G5" s="12" t="s">
        <v>345</v>
      </c>
      <c r="H5" s="11" t="s">
        <v>346</v>
      </c>
      <c r="I5" s="12" t="s">
        <v>345</v>
      </c>
      <c r="J5" s="11" t="s">
        <v>346</v>
      </c>
      <c r="K5" s="12" t="s">
        <v>345</v>
      </c>
      <c r="L5" s="11" t="s">
        <v>346</v>
      </c>
      <c r="M5" s="12" t="s">
        <v>345</v>
      </c>
      <c r="N5" s="11" t="s">
        <v>346</v>
      </c>
      <c r="O5" s="12" t="s">
        <v>345</v>
      </c>
      <c r="P5" s="11" t="s">
        <v>346</v>
      </c>
      <c r="Q5" s="12" t="s">
        <v>345</v>
      </c>
      <c r="R5" s="11" t="s">
        <v>346</v>
      </c>
    </row>
    <row r="6" spans="1:18">
      <c r="A6" s="13" t="s">
        <v>347</v>
      </c>
      <c r="B6" s="14" t="n"/>
      <c r="C6" s="14" t="n"/>
      <c r="D6" s="15" t="n"/>
      <c r="E6" s="14" t="n"/>
      <c r="F6" s="15" t="n"/>
      <c r="G6" s="14" t="n"/>
      <c r="H6" s="15" t="n"/>
      <c r="I6" s="14" t="n"/>
      <c r="J6" s="15" t="n"/>
      <c r="K6" s="14" t="n"/>
      <c r="L6" s="15" t="n"/>
      <c r="M6" s="14" t="n"/>
      <c r="N6" s="15" t="n"/>
      <c r="O6" s="14" t="n"/>
      <c r="P6" s="15" t="n"/>
      <c r="Q6" s="14" t="n"/>
      <c r="R6" s="16" t="n"/>
    </row>
    <row r="7" spans="1:18">
      <c r="A7" s="15" t="s">
        <v>348</v>
      </c>
      <c r="B7" s="17" t="n">
        <v>14530</v>
      </c>
      <c r="C7" s="18">
        <f>(14530.0/B7*100)</f>
        <v/>
      </c>
      <c r="D7" s="19" t="n">
        <v>0</v>
      </c>
      <c r="E7" s="18" t="s">
        <v>349</v>
      </c>
      <c r="F7" s="20" t="s">
        <v>349</v>
      </c>
      <c r="G7" s="18" t="s">
        <v>349</v>
      </c>
      <c r="H7" s="20" t="s">
        <v>349</v>
      </c>
      <c r="I7" s="18" t="s">
        <v>349</v>
      </c>
      <c r="J7" s="20" t="s">
        <v>349</v>
      </c>
      <c r="K7" s="18" t="s">
        <v>349</v>
      </c>
      <c r="L7" s="20" t="s">
        <v>349</v>
      </c>
      <c r="M7" s="18" t="s">
        <v>349</v>
      </c>
      <c r="N7" s="20" t="s">
        <v>349</v>
      </c>
      <c r="O7" s="18" t="s">
        <v>349</v>
      </c>
      <c r="P7" s="20" t="s">
        <v>349</v>
      </c>
      <c r="Q7" s="18" t="s">
        <v>349</v>
      </c>
      <c r="R7" s="20" t="s">
        <v>349</v>
      </c>
    </row>
    <row r="8" spans="1:18">
      <c r="A8" s="15" t="s">
        <v>350</v>
      </c>
      <c r="B8" s="17" t="n">
        <v>7007</v>
      </c>
      <c r="C8" s="18">
        <f>(7007.0/B8*100)</f>
        <v/>
      </c>
      <c r="D8" s="19" t="n">
        <v>0</v>
      </c>
      <c r="E8" s="18" t="s">
        <v>349</v>
      </c>
      <c r="F8" s="20" t="s">
        <v>349</v>
      </c>
      <c r="G8" s="18" t="s">
        <v>349</v>
      </c>
      <c r="H8" s="20" t="s">
        <v>349</v>
      </c>
      <c r="I8" s="18" t="s">
        <v>349</v>
      </c>
      <c r="J8" s="20" t="s">
        <v>349</v>
      </c>
      <c r="K8" s="18" t="s">
        <v>349</v>
      </c>
      <c r="L8" s="20" t="s">
        <v>349</v>
      </c>
      <c r="M8" s="18" t="s">
        <v>349</v>
      </c>
      <c r="N8" s="20" t="s">
        <v>349</v>
      </c>
      <c r="O8" s="18" t="s">
        <v>349</v>
      </c>
      <c r="P8" s="20" t="s">
        <v>349</v>
      </c>
      <c r="Q8" s="18" t="s">
        <v>349</v>
      </c>
      <c r="R8" s="20" t="s">
        <v>349</v>
      </c>
    </row>
    <row r="9" spans="1:18">
      <c r="A9" s="15" t="s">
        <v>351</v>
      </c>
      <c r="B9" s="17" t="n">
        <v>9651</v>
      </c>
      <c r="C9" s="18">
        <f>(9651.0/B9*100)</f>
        <v/>
      </c>
      <c r="D9" s="19" t="n">
        <v>0</v>
      </c>
      <c r="E9" s="18" t="s">
        <v>349</v>
      </c>
      <c r="F9" s="20" t="s">
        <v>349</v>
      </c>
      <c r="G9" s="18" t="s">
        <v>349</v>
      </c>
      <c r="H9" s="20" t="s">
        <v>349</v>
      </c>
      <c r="I9" s="18" t="s">
        <v>349</v>
      </c>
      <c r="J9" s="20" t="s">
        <v>349</v>
      </c>
      <c r="K9" s="18" t="s">
        <v>349</v>
      </c>
      <c r="L9" s="20" t="s">
        <v>349</v>
      </c>
      <c r="M9" s="18" t="s">
        <v>349</v>
      </c>
      <c r="N9" s="20" t="s">
        <v>349</v>
      </c>
      <c r="O9" s="18" t="s">
        <v>349</v>
      </c>
      <c r="P9" s="20" t="s">
        <v>349</v>
      </c>
      <c r="Q9" s="18" t="s">
        <v>349</v>
      </c>
      <c r="R9" s="20" t="s">
        <v>349</v>
      </c>
    </row>
    <row r="10" spans="1:18">
      <c r="A10" s="15" t="s">
        <v>352</v>
      </c>
      <c r="B10" s="17" t="n">
        <v>20058</v>
      </c>
      <c r="C10" s="18">
        <f>(20058.0/B10*100)</f>
        <v/>
      </c>
      <c r="D10" s="19" t="n">
        <v>0</v>
      </c>
      <c r="E10" s="18" t="s">
        <v>349</v>
      </c>
      <c r="F10" s="20" t="s">
        <v>349</v>
      </c>
      <c r="G10" s="18" t="s">
        <v>349</v>
      </c>
      <c r="H10" s="20" t="s">
        <v>349</v>
      </c>
      <c r="I10" s="18" t="s">
        <v>349</v>
      </c>
      <c r="J10" s="20" t="s">
        <v>349</v>
      </c>
      <c r="K10" s="18" t="s">
        <v>349</v>
      </c>
      <c r="L10" s="20" t="s">
        <v>349</v>
      </c>
      <c r="M10" s="18" t="s">
        <v>349</v>
      </c>
      <c r="N10" s="20" t="s">
        <v>349</v>
      </c>
      <c r="O10" s="18" t="s">
        <v>349</v>
      </c>
      <c r="P10" s="20" t="s">
        <v>349</v>
      </c>
      <c r="Q10" s="18" t="s">
        <v>349</v>
      </c>
      <c r="R10" s="20" t="s">
        <v>349</v>
      </c>
    </row>
    <row r="11" spans="1:18">
      <c r="A11" s="15" t="s">
        <v>353</v>
      </c>
      <c r="B11" s="17" t="n">
        <v>7053</v>
      </c>
      <c r="C11" s="18">
        <f>(7053.0/B11*100)</f>
        <v/>
      </c>
      <c r="D11" s="19" t="n">
        <v>0</v>
      </c>
      <c r="E11" s="18" t="s">
        <v>349</v>
      </c>
      <c r="F11" s="20" t="s">
        <v>349</v>
      </c>
      <c r="G11" s="18" t="s">
        <v>349</v>
      </c>
      <c r="H11" s="20" t="s">
        <v>349</v>
      </c>
      <c r="I11" s="18" t="s">
        <v>349</v>
      </c>
      <c r="J11" s="20" t="s">
        <v>349</v>
      </c>
      <c r="K11" s="18" t="s">
        <v>349</v>
      </c>
      <c r="L11" s="20" t="s">
        <v>349</v>
      </c>
      <c r="M11" s="18" t="s">
        <v>349</v>
      </c>
      <c r="N11" s="20" t="s">
        <v>349</v>
      </c>
      <c r="O11" s="18" t="s">
        <v>349</v>
      </c>
      <c r="P11" s="20" t="s">
        <v>349</v>
      </c>
      <c r="Q11" s="18" t="s">
        <v>349</v>
      </c>
      <c r="R11" s="20" t="s">
        <v>349</v>
      </c>
    </row>
    <row r="12" spans="1:18">
      <c r="A12" s="15" t="s">
        <v>354</v>
      </c>
      <c r="B12" s="17" t="n">
        <v>6894</v>
      </c>
      <c r="C12" s="18">
        <f>(6894.0/B12*100)</f>
        <v/>
      </c>
      <c r="D12" s="19" t="n">
        <v>0</v>
      </c>
      <c r="E12" s="18" t="s">
        <v>349</v>
      </c>
      <c r="F12" s="20" t="s">
        <v>349</v>
      </c>
      <c r="G12" s="18" t="s">
        <v>349</v>
      </c>
      <c r="H12" s="20" t="s">
        <v>349</v>
      </c>
      <c r="I12" s="18" t="s">
        <v>349</v>
      </c>
      <c r="J12" s="20" t="s">
        <v>349</v>
      </c>
      <c r="K12" s="18" t="s">
        <v>349</v>
      </c>
      <c r="L12" s="20" t="s">
        <v>349</v>
      </c>
      <c r="M12" s="18" t="s">
        <v>349</v>
      </c>
      <c r="N12" s="20" t="s">
        <v>349</v>
      </c>
      <c r="O12" s="18" t="s">
        <v>349</v>
      </c>
      <c r="P12" s="20" t="s">
        <v>349</v>
      </c>
      <c r="Q12" s="18" t="s">
        <v>349</v>
      </c>
      <c r="R12" s="20" t="s">
        <v>349</v>
      </c>
    </row>
    <row r="13" spans="1:18">
      <c r="A13" s="15" t="s">
        <v>355</v>
      </c>
      <c r="B13" s="17" t="n">
        <v>7161</v>
      </c>
      <c r="C13" s="18">
        <f>(7161.0/B13*100)</f>
        <v/>
      </c>
      <c r="D13" s="19" t="n">
        <v>0</v>
      </c>
      <c r="E13" s="18" t="s">
        <v>349</v>
      </c>
      <c r="F13" s="20" t="s">
        <v>349</v>
      </c>
      <c r="G13" s="18" t="s">
        <v>349</v>
      </c>
      <c r="H13" s="20" t="s">
        <v>349</v>
      </c>
      <c r="I13" s="18" t="s">
        <v>349</v>
      </c>
      <c r="J13" s="20" t="s">
        <v>349</v>
      </c>
      <c r="K13" s="18" t="s">
        <v>349</v>
      </c>
      <c r="L13" s="20" t="s">
        <v>349</v>
      </c>
      <c r="M13" s="18" t="s">
        <v>349</v>
      </c>
      <c r="N13" s="20" t="s">
        <v>349</v>
      </c>
      <c r="O13" s="18" t="s">
        <v>349</v>
      </c>
      <c r="P13" s="20" t="s">
        <v>349</v>
      </c>
      <c r="Q13" s="18" t="s">
        <v>349</v>
      </c>
      <c r="R13" s="20" t="s">
        <v>349</v>
      </c>
    </row>
    <row r="14" spans="1:18">
      <c r="A14" s="15" t="s">
        <v>356</v>
      </c>
      <c r="B14" s="17" t="n">
        <v>5587</v>
      </c>
      <c r="C14" s="18">
        <f>(5587.0/B14*100)</f>
        <v/>
      </c>
      <c r="D14" s="19" t="n">
        <v>0</v>
      </c>
      <c r="E14" s="18" t="s">
        <v>349</v>
      </c>
      <c r="F14" s="20" t="s">
        <v>349</v>
      </c>
      <c r="G14" s="18" t="s">
        <v>349</v>
      </c>
      <c r="H14" s="20" t="s">
        <v>349</v>
      </c>
      <c r="I14" s="18" t="s">
        <v>349</v>
      </c>
      <c r="J14" s="20" t="s">
        <v>349</v>
      </c>
      <c r="K14" s="18" t="s">
        <v>349</v>
      </c>
      <c r="L14" s="20" t="s">
        <v>349</v>
      </c>
      <c r="M14" s="18" t="s">
        <v>349</v>
      </c>
      <c r="N14" s="20" t="s">
        <v>349</v>
      </c>
      <c r="O14" s="18" t="s">
        <v>349</v>
      </c>
      <c r="P14" s="20" t="s">
        <v>349</v>
      </c>
      <c r="Q14" s="18" t="s">
        <v>349</v>
      </c>
      <c r="R14" s="20" t="s">
        <v>349</v>
      </c>
    </row>
    <row r="15" spans="1:18">
      <c r="A15" s="15" t="s">
        <v>357</v>
      </c>
      <c r="B15" s="17" t="n">
        <v>5882</v>
      </c>
      <c r="C15" s="18">
        <f>(5882.0/B15*100)</f>
        <v/>
      </c>
      <c r="D15" s="19" t="n">
        <v>0</v>
      </c>
      <c r="E15" s="18" t="s">
        <v>349</v>
      </c>
      <c r="F15" s="20" t="s">
        <v>349</v>
      </c>
      <c r="G15" s="18" t="s">
        <v>349</v>
      </c>
      <c r="H15" s="20" t="s">
        <v>349</v>
      </c>
      <c r="I15" s="18" t="s">
        <v>349</v>
      </c>
      <c r="J15" s="20" t="s">
        <v>349</v>
      </c>
      <c r="K15" s="18" t="s">
        <v>349</v>
      </c>
      <c r="L15" s="20" t="s">
        <v>349</v>
      </c>
      <c r="M15" s="18" t="s">
        <v>349</v>
      </c>
      <c r="N15" s="20" t="s">
        <v>349</v>
      </c>
      <c r="O15" s="18" t="s">
        <v>349</v>
      </c>
      <c r="P15" s="20" t="s">
        <v>349</v>
      </c>
      <c r="Q15" s="18" t="s">
        <v>349</v>
      </c>
      <c r="R15" s="20" t="s">
        <v>349</v>
      </c>
    </row>
    <row r="16" spans="1:18">
      <c r="A16" s="15" t="s">
        <v>358</v>
      </c>
      <c r="B16" s="17" t="n">
        <v>6108</v>
      </c>
      <c r="C16" s="18">
        <f>(6108.0/B16*100)</f>
        <v/>
      </c>
      <c r="D16" s="19" t="n">
        <v>0</v>
      </c>
      <c r="E16" s="18" t="s">
        <v>349</v>
      </c>
      <c r="F16" s="20" t="s">
        <v>349</v>
      </c>
      <c r="G16" s="18" t="s">
        <v>349</v>
      </c>
      <c r="H16" s="20" t="s">
        <v>349</v>
      </c>
      <c r="I16" s="18" t="s">
        <v>349</v>
      </c>
      <c r="J16" s="20" t="s">
        <v>349</v>
      </c>
      <c r="K16" s="18" t="s">
        <v>349</v>
      </c>
      <c r="L16" s="20" t="s">
        <v>349</v>
      </c>
      <c r="M16" s="18" t="s">
        <v>349</v>
      </c>
      <c r="N16" s="20" t="s">
        <v>349</v>
      </c>
      <c r="O16" s="18" t="s">
        <v>349</v>
      </c>
      <c r="P16" s="20" t="s">
        <v>349</v>
      </c>
      <c r="Q16" s="18" t="s">
        <v>349</v>
      </c>
      <c r="R16" s="20" t="s">
        <v>349</v>
      </c>
    </row>
    <row r="17" spans="1:18">
      <c r="A17" s="15" t="s">
        <v>359</v>
      </c>
      <c r="B17" s="17" t="n">
        <v>6504</v>
      </c>
      <c r="C17" s="18">
        <f>(6504.0/B17*100)</f>
        <v/>
      </c>
      <c r="D17" s="19" t="n">
        <v>0</v>
      </c>
      <c r="E17" s="18" t="s">
        <v>349</v>
      </c>
      <c r="F17" s="20" t="s">
        <v>349</v>
      </c>
      <c r="G17" s="18" t="s">
        <v>349</v>
      </c>
      <c r="H17" s="20" t="s">
        <v>349</v>
      </c>
      <c r="I17" s="18" t="s">
        <v>349</v>
      </c>
      <c r="J17" s="20" t="s">
        <v>349</v>
      </c>
      <c r="K17" s="18" t="s">
        <v>349</v>
      </c>
      <c r="L17" s="20" t="s">
        <v>349</v>
      </c>
      <c r="M17" s="18" t="s">
        <v>349</v>
      </c>
      <c r="N17" s="20" t="s">
        <v>349</v>
      </c>
      <c r="O17" s="18" t="s">
        <v>349</v>
      </c>
      <c r="P17" s="20" t="s">
        <v>349</v>
      </c>
      <c r="Q17" s="18" t="s">
        <v>349</v>
      </c>
      <c r="R17" s="20" t="s">
        <v>349</v>
      </c>
    </row>
    <row r="18" spans="1:18">
      <c r="A18" s="15" t="s">
        <v>360</v>
      </c>
      <c r="B18" s="17" t="n">
        <v>5532</v>
      </c>
      <c r="C18" s="18">
        <f>(5532.0/B18*100)</f>
        <v/>
      </c>
      <c r="D18" s="19" t="n">
        <v>0</v>
      </c>
      <c r="E18" s="18" t="s">
        <v>349</v>
      </c>
      <c r="F18" s="20" t="s">
        <v>349</v>
      </c>
      <c r="G18" s="18" t="s">
        <v>349</v>
      </c>
      <c r="H18" s="20" t="s">
        <v>349</v>
      </c>
      <c r="I18" s="18" t="s">
        <v>349</v>
      </c>
      <c r="J18" s="20" t="s">
        <v>349</v>
      </c>
      <c r="K18" s="18" t="s">
        <v>349</v>
      </c>
      <c r="L18" s="20" t="s">
        <v>349</v>
      </c>
      <c r="M18" s="18" t="s">
        <v>349</v>
      </c>
      <c r="N18" s="20" t="s">
        <v>349</v>
      </c>
      <c r="O18" s="18" t="s">
        <v>349</v>
      </c>
      <c r="P18" s="20" t="s">
        <v>349</v>
      </c>
      <c r="Q18" s="18" t="s">
        <v>349</v>
      </c>
      <c r="R18" s="20" t="s">
        <v>349</v>
      </c>
    </row>
    <row r="19" spans="1:18">
      <c r="A19" s="15" t="s">
        <v>361</v>
      </c>
      <c r="B19" s="17" t="n">
        <v>5658</v>
      </c>
      <c r="C19" s="18">
        <f>(5658.0/B19*100)</f>
        <v/>
      </c>
      <c r="D19" s="19" t="n">
        <v>0</v>
      </c>
      <c r="E19" s="18" t="s">
        <v>349</v>
      </c>
      <c r="F19" s="20" t="s">
        <v>349</v>
      </c>
      <c r="G19" s="18" t="s">
        <v>349</v>
      </c>
      <c r="H19" s="20" t="s">
        <v>349</v>
      </c>
      <c r="I19" s="18" t="s">
        <v>349</v>
      </c>
      <c r="J19" s="20" t="s">
        <v>349</v>
      </c>
      <c r="K19" s="18" t="s">
        <v>349</v>
      </c>
      <c r="L19" s="20" t="s">
        <v>349</v>
      </c>
      <c r="M19" s="18" t="s">
        <v>349</v>
      </c>
      <c r="N19" s="20" t="s">
        <v>349</v>
      </c>
      <c r="O19" s="18" t="s">
        <v>349</v>
      </c>
      <c r="P19" s="20" t="s">
        <v>349</v>
      </c>
      <c r="Q19" s="18" t="s">
        <v>349</v>
      </c>
      <c r="R19" s="20" t="s">
        <v>349</v>
      </c>
    </row>
    <row r="20" spans="1:18">
      <c r="A20" s="15" t="s">
        <v>362</v>
      </c>
      <c r="B20" s="17" t="n">
        <v>3371</v>
      </c>
      <c r="C20" s="18">
        <f>(3371.0/B20*100)</f>
        <v/>
      </c>
      <c r="D20" s="19" t="n">
        <v>0</v>
      </c>
      <c r="E20" s="18" t="s">
        <v>349</v>
      </c>
      <c r="F20" s="20" t="s">
        <v>349</v>
      </c>
      <c r="G20" s="18" t="s">
        <v>349</v>
      </c>
      <c r="H20" s="20" t="s">
        <v>349</v>
      </c>
      <c r="I20" s="18" t="s">
        <v>349</v>
      </c>
      <c r="J20" s="20" t="s">
        <v>349</v>
      </c>
      <c r="K20" s="18" t="s">
        <v>349</v>
      </c>
      <c r="L20" s="20" t="s">
        <v>349</v>
      </c>
      <c r="M20" s="18" t="s">
        <v>349</v>
      </c>
      <c r="N20" s="20" t="s">
        <v>349</v>
      </c>
      <c r="O20" s="18" t="s">
        <v>349</v>
      </c>
      <c r="P20" s="20" t="s">
        <v>349</v>
      </c>
      <c r="Q20" s="18" t="s">
        <v>349</v>
      </c>
      <c r="R20" s="20" t="s">
        <v>349</v>
      </c>
    </row>
    <row r="21" spans="1:18">
      <c r="A21" s="15" t="s">
        <v>363</v>
      </c>
      <c r="B21" s="17" t="n">
        <v>5741</v>
      </c>
      <c r="C21" s="18">
        <f>(5741.0/B21*100)</f>
        <v/>
      </c>
      <c r="D21" s="19" t="n">
        <v>0</v>
      </c>
      <c r="E21" s="18" t="s">
        <v>349</v>
      </c>
      <c r="F21" s="20" t="s">
        <v>349</v>
      </c>
      <c r="G21" s="18" t="s">
        <v>349</v>
      </c>
      <c r="H21" s="20" t="s">
        <v>349</v>
      </c>
      <c r="I21" s="18" t="s">
        <v>349</v>
      </c>
      <c r="J21" s="20" t="s">
        <v>349</v>
      </c>
      <c r="K21" s="18" t="s">
        <v>349</v>
      </c>
      <c r="L21" s="20" t="s">
        <v>349</v>
      </c>
      <c r="M21" s="18" t="s">
        <v>349</v>
      </c>
      <c r="N21" s="20" t="s">
        <v>349</v>
      </c>
      <c r="O21" s="18" t="s">
        <v>349</v>
      </c>
      <c r="P21" s="20" t="s">
        <v>349</v>
      </c>
      <c r="Q21" s="18" t="s">
        <v>349</v>
      </c>
      <c r="R21" s="20" t="s">
        <v>349</v>
      </c>
    </row>
    <row r="22" spans="1:18">
      <c r="A22" s="15" t="s">
        <v>364</v>
      </c>
      <c r="B22" s="17" t="n">
        <v>6598</v>
      </c>
      <c r="C22" s="18">
        <f>(6598.0/B22*100)</f>
        <v/>
      </c>
      <c r="D22" s="19" t="n">
        <v>0</v>
      </c>
      <c r="E22" s="18" t="s">
        <v>349</v>
      </c>
      <c r="F22" s="20" t="s">
        <v>349</v>
      </c>
      <c r="G22" s="18" t="s">
        <v>349</v>
      </c>
      <c r="H22" s="20" t="s">
        <v>349</v>
      </c>
      <c r="I22" s="18" t="s">
        <v>349</v>
      </c>
      <c r="J22" s="20" t="s">
        <v>349</v>
      </c>
      <c r="K22" s="18" t="s">
        <v>349</v>
      </c>
      <c r="L22" s="20" t="s">
        <v>349</v>
      </c>
      <c r="M22" s="18" t="s">
        <v>349</v>
      </c>
      <c r="N22" s="20" t="s">
        <v>349</v>
      </c>
      <c r="O22" s="18" t="s">
        <v>349</v>
      </c>
      <c r="P22" s="20" t="s">
        <v>349</v>
      </c>
      <c r="Q22" s="18" t="s">
        <v>349</v>
      </c>
      <c r="R22" s="20" t="s">
        <v>349</v>
      </c>
    </row>
    <row r="23" spans="1:18">
      <c r="A23" s="15" t="s">
        <v>365</v>
      </c>
      <c r="B23" s="17" t="n">
        <v>11583</v>
      </c>
      <c r="C23" s="18">
        <f>(11583.0/B23*100)</f>
        <v/>
      </c>
      <c r="D23" s="19" t="n">
        <v>0</v>
      </c>
      <c r="E23" s="18" t="s">
        <v>349</v>
      </c>
      <c r="F23" s="20" t="s">
        <v>349</v>
      </c>
      <c r="G23" s="18" t="s">
        <v>349</v>
      </c>
      <c r="H23" s="20" t="s">
        <v>349</v>
      </c>
      <c r="I23" s="18" t="s">
        <v>349</v>
      </c>
      <c r="J23" s="20" t="s">
        <v>349</v>
      </c>
      <c r="K23" s="18" t="s">
        <v>349</v>
      </c>
      <c r="L23" s="20" t="s">
        <v>349</v>
      </c>
      <c r="M23" s="18" t="s">
        <v>349</v>
      </c>
      <c r="N23" s="20" t="s">
        <v>349</v>
      </c>
      <c r="O23" s="18" t="s">
        <v>349</v>
      </c>
      <c r="P23" s="20" t="s">
        <v>349</v>
      </c>
      <c r="Q23" s="18" t="s">
        <v>349</v>
      </c>
      <c r="R23" s="20" t="s">
        <v>349</v>
      </c>
    </row>
    <row r="24" spans="1:18">
      <c r="A24" s="15" t="s">
        <v>366</v>
      </c>
      <c r="B24" s="17" t="n">
        <v>6647</v>
      </c>
      <c r="C24" s="18">
        <f>(6647.0/B24*100)</f>
        <v/>
      </c>
      <c r="D24" s="19" t="n">
        <v>0</v>
      </c>
      <c r="E24" s="18" t="s">
        <v>349</v>
      </c>
      <c r="F24" s="20" t="s">
        <v>349</v>
      </c>
      <c r="G24" s="18" t="s">
        <v>349</v>
      </c>
      <c r="H24" s="20" t="s">
        <v>349</v>
      </c>
      <c r="I24" s="18" t="s">
        <v>349</v>
      </c>
      <c r="J24" s="20" t="s">
        <v>349</v>
      </c>
      <c r="K24" s="18" t="s">
        <v>349</v>
      </c>
      <c r="L24" s="20" t="s">
        <v>349</v>
      </c>
      <c r="M24" s="18" t="s">
        <v>349</v>
      </c>
      <c r="N24" s="20" t="s">
        <v>349</v>
      </c>
      <c r="O24" s="18" t="s">
        <v>349</v>
      </c>
      <c r="P24" s="20" t="s">
        <v>349</v>
      </c>
      <c r="Q24" s="18" t="s">
        <v>349</v>
      </c>
      <c r="R24" s="20" t="s">
        <v>349</v>
      </c>
    </row>
    <row r="25" spans="1:18">
      <c r="A25" s="15" t="s">
        <v>367</v>
      </c>
      <c r="B25" s="17" t="n">
        <v>5581</v>
      </c>
      <c r="C25" s="18">
        <f>(5581.0/B25*100)</f>
        <v/>
      </c>
      <c r="D25" s="19" t="n">
        <v>0</v>
      </c>
      <c r="E25" s="18" t="s">
        <v>349</v>
      </c>
      <c r="F25" s="20" t="s">
        <v>349</v>
      </c>
      <c r="G25" s="18" t="s">
        <v>349</v>
      </c>
      <c r="H25" s="20" t="s">
        <v>349</v>
      </c>
      <c r="I25" s="18" t="s">
        <v>349</v>
      </c>
      <c r="J25" s="20" t="s">
        <v>349</v>
      </c>
      <c r="K25" s="18" t="s">
        <v>349</v>
      </c>
      <c r="L25" s="20" t="s">
        <v>349</v>
      </c>
      <c r="M25" s="18" t="s">
        <v>349</v>
      </c>
      <c r="N25" s="20" t="s">
        <v>349</v>
      </c>
      <c r="O25" s="18" t="s">
        <v>349</v>
      </c>
      <c r="P25" s="20" t="s">
        <v>349</v>
      </c>
      <c r="Q25" s="18" t="s">
        <v>349</v>
      </c>
      <c r="R25" s="20" t="s">
        <v>349</v>
      </c>
    </row>
    <row r="26" spans="1:18">
      <c r="A26" s="15" t="s">
        <v>368</v>
      </c>
      <c r="B26" s="17" t="n">
        <v>4869</v>
      </c>
      <c r="C26" s="18">
        <f>(4869.0/B26*100)</f>
        <v/>
      </c>
      <c r="D26" s="19" t="n">
        <v>0</v>
      </c>
      <c r="E26" s="18" t="s">
        <v>349</v>
      </c>
      <c r="F26" s="20" t="s">
        <v>349</v>
      </c>
      <c r="G26" s="18" t="s">
        <v>349</v>
      </c>
      <c r="H26" s="20" t="s">
        <v>349</v>
      </c>
      <c r="I26" s="18" t="s">
        <v>349</v>
      </c>
      <c r="J26" s="20" t="s">
        <v>349</v>
      </c>
      <c r="K26" s="18" t="s">
        <v>349</v>
      </c>
      <c r="L26" s="20" t="s">
        <v>349</v>
      </c>
      <c r="M26" s="18" t="s">
        <v>349</v>
      </c>
      <c r="N26" s="20" t="s">
        <v>349</v>
      </c>
      <c r="O26" s="18" t="s">
        <v>349</v>
      </c>
      <c r="P26" s="20" t="s">
        <v>349</v>
      </c>
      <c r="Q26" s="18" t="s">
        <v>349</v>
      </c>
      <c r="R26" s="20" t="s">
        <v>349</v>
      </c>
    </row>
    <row r="27" spans="1:18">
      <c r="A27" s="15" t="s">
        <v>369</v>
      </c>
      <c r="B27" s="17" t="n">
        <v>5299</v>
      </c>
      <c r="C27" s="18">
        <f>(5299.0/B27*100)</f>
        <v/>
      </c>
      <c r="D27" s="19" t="n">
        <v>0</v>
      </c>
      <c r="E27" s="18" t="s">
        <v>349</v>
      </c>
      <c r="F27" s="20" t="s">
        <v>349</v>
      </c>
      <c r="G27" s="18" t="s">
        <v>349</v>
      </c>
      <c r="H27" s="20" t="s">
        <v>349</v>
      </c>
      <c r="I27" s="18" t="s">
        <v>349</v>
      </c>
      <c r="J27" s="20" t="s">
        <v>349</v>
      </c>
      <c r="K27" s="18" t="s">
        <v>349</v>
      </c>
      <c r="L27" s="20" t="s">
        <v>349</v>
      </c>
      <c r="M27" s="18" t="s">
        <v>349</v>
      </c>
      <c r="N27" s="20" t="s">
        <v>349</v>
      </c>
      <c r="O27" s="18" t="s">
        <v>349</v>
      </c>
      <c r="P27" s="20" t="s">
        <v>349</v>
      </c>
      <c r="Q27" s="18" t="s">
        <v>349</v>
      </c>
      <c r="R27" s="20" t="s">
        <v>349</v>
      </c>
    </row>
    <row r="28" spans="1:18">
      <c r="A28" s="15" t="s">
        <v>370</v>
      </c>
      <c r="B28" s="17" t="n">
        <v>7568</v>
      </c>
      <c r="C28" s="18">
        <f>(7568.0/B28*100)</f>
        <v/>
      </c>
      <c r="D28" s="19" t="n">
        <v>0</v>
      </c>
      <c r="E28" s="18" t="s">
        <v>349</v>
      </c>
      <c r="F28" s="20" t="s">
        <v>349</v>
      </c>
      <c r="G28" s="18" t="s">
        <v>349</v>
      </c>
      <c r="H28" s="20" t="s">
        <v>349</v>
      </c>
      <c r="I28" s="18" t="s">
        <v>349</v>
      </c>
      <c r="J28" s="20" t="s">
        <v>349</v>
      </c>
      <c r="K28" s="18" t="s">
        <v>349</v>
      </c>
      <c r="L28" s="20" t="s">
        <v>349</v>
      </c>
      <c r="M28" s="18" t="s">
        <v>349</v>
      </c>
      <c r="N28" s="20" t="s">
        <v>349</v>
      </c>
      <c r="O28" s="18" t="s">
        <v>349</v>
      </c>
      <c r="P28" s="20" t="s">
        <v>349</v>
      </c>
      <c r="Q28" s="18" t="s">
        <v>349</v>
      </c>
      <c r="R28" s="20" t="s">
        <v>349</v>
      </c>
    </row>
    <row r="29" spans="1:18">
      <c r="A29" s="15" t="s">
        <v>371</v>
      </c>
      <c r="B29" s="17" t="n">
        <v>5385</v>
      </c>
      <c r="C29" s="18">
        <f>(5385.0/B29*100)</f>
        <v/>
      </c>
      <c r="D29" s="19" t="n">
        <v>0</v>
      </c>
      <c r="E29" s="18" t="s">
        <v>349</v>
      </c>
      <c r="F29" s="20" t="s">
        <v>349</v>
      </c>
      <c r="G29" s="18" t="s">
        <v>349</v>
      </c>
      <c r="H29" s="20" t="s">
        <v>349</v>
      </c>
      <c r="I29" s="18" t="s">
        <v>349</v>
      </c>
      <c r="J29" s="20" t="s">
        <v>349</v>
      </c>
      <c r="K29" s="18" t="s">
        <v>349</v>
      </c>
      <c r="L29" s="20" t="s">
        <v>349</v>
      </c>
      <c r="M29" s="18" t="s">
        <v>349</v>
      </c>
      <c r="N29" s="20" t="s">
        <v>349</v>
      </c>
      <c r="O29" s="18" t="s">
        <v>349</v>
      </c>
      <c r="P29" s="20" t="s">
        <v>349</v>
      </c>
      <c r="Q29" s="18" t="s">
        <v>349</v>
      </c>
      <c r="R29" s="20" t="s">
        <v>349</v>
      </c>
    </row>
    <row r="30" spans="1:18">
      <c r="A30" s="15" t="s">
        <v>372</v>
      </c>
      <c r="B30" s="17" t="n">
        <v>4520</v>
      </c>
      <c r="C30" s="18">
        <f>(4520.0/B30*100)</f>
        <v/>
      </c>
      <c r="D30" s="19" t="n">
        <v>0</v>
      </c>
      <c r="E30" s="18" t="s">
        <v>349</v>
      </c>
      <c r="F30" s="20" t="s">
        <v>349</v>
      </c>
      <c r="G30" s="18" t="s">
        <v>349</v>
      </c>
      <c r="H30" s="20" t="s">
        <v>349</v>
      </c>
      <c r="I30" s="18" t="s">
        <v>349</v>
      </c>
      <c r="J30" s="20" t="s">
        <v>349</v>
      </c>
      <c r="K30" s="18" t="s">
        <v>349</v>
      </c>
      <c r="L30" s="20" t="s">
        <v>349</v>
      </c>
      <c r="M30" s="18" t="s">
        <v>349</v>
      </c>
      <c r="N30" s="20" t="s">
        <v>349</v>
      </c>
      <c r="O30" s="18" t="s">
        <v>349</v>
      </c>
      <c r="P30" s="20" t="s">
        <v>349</v>
      </c>
      <c r="Q30" s="18" t="s">
        <v>349</v>
      </c>
      <c r="R30" s="20" t="s">
        <v>349</v>
      </c>
    </row>
    <row r="31" spans="1:18">
      <c r="A31" s="15" t="s">
        <v>373</v>
      </c>
      <c r="B31" s="17" t="n">
        <v>5456</v>
      </c>
      <c r="C31" s="18">
        <f>(5456.0/B31*100)</f>
        <v/>
      </c>
      <c r="D31" s="19" t="n">
        <v>0</v>
      </c>
      <c r="E31" s="18" t="s">
        <v>349</v>
      </c>
      <c r="F31" s="20" t="s">
        <v>349</v>
      </c>
      <c r="G31" s="18" t="s">
        <v>349</v>
      </c>
      <c r="H31" s="20" t="s">
        <v>349</v>
      </c>
      <c r="I31" s="18" t="s">
        <v>349</v>
      </c>
      <c r="J31" s="20" t="s">
        <v>349</v>
      </c>
      <c r="K31" s="18" t="s">
        <v>349</v>
      </c>
      <c r="L31" s="20" t="s">
        <v>349</v>
      </c>
      <c r="M31" s="18" t="s">
        <v>349</v>
      </c>
      <c r="N31" s="20" t="s">
        <v>349</v>
      </c>
      <c r="O31" s="18" t="s">
        <v>349</v>
      </c>
      <c r="P31" s="20" t="s">
        <v>349</v>
      </c>
      <c r="Q31" s="18" t="s">
        <v>349</v>
      </c>
      <c r="R31" s="20" t="s">
        <v>349</v>
      </c>
    </row>
    <row r="32" spans="1:18">
      <c r="A32" s="15" t="s">
        <v>374</v>
      </c>
      <c r="B32" s="17" t="n">
        <v>4478</v>
      </c>
      <c r="C32" s="18">
        <f>(4478.0/B32*100)</f>
        <v/>
      </c>
      <c r="D32" s="19" t="n">
        <v>0</v>
      </c>
      <c r="E32" s="18" t="s">
        <v>349</v>
      </c>
      <c r="F32" s="20" t="s">
        <v>349</v>
      </c>
      <c r="G32" s="18" t="s">
        <v>349</v>
      </c>
      <c r="H32" s="20" t="s">
        <v>349</v>
      </c>
      <c r="I32" s="18" t="s">
        <v>349</v>
      </c>
      <c r="J32" s="20" t="s">
        <v>349</v>
      </c>
      <c r="K32" s="18" t="s">
        <v>349</v>
      </c>
      <c r="L32" s="20" t="s">
        <v>349</v>
      </c>
      <c r="M32" s="18" t="s">
        <v>349</v>
      </c>
      <c r="N32" s="20" t="s">
        <v>349</v>
      </c>
      <c r="O32" s="18" t="s">
        <v>349</v>
      </c>
      <c r="P32" s="20" t="s">
        <v>349</v>
      </c>
      <c r="Q32" s="18" t="s">
        <v>349</v>
      </c>
      <c r="R32" s="20" t="s">
        <v>349</v>
      </c>
    </row>
    <row r="33" spans="1:18">
      <c r="A33" s="15" t="s">
        <v>375</v>
      </c>
      <c r="B33" s="17" t="n">
        <v>7325</v>
      </c>
      <c r="C33" s="18">
        <f>(7325.0/B33*100)</f>
        <v/>
      </c>
      <c r="D33" s="19" t="n">
        <v>0</v>
      </c>
      <c r="E33" s="18" t="s">
        <v>349</v>
      </c>
      <c r="F33" s="20" t="s">
        <v>349</v>
      </c>
      <c r="G33" s="18" t="s">
        <v>349</v>
      </c>
      <c r="H33" s="20" t="s">
        <v>349</v>
      </c>
      <c r="I33" s="18" t="s">
        <v>349</v>
      </c>
      <c r="J33" s="20" t="s">
        <v>349</v>
      </c>
      <c r="K33" s="18" t="s">
        <v>349</v>
      </c>
      <c r="L33" s="20" t="s">
        <v>349</v>
      </c>
      <c r="M33" s="18" t="s">
        <v>349</v>
      </c>
      <c r="N33" s="20" t="s">
        <v>349</v>
      </c>
      <c r="O33" s="18" t="s">
        <v>349</v>
      </c>
      <c r="P33" s="20" t="s">
        <v>349</v>
      </c>
      <c r="Q33" s="18" t="s">
        <v>349</v>
      </c>
      <c r="R33" s="20" t="s">
        <v>349</v>
      </c>
    </row>
    <row r="34" spans="1:18">
      <c r="A34" s="15" t="s">
        <v>376</v>
      </c>
      <c r="B34" s="17" t="n">
        <v>6350</v>
      </c>
      <c r="C34" s="18">
        <f>(6350.0/B34*100)</f>
        <v/>
      </c>
      <c r="D34" s="19" t="n">
        <v>0</v>
      </c>
      <c r="E34" s="18" t="s">
        <v>349</v>
      </c>
      <c r="F34" s="20" t="s">
        <v>349</v>
      </c>
      <c r="G34" s="18" t="s">
        <v>349</v>
      </c>
      <c r="H34" s="20" t="s">
        <v>349</v>
      </c>
      <c r="I34" s="18" t="s">
        <v>349</v>
      </c>
      <c r="J34" s="20" t="s">
        <v>349</v>
      </c>
      <c r="K34" s="18" t="s">
        <v>349</v>
      </c>
      <c r="L34" s="20" t="s">
        <v>349</v>
      </c>
      <c r="M34" s="18" t="s">
        <v>349</v>
      </c>
      <c r="N34" s="20" t="s">
        <v>349</v>
      </c>
      <c r="O34" s="18" t="s">
        <v>349</v>
      </c>
      <c r="P34" s="20" t="s">
        <v>349</v>
      </c>
      <c r="Q34" s="18" t="s">
        <v>349</v>
      </c>
      <c r="R34" s="20" t="s">
        <v>349</v>
      </c>
    </row>
    <row r="35" spans="1:18">
      <c r="A35" s="15" t="s">
        <v>377</v>
      </c>
      <c r="B35" s="17" t="n">
        <v>6406</v>
      </c>
      <c r="C35" s="18">
        <f>(6406.0/B35*100)</f>
        <v/>
      </c>
      <c r="D35" s="19" t="n">
        <v>0</v>
      </c>
      <c r="E35" s="18" t="s">
        <v>349</v>
      </c>
      <c r="F35" s="20" t="s">
        <v>349</v>
      </c>
      <c r="G35" s="18" t="s">
        <v>349</v>
      </c>
      <c r="H35" s="20" t="s">
        <v>349</v>
      </c>
      <c r="I35" s="18" t="s">
        <v>349</v>
      </c>
      <c r="J35" s="20" t="s">
        <v>349</v>
      </c>
      <c r="K35" s="18" t="s">
        <v>349</v>
      </c>
      <c r="L35" s="20" t="s">
        <v>349</v>
      </c>
      <c r="M35" s="18" t="s">
        <v>349</v>
      </c>
      <c r="N35" s="20" t="s">
        <v>349</v>
      </c>
      <c r="O35" s="18" t="s">
        <v>349</v>
      </c>
      <c r="P35" s="20" t="s">
        <v>349</v>
      </c>
      <c r="Q35" s="18" t="s">
        <v>349</v>
      </c>
      <c r="R35" s="20" t="s">
        <v>349</v>
      </c>
    </row>
    <row r="36" spans="1:18">
      <c r="A36" s="15" t="s">
        <v>378</v>
      </c>
      <c r="B36" s="17" t="n">
        <v>6736</v>
      </c>
      <c r="C36" s="18">
        <f>(6736.0/B36*100)</f>
        <v/>
      </c>
      <c r="D36" s="19" t="n">
        <v>0</v>
      </c>
      <c r="E36" s="18" t="s">
        <v>349</v>
      </c>
      <c r="F36" s="20" t="s">
        <v>349</v>
      </c>
      <c r="G36" s="18" t="s">
        <v>349</v>
      </c>
      <c r="H36" s="20" t="s">
        <v>349</v>
      </c>
      <c r="I36" s="18" t="s">
        <v>349</v>
      </c>
      <c r="J36" s="20" t="s">
        <v>349</v>
      </c>
      <c r="K36" s="18" t="s">
        <v>349</v>
      </c>
      <c r="L36" s="20" t="s">
        <v>349</v>
      </c>
      <c r="M36" s="18" t="s">
        <v>349</v>
      </c>
      <c r="N36" s="20" t="s">
        <v>349</v>
      </c>
      <c r="O36" s="18" t="s">
        <v>349</v>
      </c>
      <c r="P36" s="20" t="s">
        <v>349</v>
      </c>
      <c r="Q36" s="18" t="s">
        <v>349</v>
      </c>
      <c r="R36" s="20" t="s">
        <v>349</v>
      </c>
    </row>
    <row r="37" spans="1:18">
      <c r="A37" s="15" t="s">
        <v>379</v>
      </c>
      <c r="B37" s="17" t="n">
        <v>5458</v>
      </c>
      <c r="C37" s="18">
        <f>(5458.0/B37*100)</f>
        <v/>
      </c>
      <c r="D37" s="19" t="n">
        <v>0</v>
      </c>
      <c r="E37" s="18" t="s">
        <v>349</v>
      </c>
      <c r="F37" s="20" t="s">
        <v>349</v>
      </c>
      <c r="G37" s="18" t="s">
        <v>349</v>
      </c>
      <c r="H37" s="20" t="s">
        <v>349</v>
      </c>
      <c r="I37" s="18" t="s">
        <v>349</v>
      </c>
      <c r="J37" s="20" t="s">
        <v>349</v>
      </c>
      <c r="K37" s="18" t="s">
        <v>349</v>
      </c>
      <c r="L37" s="20" t="s">
        <v>349</v>
      </c>
      <c r="M37" s="18" t="s">
        <v>349</v>
      </c>
      <c r="N37" s="20" t="s">
        <v>349</v>
      </c>
      <c r="O37" s="18" t="s">
        <v>349</v>
      </c>
      <c r="P37" s="20" t="s">
        <v>349</v>
      </c>
      <c r="Q37" s="18" t="s">
        <v>349</v>
      </c>
      <c r="R37" s="20" t="s">
        <v>349</v>
      </c>
    </row>
    <row r="38" spans="1:18">
      <c r="A38" s="15" t="s">
        <v>380</v>
      </c>
      <c r="B38" s="17" t="n">
        <v>5860</v>
      </c>
      <c r="C38" s="18">
        <f>(5860.0/B38*100)</f>
        <v/>
      </c>
      <c r="D38" s="19" t="n">
        <v>0</v>
      </c>
      <c r="E38" s="18" t="s">
        <v>349</v>
      </c>
      <c r="F38" s="20" t="s">
        <v>349</v>
      </c>
      <c r="G38" s="18" t="s">
        <v>349</v>
      </c>
      <c r="H38" s="20" t="s">
        <v>349</v>
      </c>
      <c r="I38" s="18" t="s">
        <v>349</v>
      </c>
      <c r="J38" s="20" t="s">
        <v>349</v>
      </c>
      <c r="K38" s="18" t="s">
        <v>349</v>
      </c>
      <c r="L38" s="20" t="s">
        <v>349</v>
      </c>
      <c r="M38" s="18" t="s">
        <v>349</v>
      </c>
      <c r="N38" s="20" t="s">
        <v>349</v>
      </c>
      <c r="O38" s="18" t="s">
        <v>349</v>
      </c>
      <c r="P38" s="20" t="s">
        <v>349</v>
      </c>
      <c r="Q38" s="18" t="s">
        <v>349</v>
      </c>
      <c r="R38" s="20" t="s">
        <v>349</v>
      </c>
    </row>
    <row r="39" spans="1:18">
      <c r="A39" s="15" t="s">
        <v>381</v>
      </c>
      <c r="B39" s="17" t="n">
        <v>5895</v>
      </c>
      <c r="C39" s="18">
        <f>(5895.0/B39*100)</f>
        <v/>
      </c>
      <c r="D39" s="19" t="n">
        <v>0</v>
      </c>
      <c r="E39" s="18" t="s">
        <v>349</v>
      </c>
      <c r="F39" s="20" t="s">
        <v>349</v>
      </c>
      <c r="G39" s="18" t="s">
        <v>349</v>
      </c>
      <c r="H39" s="20" t="s">
        <v>349</v>
      </c>
      <c r="I39" s="18" t="s">
        <v>349</v>
      </c>
      <c r="J39" s="20" t="s">
        <v>349</v>
      </c>
      <c r="K39" s="18" t="s">
        <v>349</v>
      </c>
      <c r="L39" s="20" t="s">
        <v>349</v>
      </c>
      <c r="M39" s="18" t="s">
        <v>349</v>
      </c>
      <c r="N39" s="20" t="s">
        <v>349</v>
      </c>
      <c r="O39" s="18" t="s">
        <v>349</v>
      </c>
      <c r="P39" s="20" t="s">
        <v>349</v>
      </c>
      <c r="Q39" s="18" t="s">
        <v>349</v>
      </c>
      <c r="R39" s="20" t="s">
        <v>349</v>
      </c>
    </row>
    <row r="40" spans="1:18">
      <c r="A40" s="15" t="s">
        <v>382</v>
      </c>
      <c r="B40" s="17" t="n">
        <v>14157</v>
      </c>
      <c r="C40" s="18">
        <f>(14157.0/B40*100)</f>
        <v/>
      </c>
      <c r="D40" s="19" t="n">
        <v>0</v>
      </c>
      <c r="E40" s="18" t="s">
        <v>349</v>
      </c>
      <c r="F40" s="20" t="s">
        <v>349</v>
      </c>
      <c r="G40" s="18" t="s">
        <v>349</v>
      </c>
      <c r="H40" s="20" t="s">
        <v>349</v>
      </c>
      <c r="I40" s="18" t="s">
        <v>349</v>
      </c>
      <c r="J40" s="20" t="s">
        <v>349</v>
      </c>
      <c r="K40" s="18" t="s">
        <v>349</v>
      </c>
      <c r="L40" s="20" t="s">
        <v>349</v>
      </c>
      <c r="M40" s="18" t="s">
        <v>349</v>
      </c>
      <c r="N40" s="20" t="s">
        <v>349</v>
      </c>
      <c r="O40" s="18" t="s">
        <v>349</v>
      </c>
      <c r="P40" s="20" t="s">
        <v>349</v>
      </c>
      <c r="Q40" s="18" t="s">
        <v>349</v>
      </c>
      <c r="R40" s="20" t="s">
        <v>349</v>
      </c>
    </row>
    <row r="41" spans="1:18">
      <c r="A41" s="15" t="s">
        <v>383</v>
      </c>
      <c r="B41" s="17" t="n">
        <v>5712</v>
      </c>
      <c r="C41" s="18">
        <f>(5712.0/B41*100)</f>
        <v/>
      </c>
      <c r="D41" s="19" t="n">
        <v>0</v>
      </c>
      <c r="E41" s="18" t="s">
        <v>349</v>
      </c>
      <c r="F41" s="20" t="s">
        <v>349</v>
      </c>
      <c r="G41" s="18" t="s">
        <v>349</v>
      </c>
      <c r="H41" s="20" t="s">
        <v>349</v>
      </c>
      <c r="I41" s="18" t="s">
        <v>349</v>
      </c>
      <c r="J41" s="20" t="s">
        <v>349</v>
      </c>
      <c r="K41" s="18" t="s">
        <v>349</v>
      </c>
      <c r="L41" s="20" t="s">
        <v>349</v>
      </c>
      <c r="M41" s="18" t="s">
        <v>349</v>
      </c>
      <c r="N41" s="20" t="s">
        <v>349</v>
      </c>
      <c r="O41" s="18" t="s">
        <v>349</v>
      </c>
      <c r="P41" s="20" t="s">
        <v>349</v>
      </c>
      <c r="Q41" s="18" t="s">
        <v>349</v>
      </c>
      <c r="R41" s="20" t="s">
        <v>349</v>
      </c>
    </row>
    <row r="42" spans="1:18">
      <c r="A42" s="15" t="s">
        <v>384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385</v>
      </c>
      <c r="B43" s="14" t="n"/>
      <c r="C43" s="14" t="n"/>
      <c r="D43" s="15" t="n"/>
      <c r="E43" s="14" t="n"/>
      <c r="F43" s="15" t="n"/>
      <c r="G43" s="14" t="n"/>
      <c r="H43" s="15" t="n"/>
      <c r="I43" s="14" t="n"/>
      <c r="J43" s="15" t="n"/>
      <c r="K43" s="14" t="n"/>
      <c r="L43" s="15" t="n"/>
      <c r="M43" s="14" t="n"/>
      <c r="N43" s="15" t="n"/>
      <c r="O43" s="14" t="n"/>
      <c r="P43" s="15" t="n"/>
      <c r="Q43" s="14" t="n"/>
      <c r="R43" s="16" t="n"/>
    </row>
    <row r="44" spans="1:18">
      <c r="A44" s="15" t="s">
        <v>386</v>
      </c>
      <c r="B44" s="17" t="n">
        <v>5215</v>
      </c>
      <c r="C44" s="18">
        <f>(5215.0/B44*100)</f>
        <v/>
      </c>
      <c r="D44" s="19" t="n">
        <v>0</v>
      </c>
      <c r="E44" s="18" t="s">
        <v>349</v>
      </c>
      <c r="F44" s="20" t="s">
        <v>349</v>
      </c>
      <c r="G44" s="18" t="s">
        <v>349</v>
      </c>
      <c r="H44" s="20" t="s">
        <v>349</v>
      </c>
      <c r="I44" s="18" t="s">
        <v>349</v>
      </c>
      <c r="J44" s="20" t="s">
        <v>349</v>
      </c>
      <c r="K44" s="18" t="s">
        <v>349</v>
      </c>
      <c r="L44" s="20" t="s">
        <v>349</v>
      </c>
      <c r="M44" s="18" t="s">
        <v>349</v>
      </c>
      <c r="N44" s="20" t="s">
        <v>349</v>
      </c>
      <c r="O44" s="18" t="s">
        <v>349</v>
      </c>
      <c r="P44" s="20" t="s">
        <v>349</v>
      </c>
      <c r="Q44" s="18" t="s">
        <v>349</v>
      </c>
      <c r="R44" s="20" t="s">
        <v>349</v>
      </c>
    </row>
    <row r="45" spans="1:18">
      <c r="A45" s="15" t="s">
        <v>387</v>
      </c>
      <c r="B45" s="17" t="n">
        <v>5519</v>
      </c>
      <c r="C45" s="18">
        <f>(4607.0/B45*100)</f>
        <v/>
      </c>
      <c r="D45" s="19" t="n">
        <v>912</v>
      </c>
      <c r="E45" s="18" t="n">
        <v>83.60081009</v>
      </c>
      <c r="F45" s="20" t="n">
        <v>1.2411251</v>
      </c>
      <c r="G45" s="18" t="n">
        <v>5.22974063</v>
      </c>
      <c r="H45" s="20" t="n">
        <v>0.93226453</v>
      </c>
      <c r="I45" s="18" t="s">
        <v>349</v>
      </c>
      <c r="J45" s="20" t="s">
        <v>349</v>
      </c>
      <c r="K45" s="18" t="n">
        <v>10.52622834</v>
      </c>
      <c r="L45" s="20" t="n">
        <v>0.94771059</v>
      </c>
      <c r="M45" s="18" t="n">
        <v>0.53007525</v>
      </c>
      <c r="N45" s="20" t="n">
        <v>0.16366308</v>
      </c>
      <c r="O45" s="18" t="n">
        <v>0.11314568</v>
      </c>
      <c r="P45" s="20" t="n">
        <v>0.11473865</v>
      </c>
      <c r="Q45" s="18" t="n">
        <v>0</v>
      </c>
      <c r="R45" s="20" t="n">
        <v>0</v>
      </c>
    </row>
    <row r="46" spans="1:18">
      <c r="A46" s="15" t="s">
        <v>388</v>
      </c>
      <c r="B46" s="17" t="n">
        <v>23141</v>
      </c>
      <c r="C46" s="18">
        <f>(23141.0/B46*100)</f>
        <v/>
      </c>
      <c r="D46" s="19" t="n">
        <v>0</v>
      </c>
      <c r="E46" s="18" t="s">
        <v>349</v>
      </c>
      <c r="F46" s="20" t="s">
        <v>349</v>
      </c>
      <c r="G46" s="18" t="s">
        <v>349</v>
      </c>
      <c r="H46" s="20" t="s">
        <v>349</v>
      </c>
      <c r="I46" s="18" t="s">
        <v>349</v>
      </c>
      <c r="J46" s="20" t="s">
        <v>349</v>
      </c>
      <c r="K46" s="18" t="s">
        <v>349</v>
      </c>
      <c r="L46" s="20" t="s">
        <v>349</v>
      </c>
      <c r="M46" s="18" t="s">
        <v>349</v>
      </c>
      <c r="N46" s="20" t="s">
        <v>349</v>
      </c>
      <c r="O46" s="18" t="s">
        <v>349</v>
      </c>
      <c r="P46" s="20" t="s">
        <v>349</v>
      </c>
      <c r="Q46" s="18" t="s">
        <v>349</v>
      </c>
      <c r="R46" s="20" t="s">
        <v>349</v>
      </c>
    </row>
    <row r="47" spans="1:18">
      <c r="A47" s="15" t="s">
        <v>389</v>
      </c>
      <c r="B47" s="17" t="n">
        <v>5928</v>
      </c>
      <c r="C47" s="18">
        <f>(5928.0/B47*100)</f>
        <v/>
      </c>
      <c r="D47" s="19" t="n">
        <v>0</v>
      </c>
      <c r="E47" s="18" t="s">
        <v>349</v>
      </c>
      <c r="F47" s="20" t="s">
        <v>349</v>
      </c>
      <c r="G47" s="18" t="s">
        <v>349</v>
      </c>
      <c r="H47" s="20" t="s">
        <v>349</v>
      </c>
      <c r="I47" s="18" t="s">
        <v>349</v>
      </c>
      <c r="J47" s="20" t="s">
        <v>349</v>
      </c>
      <c r="K47" s="18" t="s">
        <v>349</v>
      </c>
      <c r="L47" s="20" t="s">
        <v>349</v>
      </c>
      <c r="M47" s="18" t="s">
        <v>349</v>
      </c>
      <c r="N47" s="20" t="s">
        <v>349</v>
      </c>
      <c r="O47" s="18" t="s">
        <v>349</v>
      </c>
      <c r="P47" s="20" t="s">
        <v>349</v>
      </c>
      <c r="Q47" s="18" t="s">
        <v>349</v>
      </c>
      <c r="R47" s="20" t="s">
        <v>349</v>
      </c>
    </row>
    <row r="48" spans="1:18">
      <c r="A48" s="15" t="s">
        <v>390</v>
      </c>
      <c r="B48" s="17" t="n">
        <v>9841</v>
      </c>
      <c r="C48" s="18">
        <f>(9841.0/B48*100)</f>
        <v/>
      </c>
      <c r="D48" s="19" t="n">
        <v>0</v>
      </c>
      <c r="E48" s="18" t="s">
        <v>349</v>
      </c>
      <c r="F48" s="20" t="s">
        <v>349</v>
      </c>
      <c r="G48" s="18" t="s">
        <v>349</v>
      </c>
      <c r="H48" s="20" t="s">
        <v>349</v>
      </c>
      <c r="I48" s="18" t="s">
        <v>349</v>
      </c>
      <c r="J48" s="20" t="s">
        <v>349</v>
      </c>
      <c r="K48" s="18" t="s">
        <v>349</v>
      </c>
      <c r="L48" s="20" t="s">
        <v>349</v>
      </c>
      <c r="M48" s="18" t="s">
        <v>349</v>
      </c>
      <c r="N48" s="20" t="s">
        <v>349</v>
      </c>
      <c r="O48" s="18" t="s">
        <v>349</v>
      </c>
      <c r="P48" s="20" t="s">
        <v>349</v>
      </c>
      <c r="Q48" s="18" t="s">
        <v>349</v>
      </c>
      <c r="R48" s="20" t="s">
        <v>349</v>
      </c>
    </row>
    <row r="49" spans="1:18">
      <c r="A49" s="15" t="s">
        <v>391</v>
      </c>
      <c r="B49" s="17" t="n">
        <v>6349</v>
      </c>
      <c r="C49" s="18">
        <f>(5268.0/B49*100)</f>
        <v/>
      </c>
      <c r="D49" s="19" t="n">
        <v>1081</v>
      </c>
      <c r="E49" s="18" t="n">
        <v>86.94659077999999</v>
      </c>
      <c r="F49" s="20" t="n">
        <v>1.06136614</v>
      </c>
      <c r="G49" s="18" t="n">
        <v>4.69635649</v>
      </c>
      <c r="H49" s="20" t="n">
        <v>0.7026935600000001</v>
      </c>
      <c r="I49" s="18" t="s">
        <v>349</v>
      </c>
      <c r="J49" s="20" t="s">
        <v>349</v>
      </c>
      <c r="K49" s="18" t="n">
        <v>8.091082399999999</v>
      </c>
      <c r="L49" s="20" t="n">
        <v>0.94442324</v>
      </c>
      <c r="M49" s="18" t="n">
        <v>0.26597032</v>
      </c>
      <c r="N49" s="20" t="n">
        <v>0.18273064</v>
      </c>
      <c r="O49" s="18" t="n">
        <v>0</v>
      </c>
      <c r="P49" s="20" t="n">
        <v>0</v>
      </c>
      <c r="Q49" s="18" t="n">
        <v>0</v>
      </c>
      <c r="R49" s="20" t="n">
        <v>0</v>
      </c>
    </row>
    <row r="50" spans="1:18">
      <c r="A50" s="15" t="s">
        <v>392</v>
      </c>
      <c r="B50" s="17" t="n">
        <v>11795</v>
      </c>
      <c r="C50" s="18">
        <f>(11795.0/B50*100)</f>
        <v/>
      </c>
      <c r="D50" s="19" t="n">
        <v>0</v>
      </c>
      <c r="E50" s="18" t="s">
        <v>349</v>
      </c>
      <c r="F50" s="20" t="s">
        <v>349</v>
      </c>
      <c r="G50" s="18" t="s">
        <v>349</v>
      </c>
      <c r="H50" s="20" t="s">
        <v>349</v>
      </c>
      <c r="I50" s="18" t="s">
        <v>349</v>
      </c>
      <c r="J50" s="20" t="s">
        <v>349</v>
      </c>
      <c r="K50" s="18" t="s">
        <v>349</v>
      </c>
      <c r="L50" s="20" t="s">
        <v>349</v>
      </c>
      <c r="M50" s="18" t="s">
        <v>349</v>
      </c>
      <c r="N50" s="20" t="s">
        <v>349</v>
      </c>
      <c r="O50" s="18" t="s">
        <v>349</v>
      </c>
      <c r="P50" s="20" t="s">
        <v>349</v>
      </c>
      <c r="Q50" s="18" t="s">
        <v>349</v>
      </c>
      <c r="R50" s="20" t="s">
        <v>349</v>
      </c>
    </row>
    <row r="51" spans="1:18">
      <c r="A51" s="15" t="s">
        <v>393</v>
      </c>
      <c r="B51" s="17" t="n">
        <v>6866</v>
      </c>
      <c r="C51" s="18">
        <f>(6866.0/B51*100)</f>
        <v/>
      </c>
      <c r="D51" s="19" t="n">
        <v>0</v>
      </c>
      <c r="E51" s="18" t="s">
        <v>349</v>
      </c>
      <c r="F51" s="20" t="s">
        <v>349</v>
      </c>
      <c r="G51" s="18" t="s">
        <v>349</v>
      </c>
      <c r="H51" s="20" t="s">
        <v>349</v>
      </c>
      <c r="I51" s="18" t="s">
        <v>349</v>
      </c>
      <c r="J51" s="20" t="s">
        <v>349</v>
      </c>
      <c r="K51" s="18" t="s">
        <v>349</v>
      </c>
      <c r="L51" s="20" t="s">
        <v>349</v>
      </c>
      <c r="M51" s="18" t="s">
        <v>349</v>
      </c>
      <c r="N51" s="20" t="s">
        <v>349</v>
      </c>
      <c r="O51" s="18" t="s">
        <v>349</v>
      </c>
      <c r="P51" s="20" t="s">
        <v>349</v>
      </c>
      <c r="Q51" s="18" t="s">
        <v>349</v>
      </c>
      <c r="R51" s="20" t="s">
        <v>349</v>
      </c>
    </row>
    <row r="52" spans="1:18">
      <c r="A52" s="15" t="s">
        <v>394</v>
      </c>
      <c r="B52" s="17" t="n">
        <v>5809</v>
      </c>
      <c r="C52" s="18">
        <f>(5809.0/B52*100)</f>
        <v/>
      </c>
      <c r="D52" s="19" t="n">
        <v>0</v>
      </c>
      <c r="E52" s="18" t="s">
        <v>349</v>
      </c>
      <c r="F52" s="20" t="s">
        <v>349</v>
      </c>
      <c r="G52" s="18" t="s">
        <v>349</v>
      </c>
      <c r="H52" s="20" t="s">
        <v>349</v>
      </c>
      <c r="I52" s="18" t="s">
        <v>349</v>
      </c>
      <c r="J52" s="20" t="s">
        <v>349</v>
      </c>
      <c r="K52" s="18" t="s">
        <v>349</v>
      </c>
      <c r="L52" s="20" t="s">
        <v>349</v>
      </c>
      <c r="M52" s="18" t="s">
        <v>349</v>
      </c>
      <c r="N52" s="20" t="s">
        <v>349</v>
      </c>
      <c r="O52" s="18" t="s">
        <v>349</v>
      </c>
      <c r="P52" s="20" t="s">
        <v>349</v>
      </c>
      <c r="Q52" s="18" t="s">
        <v>349</v>
      </c>
      <c r="R52" s="20" t="s">
        <v>349</v>
      </c>
    </row>
    <row r="53" spans="1:18">
      <c r="A53" s="15" t="s">
        <v>395</v>
      </c>
      <c r="B53" s="17" t="n">
        <v>5571</v>
      </c>
      <c r="C53" s="18">
        <f>(5571.0/B53*100)</f>
        <v/>
      </c>
      <c r="D53" s="19" t="n">
        <v>0</v>
      </c>
      <c r="E53" s="18" t="s">
        <v>349</v>
      </c>
      <c r="F53" s="20" t="s">
        <v>349</v>
      </c>
      <c r="G53" s="18" t="s">
        <v>349</v>
      </c>
      <c r="H53" s="20" t="s">
        <v>349</v>
      </c>
      <c r="I53" s="18" t="s">
        <v>349</v>
      </c>
      <c r="J53" s="20" t="s">
        <v>349</v>
      </c>
      <c r="K53" s="18" t="s">
        <v>349</v>
      </c>
      <c r="L53" s="20" t="s">
        <v>349</v>
      </c>
      <c r="M53" s="18" t="s">
        <v>349</v>
      </c>
      <c r="N53" s="20" t="s">
        <v>349</v>
      </c>
      <c r="O53" s="18" t="s">
        <v>349</v>
      </c>
      <c r="P53" s="20" t="s">
        <v>349</v>
      </c>
      <c r="Q53" s="18" t="s">
        <v>349</v>
      </c>
      <c r="R53" s="20" t="s">
        <v>349</v>
      </c>
    </row>
    <row r="54" spans="1:18">
      <c r="A54" s="15" t="s">
        <v>396</v>
      </c>
      <c r="B54" s="17" t="n">
        <v>4740</v>
      </c>
      <c r="C54" s="18">
        <f>(4740.0/B54*100)</f>
        <v/>
      </c>
      <c r="D54" s="19" t="n">
        <v>0</v>
      </c>
      <c r="E54" s="18" t="s">
        <v>349</v>
      </c>
      <c r="F54" s="20" t="s">
        <v>349</v>
      </c>
      <c r="G54" s="18" t="s">
        <v>349</v>
      </c>
      <c r="H54" s="20" t="s">
        <v>349</v>
      </c>
      <c r="I54" s="18" t="s">
        <v>349</v>
      </c>
      <c r="J54" s="20" t="s">
        <v>349</v>
      </c>
      <c r="K54" s="18" t="s">
        <v>349</v>
      </c>
      <c r="L54" s="20" t="s">
        <v>349</v>
      </c>
      <c r="M54" s="18" t="s">
        <v>349</v>
      </c>
      <c r="N54" s="20" t="s">
        <v>349</v>
      </c>
      <c r="O54" s="18" t="s">
        <v>349</v>
      </c>
      <c r="P54" s="20" t="s">
        <v>349</v>
      </c>
      <c r="Q54" s="18" t="s">
        <v>349</v>
      </c>
      <c r="R54" s="20" t="s">
        <v>349</v>
      </c>
    </row>
    <row r="55" spans="1:18">
      <c r="A55" s="15" t="s">
        <v>397</v>
      </c>
      <c r="B55" s="17" t="n">
        <v>5316</v>
      </c>
      <c r="C55" s="18">
        <f>(5316.0/B55*100)</f>
        <v/>
      </c>
      <c r="D55" s="19" t="n">
        <v>0</v>
      </c>
      <c r="E55" s="18" t="s">
        <v>349</v>
      </c>
      <c r="F55" s="20" t="s">
        <v>349</v>
      </c>
      <c r="G55" s="18" t="s">
        <v>349</v>
      </c>
      <c r="H55" s="20" t="s">
        <v>349</v>
      </c>
      <c r="I55" s="18" t="s">
        <v>349</v>
      </c>
      <c r="J55" s="20" t="s">
        <v>349</v>
      </c>
      <c r="K55" s="18" t="s">
        <v>349</v>
      </c>
      <c r="L55" s="20" t="s">
        <v>349</v>
      </c>
      <c r="M55" s="18" t="s">
        <v>349</v>
      </c>
      <c r="N55" s="20" t="s">
        <v>349</v>
      </c>
      <c r="O55" s="18" t="s">
        <v>349</v>
      </c>
      <c r="P55" s="20" t="s">
        <v>349</v>
      </c>
      <c r="Q55" s="18" t="s">
        <v>349</v>
      </c>
      <c r="R55" s="20" t="s">
        <v>349</v>
      </c>
    </row>
    <row r="56" spans="1:18">
      <c r="A56" s="15" t="s">
        <v>398</v>
      </c>
      <c r="B56" s="17" t="n">
        <v>5359</v>
      </c>
      <c r="C56" s="18">
        <f>(5359.0/B56*100)</f>
        <v/>
      </c>
      <c r="D56" s="19" t="n">
        <v>0</v>
      </c>
      <c r="E56" s="18" t="s">
        <v>349</v>
      </c>
      <c r="F56" s="20" t="s">
        <v>349</v>
      </c>
      <c r="G56" s="18" t="s">
        <v>349</v>
      </c>
      <c r="H56" s="20" t="s">
        <v>349</v>
      </c>
      <c r="I56" s="18" t="s">
        <v>349</v>
      </c>
      <c r="J56" s="20" t="s">
        <v>349</v>
      </c>
      <c r="K56" s="18" t="s">
        <v>349</v>
      </c>
      <c r="L56" s="20" t="s">
        <v>349</v>
      </c>
      <c r="M56" s="18" t="s">
        <v>349</v>
      </c>
      <c r="N56" s="20" t="s">
        <v>349</v>
      </c>
      <c r="O56" s="18" t="s">
        <v>349</v>
      </c>
      <c r="P56" s="20" t="s">
        <v>349</v>
      </c>
      <c r="Q56" s="18" t="s">
        <v>349</v>
      </c>
      <c r="R56" s="20" t="s">
        <v>349</v>
      </c>
    </row>
    <row r="57" spans="1:18">
      <c r="A57" s="15" t="s">
        <v>399</v>
      </c>
      <c r="B57" s="17" t="n">
        <v>6513</v>
      </c>
      <c r="C57" s="18">
        <f>(6513.0/B57*100)</f>
        <v/>
      </c>
      <c r="D57" s="19" t="n">
        <v>0</v>
      </c>
      <c r="E57" s="18" t="s">
        <v>349</v>
      </c>
      <c r="F57" s="20" t="s">
        <v>349</v>
      </c>
      <c r="G57" s="18" t="s">
        <v>349</v>
      </c>
      <c r="H57" s="20" t="s">
        <v>349</v>
      </c>
      <c r="I57" s="18" t="s">
        <v>349</v>
      </c>
      <c r="J57" s="20" t="s">
        <v>349</v>
      </c>
      <c r="K57" s="18" t="s">
        <v>349</v>
      </c>
      <c r="L57" s="20" t="s">
        <v>349</v>
      </c>
      <c r="M57" s="18" t="s">
        <v>349</v>
      </c>
      <c r="N57" s="20" t="s">
        <v>349</v>
      </c>
      <c r="O57" s="18" t="s">
        <v>349</v>
      </c>
      <c r="P57" s="20" t="s">
        <v>349</v>
      </c>
      <c r="Q57" s="18" t="s">
        <v>349</v>
      </c>
      <c r="R57" s="20" t="s">
        <v>349</v>
      </c>
    </row>
    <row r="58" spans="1:18">
      <c r="A58" s="15" t="s">
        <v>400</v>
      </c>
      <c r="B58" s="17" t="n">
        <v>7267</v>
      </c>
      <c r="C58" s="18">
        <f>(6025.0/B58*100)</f>
        <v/>
      </c>
      <c r="D58" s="19" t="n">
        <v>1242</v>
      </c>
      <c r="E58" s="18" t="n">
        <v>84.06354732</v>
      </c>
      <c r="F58" s="20" t="n">
        <v>1.17389685</v>
      </c>
      <c r="G58" s="18" t="n">
        <v>8.00729499</v>
      </c>
      <c r="H58" s="20" t="n">
        <v>1.0178931</v>
      </c>
      <c r="I58" s="18" t="s">
        <v>349</v>
      </c>
      <c r="J58" s="20" t="s">
        <v>349</v>
      </c>
      <c r="K58" s="18" t="n">
        <v>7.92915769</v>
      </c>
      <c r="L58" s="20" t="n">
        <v>0.93857722</v>
      </c>
      <c r="M58" s="18" t="n">
        <v>0</v>
      </c>
      <c r="N58" s="20" t="n">
        <v>0</v>
      </c>
      <c r="O58" s="18" t="n">
        <v>0</v>
      </c>
      <c r="P58" s="20" t="n">
        <v>0</v>
      </c>
      <c r="Q58" s="18" t="n">
        <v>0</v>
      </c>
      <c r="R58" s="20" t="n">
        <v>0</v>
      </c>
    </row>
    <row r="59" spans="1:18">
      <c r="A59" s="15" t="s">
        <v>401</v>
      </c>
      <c r="B59" s="17" t="n">
        <v>4826</v>
      </c>
      <c r="C59" s="18">
        <f>(4005.0/B59*100)</f>
        <v/>
      </c>
      <c r="D59" s="19" t="n">
        <v>821</v>
      </c>
      <c r="E59" s="18" t="n">
        <v>91.47827386</v>
      </c>
      <c r="F59" s="20" t="n">
        <v>1.15959986</v>
      </c>
      <c r="G59" s="18" t="n">
        <v>4.10715995</v>
      </c>
      <c r="H59" s="20" t="n">
        <v>0.72625616</v>
      </c>
      <c r="I59" s="18" t="s">
        <v>349</v>
      </c>
      <c r="J59" s="20" t="s">
        <v>349</v>
      </c>
      <c r="K59" s="18" t="n">
        <v>4.4145662</v>
      </c>
      <c r="L59" s="20" t="n">
        <v>0.85979814</v>
      </c>
      <c r="M59" s="18" t="n">
        <v>0</v>
      </c>
      <c r="N59" s="20" t="n">
        <v>0</v>
      </c>
      <c r="O59" s="18" t="n">
        <v>0</v>
      </c>
      <c r="P59" s="20" t="n">
        <v>0</v>
      </c>
      <c r="Q59" s="18" t="n">
        <v>0</v>
      </c>
      <c r="R59" s="20" t="n">
        <v>0</v>
      </c>
    </row>
    <row r="60" spans="1:18">
      <c r="A60" s="15" t="s">
        <v>402</v>
      </c>
      <c r="B60" s="17" t="n">
        <v>4546</v>
      </c>
      <c r="C60" s="18">
        <f>(3800.0/B60*100)</f>
        <v/>
      </c>
      <c r="D60" s="19" t="n">
        <v>746</v>
      </c>
      <c r="E60" s="18" t="n">
        <v>83.64241902000001</v>
      </c>
      <c r="F60" s="20" t="n">
        <v>1.57060909</v>
      </c>
      <c r="G60" s="18" t="n">
        <v>5.97051391</v>
      </c>
      <c r="H60" s="20" t="n">
        <v>0.77427583</v>
      </c>
      <c r="I60" s="18" t="s">
        <v>349</v>
      </c>
      <c r="J60" s="20" t="s">
        <v>349</v>
      </c>
      <c r="K60" s="18" t="n">
        <v>10.21440343</v>
      </c>
      <c r="L60" s="20" t="n">
        <v>1.35392117</v>
      </c>
      <c r="M60" s="18" t="n">
        <v>0</v>
      </c>
      <c r="N60" s="20" t="n">
        <v>0</v>
      </c>
      <c r="O60" s="18" t="n">
        <v>0.17266365</v>
      </c>
      <c r="P60" s="20" t="n">
        <v>0.17292876</v>
      </c>
      <c r="Q60" s="18" t="n">
        <v>0</v>
      </c>
      <c r="R60" s="20" t="n">
        <v>0</v>
      </c>
    </row>
    <row r="61" spans="1:18">
      <c r="A61" s="15" t="s">
        <v>403</v>
      </c>
      <c r="B61" s="17" t="n">
        <v>6525</v>
      </c>
      <c r="C61" s="18">
        <f>(6525.0/B61*100)</f>
        <v/>
      </c>
      <c r="D61" s="19" t="n">
        <v>0</v>
      </c>
      <c r="E61" s="18" t="s">
        <v>349</v>
      </c>
      <c r="F61" s="20" t="s">
        <v>349</v>
      </c>
      <c r="G61" s="18" t="s">
        <v>349</v>
      </c>
      <c r="H61" s="20" t="s">
        <v>349</v>
      </c>
      <c r="I61" s="18" t="s">
        <v>349</v>
      </c>
      <c r="J61" s="20" t="s">
        <v>349</v>
      </c>
      <c r="K61" s="18" t="s">
        <v>349</v>
      </c>
      <c r="L61" s="20" t="s">
        <v>349</v>
      </c>
      <c r="M61" s="18" t="s">
        <v>349</v>
      </c>
      <c r="N61" s="20" t="s">
        <v>349</v>
      </c>
      <c r="O61" s="18" t="s">
        <v>349</v>
      </c>
      <c r="P61" s="20" t="s">
        <v>349</v>
      </c>
      <c r="Q61" s="18" t="s">
        <v>349</v>
      </c>
      <c r="R61" s="20" t="s">
        <v>349</v>
      </c>
    </row>
    <row r="62" spans="1:18">
      <c r="A62" s="15" t="s">
        <v>404</v>
      </c>
      <c r="B62" s="17" t="n">
        <v>4476</v>
      </c>
      <c r="C62" s="18">
        <f>(4476.0/B62*100)</f>
        <v/>
      </c>
      <c r="D62" s="19" t="n">
        <v>0</v>
      </c>
      <c r="E62" s="18" t="s">
        <v>349</v>
      </c>
      <c r="F62" s="20" t="s">
        <v>349</v>
      </c>
      <c r="G62" s="18" t="s">
        <v>349</v>
      </c>
      <c r="H62" s="20" t="s">
        <v>349</v>
      </c>
      <c r="I62" s="18" t="s">
        <v>349</v>
      </c>
      <c r="J62" s="20" t="s">
        <v>349</v>
      </c>
      <c r="K62" s="18" t="s">
        <v>349</v>
      </c>
      <c r="L62" s="20" t="s">
        <v>349</v>
      </c>
      <c r="M62" s="18" t="s">
        <v>349</v>
      </c>
      <c r="N62" s="20" t="s">
        <v>349</v>
      </c>
      <c r="O62" s="18" t="s">
        <v>349</v>
      </c>
      <c r="P62" s="20" t="s">
        <v>349</v>
      </c>
      <c r="Q62" s="18" t="s">
        <v>349</v>
      </c>
      <c r="R62" s="20" t="s">
        <v>349</v>
      </c>
    </row>
    <row r="63" spans="1:18">
      <c r="A63" s="15" t="s">
        <v>405</v>
      </c>
      <c r="B63" s="17" t="n">
        <v>5324</v>
      </c>
      <c r="C63" s="18">
        <f>(4453.0/B63*100)</f>
        <v/>
      </c>
      <c r="D63" s="19" t="n">
        <v>871</v>
      </c>
      <c r="E63" s="18" t="n">
        <v>83.60736747999999</v>
      </c>
      <c r="F63" s="20" t="n">
        <v>1.49005061</v>
      </c>
      <c r="G63" s="18" t="n">
        <v>7.87449087</v>
      </c>
      <c r="H63" s="20" t="n">
        <v>1.17176566</v>
      </c>
      <c r="I63" s="18" t="s">
        <v>349</v>
      </c>
      <c r="J63" s="20" t="s">
        <v>349</v>
      </c>
      <c r="K63" s="18" t="n">
        <v>8.51814164</v>
      </c>
      <c r="L63" s="20" t="n">
        <v>1.08601503</v>
      </c>
      <c r="M63" s="18" t="n">
        <v>0</v>
      </c>
      <c r="N63" s="20" t="n">
        <v>0</v>
      </c>
      <c r="O63" s="18" t="n">
        <v>0</v>
      </c>
      <c r="P63" s="20" t="n">
        <v>0</v>
      </c>
      <c r="Q63" s="18" t="n">
        <v>0</v>
      </c>
      <c r="R63" s="20" t="n">
        <v>0</v>
      </c>
    </row>
    <row r="64" spans="1:18">
      <c r="A64" s="15" t="s">
        <v>406</v>
      </c>
      <c r="B64" s="17" t="n">
        <v>3634</v>
      </c>
      <c r="C64" s="18">
        <f>(3634.0/B64*100)</f>
        <v/>
      </c>
      <c r="D64" s="19" t="n">
        <v>0</v>
      </c>
      <c r="E64" s="18" t="s">
        <v>349</v>
      </c>
      <c r="F64" s="20" t="s">
        <v>349</v>
      </c>
      <c r="G64" s="18" t="s">
        <v>349</v>
      </c>
      <c r="H64" s="20" t="s">
        <v>349</v>
      </c>
      <c r="I64" s="18" t="s">
        <v>349</v>
      </c>
      <c r="J64" s="20" t="s">
        <v>349</v>
      </c>
      <c r="K64" s="18" t="s">
        <v>349</v>
      </c>
      <c r="L64" s="20" t="s">
        <v>349</v>
      </c>
      <c r="M64" s="18" t="s">
        <v>349</v>
      </c>
      <c r="N64" s="20" t="s">
        <v>349</v>
      </c>
      <c r="O64" s="18" t="s">
        <v>349</v>
      </c>
      <c r="P64" s="20" t="s">
        <v>349</v>
      </c>
      <c r="Q64" s="18" t="s">
        <v>349</v>
      </c>
      <c r="R64" s="20" t="s">
        <v>349</v>
      </c>
    </row>
    <row r="65" spans="1:18">
      <c r="A65" s="15" t="s">
        <v>407</v>
      </c>
      <c r="B65" s="17" t="n">
        <v>5325</v>
      </c>
      <c r="C65" s="18">
        <f>(4436.0/B65*100)</f>
        <v/>
      </c>
      <c r="D65" s="19" t="n">
        <v>889</v>
      </c>
      <c r="E65" s="18" t="n">
        <v>83.04424725</v>
      </c>
      <c r="F65" s="20" t="n">
        <v>1.37106954</v>
      </c>
      <c r="G65" s="18" t="n">
        <v>4.094216</v>
      </c>
      <c r="H65" s="20" t="n">
        <v>0.77654405</v>
      </c>
      <c r="I65" s="18" t="s">
        <v>349</v>
      </c>
      <c r="J65" s="20" t="s">
        <v>349</v>
      </c>
      <c r="K65" s="18" t="n">
        <v>12.86153675</v>
      </c>
      <c r="L65" s="20" t="n">
        <v>1.16407455</v>
      </c>
      <c r="M65" s="18" t="n">
        <v>0</v>
      </c>
      <c r="N65" s="20" t="n">
        <v>0</v>
      </c>
      <c r="O65" s="18" t="n">
        <v>0</v>
      </c>
      <c r="P65" s="20" t="n">
        <v>0</v>
      </c>
      <c r="Q65" s="18" t="n">
        <v>0</v>
      </c>
      <c r="R65" s="20" t="n">
        <v>0</v>
      </c>
    </row>
    <row r="66" spans="1:18">
      <c r="A66" s="15" t="s">
        <v>408</v>
      </c>
      <c r="B66" s="17" t="n">
        <v>5665</v>
      </c>
      <c r="C66" s="18">
        <f>(5665.0/B66*100)</f>
        <v/>
      </c>
      <c r="D66" s="19" t="n">
        <v>0</v>
      </c>
      <c r="E66" s="18" t="s">
        <v>349</v>
      </c>
      <c r="F66" s="20" t="s">
        <v>349</v>
      </c>
      <c r="G66" s="18" t="s">
        <v>349</v>
      </c>
      <c r="H66" s="20" t="s">
        <v>349</v>
      </c>
      <c r="I66" s="18" t="s">
        <v>349</v>
      </c>
      <c r="J66" s="20" t="s">
        <v>349</v>
      </c>
      <c r="K66" s="18" t="s">
        <v>349</v>
      </c>
      <c r="L66" s="20" t="s">
        <v>349</v>
      </c>
      <c r="M66" s="18" t="s">
        <v>349</v>
      </c>
      <c r="N66" s="20" t="s">
        <v>349</v>
      </c>
      <c r="O66" s="18" t="s">
        <v>349</v>
      </c>
      <c r="P66" s="20" t="s">
        <v>349</v>
      </c>
      <c r="Q66" s="18" t="s">
        <v>349</v>
      </c>
      <c r="R66" s="20" t="s">
        <v>349</v>
      </c>
    </row>
    <row r="67" spans="1:18">
      <c r="A67" s="15" t="s">
        <v>409</v>
      </c>
      <c r="B67" s="17" t="n">
        <v>6971</v>
      </c>
      <c r="C67" s="18">
        <f>(6971.0/B67*100)</f>
        <v/>
      </c>
      <c r="D67" s="19" t="n">
        <v>0</v>
      </c>
      <c r="E67" s="18" t="s">
        <v>349</v>
      </c>
      <c r="F67" s="20" t="s">
        <v>349</v>
      </c>
      <c r="G67" s="18" t="s">
        <v>349</v>
      </c>
      <c r="H67" s="20" t="s">
        <v>349</v>
      </c>
      <c r="I67" s="18" t="s">
        <v>349</v>
      </c>
      <c r="J67" s="20" t="s">
        <v>349</v>
      </c>
      <c r="K67" s="18" t="s">
        <v>349</v>
      </c>
      <c r="L67" s="20" t="s">
        <v>349</v>
      </c>
      <c r="M67" s="18" t="s">
        <v>349</v>
      </c>
      <c r="N67" s="20" t="s">
        <v>349</v>
      </c>
      <c r="O67" s="18" t="s">
        <v>349</v>
      </c>
      <c r="P67" s="20" t="s">
        <v>349</v>
      </c>
      <c r="Q67" s="18" t="s">
        <v>349</v>
      </c>
      <c r="R67" s="20" t="s">
        <v>349</v>
      </c>
    </row>
    <row r="68" spans="1:18">
      <c r="A68" s="15" t="s">
        <v>410</v>
      </c>
      <c r="B68" s="17" t="n">
        <v>12083</v>
      </c>
      <c r="C68" s="18">
        <f>(12083.0/B68*100)</f>
        <v/>
      </c>
      <c r="D68" s="19" t="n">
        <v>0</v>
      </c>
      <c r="E68" s="18" t="s">
        <v>349</v>
      </c>
      <c r="F68" s="20" t="s">
        <v>349</v>
      </c>
      <c r="G68" s="18" t="s">
        <v>349</v>
      </c>
      <c r="H68" s="20" t="s">
        <v>349</v>
      </c>
      <c r="I68" s="18" t="s">
        <v>349</v>
      </c>
      <c r="J68" s="20" t="s">
        <v>349</v>
      </c>
      <c r="K68" s="18" t="s">
        <v>349</v>
      </c>
      <c r="L68" s="20" t="s">
        <v>349</v>
      </c>
      <c r="M68" s="18" t="s">
        <v>349</v>
      </c>
      <c r="N68" s="20" t="s">
        <v>349</v>
      </c>
      <c r="O68" s="18" t="s">
        <v>349</v>
      </c>
      <c r="P68" s="20" t="s">
        <v>349</v>
      </c>
      <c r="Q68" s="18" t="s">
        <v>349</v>
      </c>
      <c r="R68" s="20" t="s">
        <v>349</v>
      </c>
    </row>
    <row r="69" spans="1:18">
      <c r="A69" s="15" t="s">
        <v>411</v>
      </c>
      <c r="B69" s="17" t="n">
        <v>4876</v>
      </c>
      <c r="C69" s="18">
        <f>(4068.0/B69*100)</f>
        <v/>
      </c>
      <c r="D69" s="19" t="n">
        <v>808</v>
      </c>
      <c r="E69" s="18" t="n">
        <v>91.77562076</v>
      </c>
      <c r="F69" s="20" t="n">
        <v>1.1491418</v>
      </c>
      <c r="G69" s="18" t="n">
        <v>7.99286825</v>
      </c>
      <c r="H69" s="20" t="n">
        <v>1.13695066</v>
      </c>
      <c r="I69" s="18" t="s">
        <v>349</v>
      </c>
      <c r="J69" s="20" t="s">
        <v>349</v>
      </c>
      <c r="K69" s="18" t="n">
        <v>0.23151099</v>
      </c>
      <c r="L69" s="20" t="n">
        <v>0.16819011</v>
      </c>
      <c r="M69" s="18" t="n">
        <v>0</v>
      </c>
      <c r="N69" s="20" t="n">
        <v>0</v>
      </c>
      <c r="O69" s="18" t="n">
        <v>0</v>
      </c>
      <c r="P69" s="20" t="n">
        <v>0</v>
      </c>
      <c r="Q69" s="18" t="n">
        <v>0</v>
      </c>
      <c r="R69" s="20" t="n">
        <v>0</v>
      </c>
    </row>
    <row r="70" spans="1:18">
      <c r="A70" s="15" t="s">
        <v>412</v>
      </c>
      <c r="B70" s="17" t="n">
        <v>6036</v>
      </c>
      <c r="C70" s="18">
        <f>(6036.0/B70*100)</f>
        <v/>
      </c>
      <c r="D70" s="19" t="n">
        <v>0</v>
      </c>
      <c r="E70" s="18" t="s">
        <v>349</v>
      </c>
      <c r="F70" s="20" t="s">
        <v>349</v>
      </c>
      <c r="G70" s="18" t="s">
        <v>349</v>
      </c>
      <c r="H70" s="20" t="s">
        <v>349</v>
      </c>
      <c r="I70" s="18" t="s">
        <v>349</v>
      </c>
      <c r="J70" s="20" t="s">
        <v>349</v>
      </c>
      <c r="K70" s="18" t="s">
        <v>349</v>
      </c>
      <c r="L70" s="20" t="s">
        <v>349</v>
      </c>
      <c r="M70" s="18" t="s">
        <v>349</v>
      </c>
      <c r="N70" s="20" t="s">
        <v>349</v>
      </c>
      <c r="O70" s="18" t="s">
        <v>349</v>
      </c>
      <c r="P70" s="20" t="s">
        <v>349</v>
      </c>
      <c r="Q70" s="18" t="s">
        <v>349</v>
      </c>
      <c r="R70" s="20" t="s">
        <v>349</v>
      </c>
    </row>
    <row r="71" spans="1:18">
      <c r="A71" s="15" t="s">
        <v>413</v>
      </c>
      <c r="B71" s="17" t="n">
        <v>6115</v>
      </c>
      <c r="C71" s="18">
        <f>(6115.0/B71*100)</f>
        <v/>
      </c>
      <c r="D71" s="19" t="n">
        <v>0</v>
      </c>
      <c r="E71" s="18" t="s">
        <v>349</v>
      </c>
      <c r="F71" s="20" t="s">
        <v>349</v>
      </c>
      <c r="G71" s="18" t="s">
        <v>349</v>
      </c>
      <c r="H71" s="20" t="s">
        <v>349</v>
      </c>
      <c r="I71" s="18" t="s">
        <v>349</v>
      </c>
      <c r="J71" s="20" t="s">
        <v>349</v>
      </c>
      <c r="K71" s="18" t="s">
        <v>349</v>
      </c>
      <c r="L71" s="20" t="s">
        <v>349</v>
      </c>
      <c r="M71" s="18" t="s">
        <v>349</v>
      </c>
      <c r="N71" s="20" t="s">
        <v>349</v>
      </c>
      <c r="O71" s="18" t="s">
        <v>349</v>
      </c>
      <c r="P71" s="20" t="s">
        <v>349</v>
      </c>
      <c r="Q71" s="18" t="s">
        <v>349</v>
      </c>
      <c r="R71" s="20" t="s">
        <v>349</v>
      </c>
    </row>
    <row r="72" spans="1:18">
      <c r="A72" s="15" t="s">
        <v>414</v>
      </c>
      <c r="B72" s="17" t="n">
        <v>7708</v>
      </c>
      <c r="C72" s="18">
        <f>(7708.0/B72*100)</f>
        <v/>
      </c>
      <c r="D72" s="19" t="n">
        <v>0</v>
      </c>
      <c r="E72" s="18" t="s">
        <v>349</v>
      </c>
      <c r="F72" s="20" t="s">
        <v>349</v>
      </c>
      <c r="G72" s="18" t="s">
        <v>349</v>
      </c>
      <c r="H72" s="20" t="s">
        <v>349</v>
      </c>
      <c r="I72" s="18" t="s">
        <v>349</v>
      </c>
      <c r="J72" s="20" t="s">
        <v>349</v>
      </c>
      <c r="K72" s="18" t="s">
        <v>349</v>
      </c>
      <c r="L72" s="20" t="s">
        <v>349</v>
      </c>
      <c r="M72" s="18" t="s">
        <v>349</v>
      </c>
      <c r="N72" s="20" t="s">
        <v>349</v>
      </c>
      <c r="O72" s="18" t="s">
        <v>349</v>
      </c>
      <c r="P72" s="20" t="s">
        <v>349</v>
      </c>
      <c r="Q72" s="18" t="s">
        <v>349</v>
      </c>
      <c r="R72" s="20" t="s">
        <v>349</v>
      </c>
    </row>
    <row r="73" spans="1:18">
      <c r="A73" s="15" t="s">
        <v>415</v>
      </c>
      <c r="B73" s="17" t="n">
        <v>8249</v>
      </c>
      <c r="C73" s="18">
        <f>(8249.0/B73*100)</f>
        <v/>
      </c>
      <c r="D73" s="19" t="n">
        <v>0</v>
      </c>
      <c r="E73" s="18" t="s">
        <v>349</v>
      </c>
      <c r="F73" s="20" t="s">
        <v>349</v>
      </c>
      <c r="G73" s="18" t="s">
        <v>349</v>
      </c>
      <c r="H73" s="20" t="s">
        <v>349</v>
      </c>
      <c r="I73" s="18" t="s">
        <v>349</v>
      </c>
      <c r="J73" s="20" t="s">
        <v>349</v>
      </c>
      <c r="K73" s="18" t="s">
        <v>349</v>
      </c>
      <c r="L73" s="20" t="s">
        <v>349</v>
      </c>
      <c r="M73" s="18" t="s">
        <v>349</v>
      </c>
      <c r="N73" s="20" t="s">
        <v>349</v>
      </c>
      <c r="O73" s="18" t="s">
        <v>349</v>
      </c>
      <c r="P73" s="20" t="s">
        <v>349</v>
      </c>
      <c r="Q73" s="18" t="s">
        <v>349</v>
      </c>
      <c r="R73" s="20" t="s">
        <v>349</v>
      </c>
    </row>
    <row r="74" spans="1:18">
      <c r="A74" s="15" t="s">
        <v>416</v>
      </c>
      <c r="B74" s="17" t="n">
        <v>4692</v>
      </c>
      <c r="C74" s="18">
        <f>(3909.0/B74*100)</f>
        <v/>
      </c>
      <c r="D74" s="19" t="n">
        <v>783</v>
      </c>
      <c r="E74" s="18" t="n">
        <v>79.71766414</v>
      </c>
      <c r="F74" s="20" t="n">
        <v>1.30185989</v>
      </c>
      <c r="G74" s="18" t="n">
        <v>8.09317817</v>
      </c>
      <c r="H74" s="20" t="n">
        <v>1.01463467</v>
      </c>
      <c r="I74" s="18" t="s">
        <v>349</v>
      </c>
      <c r="J74" s="20" t="s">
        <v>349</v>
      </c>
      <c r="K74" s="18" t="n">
        <v>12.18915769</v>
      </c>
      <c r="L74" s="20" t="n">
        <v>1.22840517</v>
      </c>
      <c r="M74" s="18" t="n">
        <v>0</v>
      </c>
      <c r="N74" s="20" t="n">
        <v>0</v>
      </c>
      <c r="O74" s="18" t="n">
        <v>0</v>
      </c>
      <c r="P74" s="20" t="n">
        <v>0</v>
      </c>
      <c r="Q74" s="18" t="n">
        <v>0</v>
      </c>
      <c r="R74" s="20" t="n">
        <v>0</v>
      </c>
    </row>
    <row r="75" spans="1:18">
      <c r="A75" s="15" t="s">
        <v>417</v>
      </c>
      <c r="B75" s="17" t="n">
        <v>5375</v>
      </c>
      <c r="C75" s="18">
        <f>(5375.0/B75*100)</f>
        <v/>
      </c>
      <c r="D75" s="19" t="n">
        <v>0</v>
      </c>
      <c r="E75" s="18" t="s">
        <v>349</v>
      </c>
      <c r="F75" s="20" t="s">
        <v>349</v>
      </c>
      <c r="G75" s="18" t="s">
        <v>349</v>
      </c>
      <c r="H75" s="20" t="s">
        <v>349</v>
      </c>
      <c r="I75" s="18" t="s">
        <v>349</v>
      </c>
      <c r="J75" s="20" t="s">
        <v>349</v>
      </c>
      <c r="K75" s="18" t="s">
        <v>349</v>
      </c>
      <c r="L75" s="20" t="s">
        <v>349</v>
      </c>
      <c r="M75" s="18" t="s">
        <v>349</v>
      </c>
      <c r="N75" s="20" t="s">
        <v>349</v>
      </c>
      <c r="O75" s="18" t="s">
        <v>349</v>
      </c>
      <c r="P75" s="20" t="s">
        <v>349</v>
      </c>
      <c r="Q75" s="18" t="s">
        <v>349</v>
      </c>
      <c r="R75" s="20" t="s">
        <v>349</v>
      </c>
    </row>
    <row r="76" spans="1:18">
      <c r="A76" s="15" t="s">
        <v>418</v>
      </c>
      <c r="B76" s="17" t="n">
        <v>14167</v>
      </c>
      <c r="C76" s="18">
        <f>(14167.0/B76*100)</f>
        <v/>
      </c>
      <c r="D76" s="19" t="n">
        <v>0</v>
      </c>
      <c r="E76" s="18" t="s">
        <v>349</v>
      </c>
      <c r="F76" s="20" t="s">
        <v>349</v>
      </c>
      <c r="G76" s="18" t="s">
        <v>349</v>
      </c>
      <c r="H76" s="20" t="s">
        <v>349</v>
      </c>
      <c r="I76" s="18" t="s">
        <v>349</v>
      </c>
      <c r="J76" s="20" t="s">
        <v>349</v>
      </c>
      <c r="K76" s="18" t="s">
        <v>349</v>
      </c>
      <c r="L76" s="20" t="s">
        <v>349</v>
      </c>
      <c r="M76" s="18" t="s">
        <v>349</v>
      </c>
      <c r="N76" s="20" t="s">
        <v>349</v>
      </c>
      <c r="O76" s="18" t="s">
        <v>349</v>
      </c>
      <c r="P76" s="20" t="s">
        <v>349</v>
      </c>
      <c r="Q76" s="18" t="s">
        <v>349</v>
      </c>
      <c r="R76" s="20" t="s">
        <v>349</v>
      </c>
    </row>
    <row r="77" spans="1:18">
      <c r="A77" s="15" t="s">
        <v>419</v>
      </c>
      <c r="B77" s="17" t="n">
        <v>6062</v>
      </c>
      <c r="C77" s="18">
        <f>(6062.0/B77*100)</f>
        <v/>
      </c>
      <c r="D77" s="19" t="n">
        <v>0</v>
      </c>
      <c r="E77" s="18" t="s">
        <v>349</v>
      </c>
      <c r="F77" s="20" t="s">
        <v>349</v>
      </c>
      <c r="G77" s="18" t="s">
        <v>349</v>
      </c>
      <c r="H77" s="20" t="s">
        <v>349</v>
      </c>
      <c r="I77" s="18" t="s">
        <v>349</v>
      </c>
      <c r="J77" s="20" t="s">
        <v>349</v>
      </c>
      <c r="K77" s="18" t="s">
        <v>349</v>
      </c>
      <c r="L77" s="20" t="s">
        <v>349</v>
      </c>
      <c r="M77" s="18" t="s">
        <v>349</v>
      </c>
      <c r="N77" s="20" t="s">
        <v>349</v>
      </c>
      <c r="O77" s="18" t="s">
        <v>349</v>
      </c>
      <c r="P77" s="20" t="s">
        <v>349</v>
      </c>
      <c r="Q77" s="18" t="s">
        <v>349</v>
      </c>
      <c r="R77" s="20" t="s">
        <v>349</v>
      </c>
    </row>
    <row r="78" spans="1:18">
      <c r="A78" s="15" t="s">
        <v>420</v>
      </c>
      <c r="B78" s="17" t="n">
        <v>5826</v>
      </c>
      <c r="C78" s="18">
        <f>(4867.0/B78*100)</f>
        <v/>
      </c>
      <c r="D78" s="19" t="n">
        <v>959</v>
      </c>
      <c r="E78" s="18" t="n">
        <v>0</v>
      </c>
      <c r="F78" s="20" t="n">
        <v>0</v>
      </c>
      <c r="G78" s="18" t="n">
        <v>0</v>
      </c>
      <c r="H78" s="20" t="n">
        <v>0</v>
      </c>
      <c r="I78" s="18" t="s">
        <v>349</v>
      </c>
      <c r="J78" s="20" t="s">
        <v>349</v>
      </c>
      <c r="K78" s="18" t="n">
        <v>0</v>
      </c>
      <c r="L78" s="20" t="n">
        <v>0</v>
      </c>
      <c r="M78" s="18" t="n">
        <v>100</v>
      </c>
      <c r="N78" s="20" t="n">
        <v>0</v>
      </c>
      <c r="O78" s="18" t="n">
        <v>0</v>
      </c>
      <c r="P78" s="20" t="n">
        <v>0</v>
      </c>
      <c r="Q78" s="18" t="n">
        <v>0</v>
      </c>
      <c r="R78" s="20" t="n">
        <v>0</v>
      </c>
    </row>
    <row customHeight="1" ht="25" r="79" spans="1:18">
      <c r="A79" s="15" t="s">
        <v>421</v>
      </c>
      <c r="B79" s="17" t="n">
        <v>1657</v>
      </c>
      <c r="C79" s="18">
        <f>(1367.0/B79*100)</f>
        <v/>
      </c>
      <c r="D79" s="19" t="n">
        <v>290</v>
      </c>
      <c r="E79" s="18" t="n">
        <v>77.24704948</v>
      </c>
      <c r="F79" s="20" t="n">
        <v>2.21104438</v>
      </c>
      <c r="G79" s="18" t="n">
        <v>10.44455497</v>
      </c>
      <c r="H79" s="20" t="n">
        <v>1.73078704</v>
      </c>
      <c r="I79" s="18" t="s">
        <v>349</v>
      </c>
      <c r="J79" s="20" t="s">
        <v>349</v>
      </c>
      <c r="K79" s="18" t="n">
        <v>12.30839555</v>
      </c>
      <c r="L79" s="20" t="n">
        <v>1.9749305</v>
      </c>
      <c r="M79" s="18" t="n">
        <v>0</v>
      </c>
      <c r="N79" s="20" t="n">
        <v>0</v>
      </c>
      <c r="O79" s="18" t="n">
        <v>0</v>
      </c>
      <c r="P79" s="20" t="n">
        <v>0</v>
      </c>
      <c r="Q79" s="18" t="n">
        <v>0</v>
      </c>
      <c r="R79" s="20" t="n">
        <v>0</v>
      </c>
    </row>
    <row r="80" spans="1:18">
      <c r="A80" s="15" t="s">
        <v>422</v>
      </c>
      <c r="B80" s="17" t="n">
        <v>7841</v>
      </c>
      <c r="C80" s="18">
        <f>(6541.0/B80*100)</f>
        <v/>
      </c>
      <c r="D80" s="19" t="n">
        <v>1300</v>
      </c>
      <c r="E80" s="18" t="n">
        <v>85.70484570000001</v>
      </c>
      <c r="F80" s="20" t="n">
        <v>1.86179245</v>
      </c>
      <c r="G80" s="18" t="n">
        <v>14.28876003</v>
      </c>
      <c r="H80" s="20" t="n">
        <v>1.86127903</v>
      </c>
      <c r="I80" s="18" t="s">
        <v>349</v>
      </c>
      <c r="J80" s="20" t="s">
        <v>349</v>
      </c>
      <c r="K80" s="18" t="n">
        <v>0.00639427</v>
      </c>
      <c r="L80" s="20" t="n">
        <v>0.0045936</v>
      </c>
      <c r="M80" s="18" t="n">
        <v>0</v>
      </c>
      <c r="N80" s="20" t="n">
        <v>0</v>
      </c>
      <c r="O80" s="18" t="n">
        <v>0</v>
      </c>
      <c r="P80" s="20" t="n">
        <v>0</v>
      </c>
      <c r="Q80" s="18" t="n">
        <v>0</v>
      </c>
      <c r="R80" s="20" t="n">
        <v>0</v>
      </c>
    </row>
    <row r="81" spans="1:18">
      <c r="A81" s="21" t="s">
        <v>423</v>
      </c>
      <c r="B81" s="17" t="n">
        <v>8861</v>
      </c>
      <c r="C81" s="18">
        <f>(8861.0/B81*100)</f>
        <v/>
      </c>
      <c r="D81" s="19" t="n">
        <v>0</v>
      </c>
      <c r="E81" s="18" t="s">
        <v>349</v>
      </c>
      <c r="F81" s="20" t="s">
        <v>349</v>
      </c>
      <c r="G81" s="18" t="s">
        <v>349</v>
      </c>
      <c r="H81" s="20" t="s">
        <v>349</v>
      </c>
      <c r="I81" s="18" t="s">
        <v>349</v>
      </c>
      <c r="J81" s="20" t="s">
        <v>349</v>
      </c>
      <c r="K81" s="18" t="s">
        <v>349</v>
      </c>
      <c r="L81" s="20" t="s">
        <v>349</v>
      </c>
      <c r="M81" s="18" t="s">
        <v>349</v>
      </c>
      <c r="N81" s="20" t="s">
        <v>349</v>
      </c>
      <c r="O81" s="18" t="s">
        <v>349</v>
      </c>
      <c r="P81" s="20" t="s">
        <v>349</v>
      </c>
      <c r="Q81" s="18" t="s">
        <v>349</v>
      </c>
      <c r="R81" s="20" t="s">
        <v>349</v>
      </c>
    </row>
    <row r="82" spans="1:18">
      <c r="A82" s="22" t="n"/>
      <c r="B82" s="22" t="s">
        <v>424</v>
      </c>
      <c r="C82" s="22" t="s">
        <v>424</v>
      </c>
      <c r="D82" s="22" t="s">
        <v>424</v>
      </c>
      <c r="E82" s="22" t="s">
        <v>424</v>
      </c>
      <c r="F82" s="22" t="s">
        <v>424</v>
      </c>
      <c r="G82" s="22" t="s">
        <v>424</v>
      </c>
      <c r="H82" s="22" t="s">
        <v>424</v>
      </c>
      <c r="I82" s="22" t="s">
        <v>424</v>
      </c>
      <c r="J82" s="22" t="s">
        <v>424</v>
      </c>
      <c r="K82" s="22" t="s">
        <v>424</v>
      </c>
      <c r="L82" s="22" t="s">
        <v>424</v>
      </c>
      <c r="M82" s="22" t="s">
        <v>424</v>
      </c>
      <c r="N82" s="22" t="s">
        <v>424</v>
      </c>
      <c r="O82" s="22" t="s">
        <v>424</v>
      </c>
      <c r="P82" s="22" t="s">
        <v>424</v>
      </c>
      <c r="Q82" s="22" t="s">
        <v>424</v>
      </c>
      <c r="R82" s="22" t="s">
        <v>424</v>
      </c>
    </row>
    <row r="83" spans="1:18">
      <c r="A83" s="3" t="s">
        <v>425</v>
      </c>
    </row>
    <row r="84" spans="1:18">
      <c r="A84" s="23" t="s">
        <v>426</v>
      </c>
    </row>
    <row r="85" spans="1:18">
      <c r="A85" s="23" t="s">
        <v>427</v>
      </c>
    </row>
    <row customHeight="1" ht="30" r="86" spans="1:18">
      <c r="A86" s="23" t="s">
        <v>428</v>
      </c>
    </row>
    <row customHeight="1" ht="30" r="87" spans="1:18">
      <c r="A87" s="23" t="s">
        <v>424</v>
      </c>
    </row>
    <row customHeight="1" ht="30" r="88" spans="1:18">
      <c r="A88" s="23" t="s">
        <v>429</v>
      </c>
    </row>
    <row customHeight="1" ht="30" r="89" spans="1:18">
      <c r="A89" s="23" t="s">
        <v>430</v>
      </c>
    </row>
    <row customHeight="1" ht="30" r="90" spans="1:18">
      <c r="A90" s="23" t="s">
        <v>431</v>
      </c>
    </row>
    <row customHeight="1" ht="30" r="91" spans="1:18">
      <c r="A91" s="23" t="s">
        <v>432</v>
      </c>
    </row>
    <row customHeight="1" ht="30" r="92" spans="1:18">
      <c r="A92" s="23" t="s">
        <v>433</v>
      </c>
    </row>
    <row customHeight="1" ht="30" r="93" spans="1:18">
      <c r="A93" s="23" t="s">
        <v>434</v>
      </c>
    </row>
    <row customHeight="1" ht="30" r="94" spans="1:18">
      <c r="A94" s="23" t="s">
        <v>435</v>
      </c>
    </row>
    <row customHeight="1" ht="30" r="95" spans="1:18">
      <c r="A95" s="23" t="s">
        <v>436</v>
      </c>
    </row>
    <row customHeight="1" ht="30" r="96" spans="1:18">
      <c r="A96" s="23" t="s">
        <v>437</v>
      </c>
    </row>
  </sheetData>
  <mergeCells count="22">
    <mergeCell ref="E4:F4"/>
    <mergeCell ref="G4:H4"/>
    <mergeCell ref="I4:J4"/>
    <mergeCell ref="K4:L4"/>
    <mergeCell ref="M4:N4"/>
    <mergeCell ref="O4:P4"/>
    <mergeCell ref="Q4:R4"/>
    <mergeCell ref="A1:R1"/>
    <mergeCell ref="A2:R2"/>
    <mergeCell ref="A84:R84"/>
    <mergeCell ref="A85:R85"/>
    <mergeCell ref="A86:R86"/>
    <mergeCell ref="A87:R87"/>
    <mergeCell ref="A88:R88"/>
    <mergeCell ref="A89:R89"/>
    <mergeCell ref="A90:R90"/>
    <mergeCell ref="A91:R91"/>
    <mergeCell ref="A92:R92"/>
    <mergeCell ref="A93:R93"/>
    <mergeCell ref="A94:R94"/>
    <mergeCell ref="A95:R95"/>
    <mergeCell ref="A96:R96"/>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166</vt:i4>
      </vt:variant>
    </vt:vector>
  </ns0:HeadingPairs>
  <ns0:TitlesOfParts>
    <vt:vector xmlns:vt="http://schemas.openxmlformats.org/officeDocument/2006/docPropsVTypes" baseType="lpstr" size="166">
      <vt:lpstr>Table of Contents</vt:lpstr>
      <vt:lpstr>CM033Q01S</vt:lpstr>
      <vt:lpstr>CM474Q01S</vt:lpstr>
      <vt:lpstr>DM155Q02C</vt:lpstr>
      <vt:lpstr>CM155Q01S</vt:lpstr>
      <vt:lpstr>DM155Q03C</vt:lpstr>
      <vt:lpstr>CM155Q04S</vt:lpstr>
      <vt:lpstr>CM411Q01S</vt:lpstr>
      <vt:lpstr>CM411Q02S</vt:lpstr>
      <vt:lpstr>CM803Q01S</vt:lpstr>
      <vt:lpstr>CM442Q02S</vt:lpstr>
      <vt:lpstr>DM462Q01C</vt:lpstr>
      <vt:lpstr>CM034Q01S</vt:lpstr>
      <vt:lpstr>CM305Q01S</vt:lpstr>
      <vt:lpstr>CM496Q01S</vt:lpstr>
      <vt:lpstr>CM496Q02S</vt:lpstr>
      <vt:lpstr>CM423Q01S</vt:lpstr>
      <vt:lpstr>CM192Q01S</vt:lpstr>
      <vt:lpstr>DM406Q01C</vt:lpstr>
      <vt:lpstr>DM406Q02C</vt:lpstr>
      <vt:lpstr>CM603Q01S</vt:lpstr>
      <vt:lpstr>CM571Q01S</vt:lpstr>
      <vt:lpstr>CM564Q01S</vt:lpstr>
      <vt:lpstr>CM564Q02S</vt:lpstr>
      <vt:lpstr>CM447Q01S</vt:lpstr>
      <vt:lpstr>CM273Q01S</vt:lpstr>
      <vt:lpstr>CM408Q01S</vt:lpstr>
      <vt:lpstr>CM420Q01S</vt:lpstr>
      <vt:lpstr>CM446Q01S</vt:lpstr>
      <vt:lpstr>DM446Q02C</vt:lpstr>
      <vt:lpstr>CM559Q01S</vt:lpstr>
      <vt:lpstr>DM828Q02C</vt:lpstr>
      <vt:lpstr>CM828Q03S</vt:lpstr>
      <vt:lpstr>CM464Q01S</vt:lpstr>
      <vt:lpstr>CM800Q01S</vt:lpstr>
      <vt:lpstr>CM982Q01S</vt:lpstr>
      <vt:lpstr>CM982Q02S</vt:lpstr>
      <vt:lpstr>CM982Q03S</vt:lpstr>
      <vt:lpstr>CM982Q04S</vt:lpstr>
      <vt:lpstr>CM992Q01S</vt:lpstr>
      <vt:lpstr>CM992Q02S</vt:lpstr>
      <vt:lpstr>DM992Q03C</vt:lpstr>
      <vt:lpstr>CM915Q01S</vt:lpstr>
      <vt:lpstr>CM915Q02S</vt:lpstr>
      <vt:lpstr>CM906Q01S</vt:lpstr>
      <vt:lpstr>DM906Q02C</vt:lpstr>
      <vt:lpstr>DM00KQ02C</vt:lpstr>
      <vt:lpstr>CM909Q01S</vt:lpstr>
      <vt:lpstr>CM909Q02S</vt:lpstr>
      <vt:lpstr>CM909Q03S</vt:lpstr>
      <vt:lpstr>CM949Q01S</vt:lpstr>
      <vt:lpstr>CM949Q02S</vt:lpstr>
      <vt:lpstr>DM949Q03C</vt:lpstr>
      <vt:lpstr>CM00GQ01S</vt:lpstr>
      <vt:lpstr>DM955Q01C</vt:lpstr>
      <vt:lpstr>DM955Q02C</vt:lpstr>
      <vt:lpstr>CM955Q03S</vt:lpstr>
      <vt:lpstr>DM998Q02C</vt:lpstr>
      <vt:lpstr>CM998Q04S</vt:lpstr>
      <vt:lpstr>CM905Q01S</vt:lpstr>
      <vt:lpstr>DM905Q02C</vt:lpstr>
      <vt:lpstr>CM919Q01S</vt:lpstr>
      <vt:lpstr>CM919Q02S</vt:lpstr>
      <vt:lpstr>CM954Q01S</vt:lpstr>
      <vt:lpstr>DM954Q02C</vt:lpstr>
      <vt:lpstr>CM954Q04S</vt:lpstr>
      <vt:lpstr>CM943Q01S</vt:lpstr>
      <vt:lpstr>CM943Q02S</vt:lpstr>
      <vt:lpstr>DM953Q02C</vt:lpstr>
      <vt:lpstr>CM953Q03S</vt:lpstr>
      <vt:lpstr>DM953Q04C</vt:lpstr>
      <vt:lpstr>CM948Q01S</vt:lpstr>
      <vt:lpstr>CM948Q02S</vt:lpstr>
      <vt:lpstr>CM948Q03S</vt:lpstr>
      <vt:lpstr>CM936Q01S</vt:lpstr>
      <vt:lpstr>DM936Q02C</vt:lpstr>
      <vt:lpstr>DM961Q02C</vt:lpstr>
      <vt:lpstr>CM961Q03S</vt:lpstr>
      <vt:lpstr>DM961Q05C</vt:lpstr>
      <vt:lpstr>CM939Q01S</vt:lpstr>
      <vt:lpstr>CM939Q02S</vt:lpstr>
      <vt:lpstr>CM967Q01S</vt:lpstr>
      <vt:lpstr>CM967Q03S</vt:lpstr>
      <vt:lpstr>PM033Q01S</vt:lpstr>
      <vt:lpstr>PM474Q01</vt:lpstr>
      <vt:lpstr>PM155Q02</vt:lpstr>
      <vt:lpstr>PM155Q01</vt:lpstr>
      <vt:lpstr>PM155Q03</vt:lpstr>
      <vt:lpstr>PM155Q04S</vt:lpstr>
      <vt:lpstr>PM411Q01</vt:lpstr>
      <vt:lpstr>PM411Q02S</vt:lpstr>
      <vt:lpstr>PM803Q01S</vt:lpstr>
      <vt:lpstr>PM442Q02</vt:lpstr>
      <vt:lpstr>PM462Q01</vt:lpstr>
      <vt:lpstr>PM034Q01S</vt:lpstr>
      <vt:lpstr>PM305Q01S</vt:lpstr>
      <vt:lpstr>PM496Q01S</vt:lpstr>
      <vt:lpstr>PM496Q02</vt:lpstr>
      <vt:lpstr>PM423Q01S</vt:lpstr>
      <vt:lpstr>PM192Q01S</vt:lpstr>
      <vt:lpstr>PM406Q01</vt:lpstr>
      <vt:lpstr>PM406Q02</vt:lpstr>
      <vt:lpstr>PM603Q01S</vt:lpstr>
      <vt:lpstr>PM571Q01S</vt:lpstr>
      <vt:lpstr>PM564Q01S</vt:lpstr>
      <vt:lpstr>PM564Q02S</vt:lpstr>
      <vt:lpstr>PM447Q01S</vt:lpstr>
      <vt:lpstr>PM273Q01S</vt:lpstr>
      <vt:lpstr>PM408Q01S</vt:lpstr>
      <vt:lpstr>PM420Q01S</vt:lpstr>
      <vt:lpstr>PM446Q01</vt:lpstr>
      <vt:lpstr>PM446Q02</vt:lpstr>
      <vt:lpstr>PM559Q01S</vt:lpstr>
      <vt:lpstr>PM828Q01</vt:lpstr>
      <vt:lpstr>PM828Q02</vt:lpstr>
      <vt:lpstr>PM828Q03</vt:lpstr>
      <vt:lpstr>PM464Q01S</vt:lpstr>
      <vt:lpstr>PM800Q01S</vt:lpstr>
      <vt:lpstr>PM982Q01</vt:lpstr>
      <vt:lpstr>PM982Q02</vt:lpstr>
      <vt:lpstr>PM982Q03S</vt:lpstr>
      <vt:lpstr>PM982Q04S</vt:lpstr>
      <vt:lpstr>PM992Q01</vt:lpstr>
      <vt:lpstr>PM992Q02</vt:lpstr>
      <vt:lpstr>PM992Q03</vt:lpstr>
      <vt:lpstr>PM915Q01S</vt:lpstr>
      <vt:lpstr>PM915Q02</vt:lpstr>
      <vt:lpstr>PM906Q01S</vt:lpstr>
      <vt:lpstr>PM906Q02</vt:lpstr>
      <vt:lpstr>PM00KQ02</vt:lpstr>
      <vt:lpstr>PM909Q01</vt:lpstr>
      <vt:lpstr>PM909Q02S</vt:lpstr>
      <vt:lpstr>PM909Q03</vt:lpstr>
      <vt:lpstr>PM949Q01S</vt:lpstr>
      <vt:lpstr>PM949Q02S</vt:lpstr>
      <vt:lpstr>PM949Q03</vt:lpstr>
      <vt:lpstr>PM00GQ01</vt:lpstr>
      <vt:lpstr>PM955Q01</vt:lpstr>
      <vt:lpstr>PM955Q02</vt:lpstr>
      <vt:lpstr>PM955Q03</vt:lpstr>
      <vt:lpstr>PM998Q02</vt:lpstr>
      <vt:lpstr>PM998Q04S</vt:lpstr>
      <vt:lpstr>PM905Q01S</vt:lpstr>
      <vt:lpstr>PM905Q02</vt:lpstr>
      <vt:lpstr>PM919Q01</vt:lpstr>
      <vt:lpstr>PM919Q02</vt:lpstr>
      <vt:lpstr>PM954Q01</vt:lpstr>
      <vt:lpstr>PM954Q02</vt:lpstr>
      <vt:lpstr>PM954Q04</vt:lpstr>
      <vt:lpstr>PM943Q01S</vt:lpstr>
      <vt:lpstr>PM943Q02</vt:lpstr>
      <vt:lpstr>PM953Q02</vt:lpstr>
      <vt:lpstr>PM953Q03</vt:lpstr>
      <vt:lpstr>PM953Q04</vt:lpstr>
      <vt:lpstr>PM948Q01S</vt:lpstr>
      <vt:lpstr>PM948Q02</vt:lpstr>
      <vt:lpstr>PM948Q03</vt:lpstr>
      <vt:lpstr>PM936Q01</vt:lpstr>
      <vt:lpstr>PM936Q02</vt:lpstr>
      <vt:lpstr>PM961Q02</vt:lpstr>
      <vt:lpstr>PM961Q03S</vt:lpstr>
      <vt:lpstr>PM961Q05</vt:lpstr>
      <vt:lpstr>PM939Q01S</vt:lpstr>
      <vt:lpstr>PM939Q02S</vt:lpstr>
      <vt:lpstr>PM967Q01</vt:lpstr>
      <vt:lpstr>PM967Q03S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2016-12-02T09:15:14Z</dcterms:created>
  <dcterms:modified xmlns:dcterms="http://purl.org/dc/terms/" xmlns:xsi="http://www.w3.org/2001/XMLSchema-instance" xsi:type="dcterms:W3CDTF">2016-12-02T09:15:14Z</dcterms:modified>
  <cp:lastModifiedBy/>
  <cp:category/>
  <cp:contentStatus/>
  <cp:version/>
  <cp:revision/>
  <cp:keywords/>
</cp:coreProperties>
</file>