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10" yWindow="480" windowWidth="28440" windowHeight="13470" tabRatio="731" activeTab="9"/>
  </bookViews>
  <sheets>
    <sheet name="Table of Contents" sheetId="1" r:id="rId1"/>
    <sheet name="FQ001Q01TA" sheetId="2" r:id="rId2"/>
    <sheet name="FQ001Q02TA" sheetId="3" r:id="rId3"/>
    <sheet name="FQ001Q03TA" sheetId="4" r:id="rId4"/>
    <sheet name="FQ002Q01TA" sheetId="5" r:id="rId5"/>
    <sheet name="FQ002Q02TA" sheetId="6" r:id="rId6"/>
    <sheet name="FQ003Q01TA" sheetId="7" r:id="rId7"/>
    <sheet name="FQ004Q01TA" sheetId="8" r:id="rId8"/>
    <sheet name="FQ004Q02TA" sheetId="9" r:id="rId9"/>
    <sheet name="FQ004Q03TA" sheetId="10" r:id="rId10"/>
    <sheet name="FQ004Q04TA" sheetId="11" r:id="rId11"/>
    <sheet name="FQ004Q05TA" sheetId="12" r:id="rId12"/>
    <sheet name="FQ004Q06TA" sheetId="13" r:id="rId13"/>
    <sheet name="FQ004Q07TA" sheetId="14" r:id="rId14"/>
    <sheet name="FQ005Q01TA" sheetId="15" r:id="rId15"/>
    <sheet name="FQ006Q01TA" sheetId="16" r:id="rId16"/>
    <sheet name="FQ006Q02TA" sheetId="17" r:id="rId17"/>
  </sheets>
  <calcPr calcId="145621"/>
</workbook>
</file>

<file path=xl/calcChain.xml><?xml version="1.0" encoding="utf-8"?>
<calcChain xmlns="http://schemas.openxmlformats.org/spreadsheetml/2006/main">
  <c r="C70" i="17" l="1"/>
  <c r="C67" i="17"/>
  <c r="C61" i="17"/>
  <c r="C48" i="17"/>
  <c r="C46" i="17"/>
  <c r="T42" i="17"/>
  <c r="S42" i="17"/>
  <c r="R42" i="17"/>
  <c r="Q42" i="17"/>
  <c r="P42" i="17"/>
  <c r="O42" i="17"/>
  <c r="N42" i="17"/>
  <c r="M42" i="17"/>
  <c r="L42" i="17"/>
  <c r="K42" i="17"/>
  <c r="J42" i="17"/>
  <c r="I42" i="17"/>
  <c r="H42" i="17"/>
  <c r="G42" i="17"/>
  <c r="F42" i="17"/>
  <c r="E42" i="17"/>
  <c r="D42" i="17"/>
  <c r="B42" i="17"/>
  <c r="C41" i="17"/>
  <c r="C36" i="17"/>
  <c r="C34" i="17"/>
  <c r="C32" i="17"/>
  <c r="C29" i="17"/>
  <c r="C23" i="17"/>
  <c r="C11" i="17"/>
  <c r="C10" i="17"/>
  <c r="C9" i="17"/>
  <c r="C7" i="17"/>
  <c r="C42" i="17" s="1"/>
  <c r="C70" i="16"/>
  <c r="C67" i="16"/>
  <c r="C61" i="16"/>
  <c r="C48" i="16"/>
  <c r="C46" i="16"/>
  <c r="T42" i="16"/>
  <c r="S42" i="16"/>
  <c r="R42" i="16"/>
  <c r="Q42" i="16"/>
  <c r="P42" i="16"/>
  <c r="O42" i="16"/>
  <c r="N42" i="16"/>
  <c r="M42" i="16"/>
  <c r="L42" i="16"/>
  <c r="K42" i="16"/>
  <c r="J42" i="16"/>
  <c r="I42" i="16"/>
  <c r="H42" i="16"/>
  <c r="G42" i="16"/>
  <c r="F42" i="16"/>
  <c r="E42" i="16"/>
  <c r="D42" i="16"/>
  <c r="B42" i="16"/>
  <c r="C41" i="16"/>
  <c r="C36" i="16"/>
  <c r="C34" i="16"/>
  <c r="C32" i="16"/>
  <c r="C29" i="16"/>
  <c r="C23" i="16"/>
  <c r="C11" i="16"/>
  <c r="C10" i="16"/>
  <c r="C9" i="16"/>
  <c r="C7" i="16"/>
  <c r="C42" i="16" s="1"/>
  <c r="C70" i="15"/>
  <c r="C67" i="15"/>
  <c r="C61" i="15"/>
  <c r="C48" i="15"/>
  <c r="C46" i="15"/>
  <c r="Z42" i="15"/>
  <c r="Y42" i="15"/>
  <c r="X42" i="15"/>
  <c r="W42" i="15"/>
  <c r="V42" i="15"/>
  <c r="U42" i="15"/>
  <c r="T42" i="15"/>
  <c r="S42" i="15"/>
  <c r="R42" i="15"/>
  <c r="Q42" i="15"/>
  <c r="P42" i="15"/>
  <c r="O42" i="15"/>
  <c r="N42" i="15"/>
  <c r="M42" i="15"/>
  <c r="L42" i="15"/>
  <c r="K42" i="15"/>
  <c r="J42" i="15"/>
  <c r="I42" i="15"/>
  <c r="H42" i="15"/>
  <c r="G42" i="15"/>
  <c r="F42" i="15"/>
  <c r="E42" i="15"/>
  <c r="D42" i="15"/>
  <c r="B42" i="15"/>
  <c r="C41" i="15"/>
  <c r="C36" i="15"/>
  <c r="C34" i="15"/>
  <c r="C32" i="15"/>
  <c r="C29" i="15"/>
  <c r="C23" i="15"/>
  <c r="C11" i="15"/>
  <c r="C10" i="15"/>
  <c r="C9" i="15"/>
  <c r="C7" i="15"/>
  <c r="C42" i="15" s="1"/>
  <c r="C70" i="14"/>
  <c r="C67" i="14"/>
  <c r="C61" i="14"/>
  <c r="C48" i="14"/>
  <c r="C46" i="14"/>
  <c r="R42" i="14"/>
  <c r="Q42" i="14"/>
  <c r="P42" i="14"/>
  <c r="O42" i="14"/>
  <c r="N42" i="14"/>
  <c r="M42" i="14"/>
  <c r="L42" i="14"/>
  <c r="K42" i="14"/>
  <c r="J42" i="14"/>
  <c r="I42" i="14"/>
  <c r="H42" i="14"/>
  <c r="G42" i="14"/>
  <c r="F42" i="14"/>
  <c r="E42" i="14"/>
  <c r="D42" i="14"/>
  <c r="B42" i="14"/>
  <c r="C41" i="14"/>
  <c r="C36" i="14"/>
  <c r="C34" i="14"/>
  <c r="C32" i="14"/>
  <c r="C29" i="14"/>
  <c r="C23" i="14"/>
  <c r="C11" i="14"/>
  <c r="C10" i="14"/>
  <c r="C9" i="14"/>
  <c r="C7" i="14"/>
  <c r="C42" i="14" s="1"/>
  <c r="C70" i="13"/>
  <c r="C67" i="13"/>
  <c r="C61" i="13"/>
  <c r="C48" i="13"/>
  <c r="C46" i="13"/>
  <c r="R42" i="13"/>
  <c r="Q42" i="13"/>
  <c r="P42" i="13"/>
  <c r="O42" i="13"/>
  <c r="N42" i="13"/>
  <c r="M42" i="13"/>
  <c r="L42" i="13"/>
  <c r="K42" i="13"/>
  <c r="J42" i="13"/>
  <c r="I42" i="13"/>
  <c r="H42" i="13"/>
  <c r="G42" i="13"/>
  <c r="F42" i="13"/>
  <c r="E42" i="13"/>
  <c r="D42" i="13"/>
  <c r="B42" i="13"/>
  <c r="C41" i="13"/>
  <c r="C36" i="13"/>
  <c r="C34" i="13"/>
  <c r="C32" i="13"/>
  <c r="C29" i="13"/>
  <c r="C23" i="13"/>
  <c r="C11" i="13"/>
  <c r="C10" i="13"/>
  <c r="C9" i="13"/>
  <c r="C7" i="13"/>
  <c r="C42" i="13" s="1"/>
  <c r="C70" i="12"/>
  <c r="C67" i="12"/>
  <c r="C61" i="12"/>
  <c r="C48" i="12"/>
  <c r="C46" i="12"/>
  <c r="R42" i="12"/>
  <c r="Q42" i="12"/>
  <c r="P42" i="12"/>
  <c r="O42" i="12"/>
  <c r="N42" i="12"/>
  <c r="M42" i="12"/>
  <c r="L42" i="12"/>
  <c r="K42" i="12"/>
  <c r="J42" i="12"/>
  <c r="I42" i="12"/>
  <c r="H42" i="12"/>
  <c r="G42" i="12"/>
  <c r="F42" i="12"/>
  <c r="E42" i="12"/>
  <c r="D42" i="12"/>
  <c r="B42" i="12"/>
  <c r="C41" i="12"/>
  <c r="C36" i="12"/>
  <c r="C34" i="12"/>
  <c r="C32" i="12"/>
  <c r="C29" i="12"/>
  <c r="C23" i="12"/>
  <c r="C11" i="12"/>
  <c r="C10" i="12"/>
  <c r="C9" i="12"/>
  <c r="C7" i="12"/>
  <c r="C42" i="12" s="1"/>
  <c r="C70" i="11"/>
  <c r="C67" i="11"/>
  <c r="C61" i="11"/>
  <c r="C48" i="11"/>
  <c r="C46" i="11"/>
  <c r="R42" i="11"/>
  <c r="Q42" i="11"/>
  <c r="P42" i="11"/>
  <c r="O42" i="11"/>
  <c r="N42" i="11"/>
  <c r="M42" i="11"/>
  <c r="L42" i="11"/>
  <c r="K42" i="11"/>
  <c r="J42" i="11"/>
  <c r="I42" i="11"/>
  <c r="H42" i="11"/>
  <c r="G42" i="11"/>
  <c r="F42" i="11"/>
  <c r="E42" i="11"/>
  <c r="D42" i="11"/>
  <c r="B42" i="11"/>
  <c r="C41" i="11"/>
  <c r="C36" i="11"/>
  <c r="C34" i="11"/>
  <c r="C32" i="11"/>
  <c r="C29" i="11"/>
  <c r="C23" i="11"/>
  <c r="C11" i="11"/>
  <c r="C10" i="11"/>
  <c r="C9" i="11"/>
  <c r="C7" i="11"/>
  <c r="C42" i="11" s="1"/>
  <c r="C70" i="10"/>
  <c r="C67" i="10"/>
  <c r="C61" i="10"/>
  <c r="C48" i="10"/>
  <c r="C46" i="10"/>
  <c r="R42" i="10"/>
  <c r="Q42" i="10"/>
  <c r="P42" i="10"/>
  <c r="O42" i="10"/>
  <c r="N42" i="10"/>
  <c r="M42" i="10"/>
  <c r="L42" i="10"/>
  <c r="K42" i="10"/>
  <c r="J42" i="10"/>
  <c r="I42" i="10"/>
  <c r="H42" i="10"/>
  <c r="G42" i="10"/>
  <c r="F42" i="10"/>
  <c r="E42" i="10"/>
  <c r="D42" i="10"/>
  <c r="B42" i="10"/>
  <c r="C41" i="10"/>
  <c r="C36" i="10"/>
  <c r="C34" i="10"/>
  <c r="C32" i="10"/>
  <c r="C29" i="10"/>
  <c r="C23" i="10"/>
  <c r="C11" i="10"/>
  <c r="C10" i="10"/>
  <c r="C9" i="10"/>
  <c r="C7" i="10"/>
  <c r="C42" i="10" s="1"/>
  <c r="C70" i="9"/>
  <c r="C67" i="9"/>
  <c r="C61" i="9"/>
  <c r="C48" i="9"/>
  <c r="C46" i="9"/>
  <c r="R42" i="9"/>
  <c r="Q42" i="9"/>
  <c r="P42" i="9"/>
  <c r="O42" i="9"/>
  <c r="N42" i="9"/>
  <c r="M42" i="9"/>
  <c r="L42" i="9"/>
  <c r="K42" i="9"/>
  <c r="J42" i="9"/>
  <c r="I42" i="9"/>
  <c r="H42" i="9"/>
  <c r="G42" i="9"/>
  <c r="F42" i="9"/>
  <c r="E42" i="9"/>
  <c r="D42" i="9"/>
  <c r="B42" i="9"/>
  <c r="C41" i="9"/>
  <c r="C36" i="9"/>
  <c r="C34" i="9"/>
  <c r="C32" i="9"/>
  <c r="C29" i="9"/>
  <c r="C23" i="9"/>
  <c r="C11" i="9"/>
  <c r="C10" i="9"/>
  <c r="C9" i="9"/>
  <c r="C7" i="9"/>
  <c r="C42" i="9" s="1"/>
  <c r="C70" i="8"/>
  <c r="C67" i="8"/>
  <c r="C61" i="8"/>
  <c r="C48" i="8"/>
  <c r="C46" i="8"/>
  <c r="R42" i="8"/>
  <c r="Q42" i="8"/>
  <c r="P42" i="8"/>
  <c r="O42" i="8"/>
  <c r="N42" i="8"/>
  <c r="M42" i="8"/>
  <c r="L42" i="8"/>
  <c r="K42" i="8"/>
  <c r="J42" i="8"/>
  <c r="I42" i="8"/>
  <c r="H42" i="8"/>
  <c r="G42" i="8"/>
  <c r="F42" i="8"/>
  <c r="E42" i="8"/>
  <c r="D42" i="8"/>
  <c r="B42" i="8"/>
  <c r="C41" i="8"/>
  <c r="C36" i="8"/>
  <c r="C34" i="8"/>
  <c r="C32" i="8"/>
  <c r="C29" i="8"/>
  <c r="C23" i="8"/>
  <c r="C11" i="8"/>
  <c r="C10" i="8"/>
  <c r="C9" i="8"/>
  <c r="C7" i="8"/>
  <c r="C42" i="8" s="1"/>
  <c r="C70" i="7"/>
  <c r="C67" i="7"/>
  <c r="C61" i="7"/>
  <c r="C48" i="7"/>
  <c r="C46" i="7"/>
  <c r="X42" i="7"/>
  <c r="W42" i="7"/>
  <c r="V42" i="7"/>
  <c r="U42" i="7"/>
  <c r="T42" i="7"/>
  <c r="S42" i="7"/>
  <c r="R42" i="7"/>
  <c r="Q42" i="7"/>
  <c r="P42" i="7"/>
  <c r="O42" i="7"/>
  <c r="N42" i="7"/>
  <c r="M42" i="7"/>
  <c r="L42" i="7"/>
  <c r="K42" i="7"/>
  <c r="J42" i="7"/>
  <c r="I42" i="7"/>
  <c r="H42" i="7"/>
  <c r="G42" i="7"/>
  <c r="F42" i="7"/>
  <c r="E42" i="7"/>
  <c r="D42" i="7"/>
  <c r="B42" i="7"/>
  <c r="C41" i="7"/>
  <c r="C36" i="7"/>
  <c r="C34" i="7"/>
  <c r="C32" i="7"/>
  <c r="C29" i="7"/>
  <c r="C23" i="7"/>
  <c r="C11" i="7"/>
  <c r="C10" i="7"/>
  <c r="C9" i="7"/>
  <c r="C7" i="7"/>
  <c r="C42" i="7" s="1"/>
  <c r="C70" i="6"/>
  <c r="C67" i="6"/>
  <c r="C61" i="6"/>
  <c r="C48" i="6"/>
  <c r="C46" i="6"/>
  <c r="V42" i="6"/>
  <c r="U42" i="6"/>
  <c r="T42" i="6"/>
  <c r="S42" i="6"/>
  <c r="R42" i="6"/>
  <c r="Q42" i="6"/>
  <c r="P42" i="6"/>
  <c r="O42" i="6"/>
  <c r="N42" i="6"/>
  <c r="M42" i="6"/>
  <c r="L42" i="6"/>
  <c r="K42" i="6"/>
  <c r="J42" i="6"/>
  <c r="I42" i="6"/>
  <c r="H42" i="6"/>
  <c r="G42" i="6"/>
  <c r="F42" i="6"/>
  <c r="E42" i="6"/>
  <c r="D42" i="6"/>
  <c r="B42" i="6"/>
  <c r="C41" i="6"/>
  <c r="C36" i="6"/>
  <c r="C34" i="6"/>
  <c r="C32" i="6"/>
  <c r="C29" i="6"/>
  <c r="C23" i="6"/>
  <c r="C11" i="6"/>
  <c r="C10" i="6"/>
  <c r="C9" i="6"/>
  <c r="C7" i="6"/>
  <c r="C42" i="6" s="1"/>
  <c r="C70" i="5"/>
  <c r="C67" i="5"/>
  <c r="C61" i="5"/>
  <c r="C48" i="5"/>
  <c r="C46" i="5"/>
  <c r="V42" i="5"/>
  <c r="U42" i="5"/>
  <c r="T42" i="5"/>
  <c r="S42" i="5"/>
  <c r="R42" i="5"/>
  <c r="Q42" i="5"/>
  <c r="P42" i="5"/>
  <c r="O42" i="5"/>
  <c r="N42" i="5"/>
  <c r="M42" i="5"/>
  <c r="L42" i="5"/>
  <c r="K42" i="5"/>
  <c r="J42" i="5"/>
  <c r="I42" i="5"/>
  <c r="H42" i="5"/>
  <c r="G42" i="5"/>
  <c r="F42" i="5"/>
  <c r="E42" i="5"/>
  <c r="D42" i="5"/>
  <c r="B42" i="5"/>
  <c r="C41" i="5"/>
  <c r="C36" i="5"/>
  <c r="C34" i="5"/>
  <c r="C32" i="5"/>
  <c r="C29" i="5"/>
  <c r="C23" i="5"/>
  <c r="C11" i="5"/>
  <c r="C10" i="5"/>
  <c r="C9" i="5"/>
  <c r="C7" i="5"/>
  <c r="C42" i="5" s="1"/>
  <c r="C70" i="4"/>
  <c r="C67" i="4"/>
  <c r="C61" i="4"/>
  <c r="C48" i="4"/>
  <c r="C46" i="4"/>
  <c r="R42" i="4"/>
  <c r="Q42" i="4"/>
  <c r="P42" i="4"/>
  <c r="O42" i="4"/>
  <c r="N42" i="4"/>
  <c r="M42" i="4"/>
  <c r="L42" i="4"/>
  <c r="K42" i="4"/>
  <c r="J42" i="4"/>
  <c r="I42" i="4"/>
  <c r="H42" i="4"/>
  <c r="G42" i="4"/>
  <c r="F42" i="4"/>
  <c r="E42" i="4"/>
  <c r="D42" i="4"/>
  <c r="B42" i="4"/>
  <c r="C41" i="4"/>
  <c r="C36" i="4"/>
  <c r="C34" i="4"/>
  <c r="C32" i="4"/>
  <c r="C29" i="4"/>
  <c r="C23" i="4"/>
  <c r="C11" i="4"/>
  <c r="C10" i="4"/>
  <c r="C9" i="4"/>
  <c r="C7" i="4"/>
  <c r="C42" i="4" s="1"/>
  <c r="C70" i="3"/>
  <c r="C67" i="3"/>
  <c r="C61" i="3"/>
  <c r="C48" i="3"/>
  <c r="C46" i="3"/>
  <c r="R42" i="3"/>
  <c r="Q42" i="3"/>
  <c r="P42" i="3"/>
  <c r="O42" i="3"/>
  <c r="N42" i="3"/>
  <c r="M42" i="3"/>
  <c r="L42" i="3"/>
  <c r="K42" i="3"/>
  <c r="J42" i="3"/>
  <c r="I42" i="3"/>
  <c r="H42" i="3"/>
  <c r="G42" i="3"/>
  <c r="F42" i="3"/>
  <c r="E42" i="3"/>
  <c r="D42" i="3"/>
  <c r="B42" i="3"/>
  <c r="C41" i="3"/>
  <c r="C36" i="3"/>
  <c r="C34" i="3"/>
  <c r="C32" i="3"/>
  <c r="C29" i="3"/>
  <c r="C23" i="3"/>
  <c r="C11" i="3"/>
  <c r="C10" i="3"/>
  <c r="C9" i="3"/>
  <c r="C7" i="3"/>
  <c r="C42" i="3" s="1"/>
  <c r="C70" i="2"/>
  <c r="C67" i="2"/>
  <c r="C61" i="2"/>
  <c r="C48" i="2"/>
  <c r="C46" i="2"/>
  <c r="R42" i="2"/>
  <c r="Q42" i="2"/>
  <c r="P42" i="2"/>
  <c r="O42" i="2"/>
  <c r="N42" i="2"/>
  <c r="M42" i="2"/>
  <c r="L42" i="2"/>
  <c r="K42" i="2"/>
  <c r="J42" i="2"/>
  <c r="I42" i="2"/>
  <c r="H42" i="2"/>
  <c r="G42" i="2"/>
  <c r="F42" i="2"/>
  <c r="E42" i="2"/>
  <c r="D42" i="2"/>
  <c r="B42" i="2"/>
  <c r="C41" i="2"/>
  <c r="C36" i="2"/>
  <c r="C34" i="2"/>
  <c r="C32" i="2"/>
  <c r="C29" i="2"/>
  <c r="C23" i="2"/>
  <c r="C11" i="2"/>
  <c r="C10" i="2"/>
  <c r="C9" i="2"/>
  <c r="C7" i="2"/>
  <c r="C42" i="2" s="1"/>
</calcChain>
</file>

<file path=xl/sharedStrings.xml><?xml version="1.0" encoding="utf-8"?>
<sst xmlns="http://schemas.openxmlformats.org/spreadsheetml/2006/main" count="20054" uniqueCount="174">
  <si>
    <t>Table of Contents</t>
  </si>
  <si>
    <t>FQ001Q01TA</t>
  </si>
  <si>
    <t>Have you ever learned how to manage your money in a course? At school, in a subject\course about managing your money</t>
  </si>
  <si>
    <t>FQ001Q02TA</t>
  </si>
  <si>
    <t>Have you ever learned how to manage your money in a course? At school as part of another subject or course</t>
  </si>
  <si>
    <t>FQ001Q03TA</t>
  </si>
  <si>
    <t>Have you ever learned how to manage your money in a course? In an activity outside school</t>
  </si>
  <si>
    <t>FQ002Q01TA</t>
  </si>
  <si>
    <t>How often do you discuss money matters with? Parents\guardians or other adult relations</t>
  </si>
  <si>
    <t>FQ002Q02TA</t>
  </si>
  <si>
    <t>How often do you discuss money matters? Friends</t>
  </si>
  <si>
    <t>FQ003Q01TA</t>
  </si>
  <si>
    <t>If you don't have enough money to buy something you really want?</t>
  </si>
  <si>
    <t>FQ004Q01TA</t>
  </si>
  <si>
    <t>Do you get money from any of these sources? An allowance or pocket money for regularly doing chores at home</t>
  </si>
  <si>
    <t>FQ004Q02TA</t>
  </si>
  <si>
    <t>Do you get money from any of these sources? An allowance or pocket money, without having to do any chores</t>
  </si>
  <si>
    <t>FQ004Q03TA</t>
  </si>
  <si>
    <t>Do you get money from any of these sources? Working outside school hours (e.g. a holiday job, part-time work)</t>
  </si>
  <si>
    <t>FQ004Q04TA</t>
  </si>
  <si>
    <t>Do you get money from any of these sources? Working in a family business</t>
  </si>
  <si>
    <t>FQ004Q05TA</t>
  </si>
  <si>
    <t>Do you get money from any of these sources? Occasional informal jobs (e.g. baby-sitting or gardening)</t>
  </si>
  <si>
    <t>FQ004Q06TA</t>
  </si>
  <si>
    <t>Do you get money from any of these sources? Gifts of money from friends or relatives</t>
  </si>
  <si>
    <t>FQ004Q07TA</t>
  </si>
  <si>
    <t>Do you get money from any of these sources? Selling things (e.g. at local markets or on eBay)</t>
  </si>
  <si>
    <t>FQ005Q01TA</t>
  </si>
  <si>
    <t>Which of these statements about saving money best applies to you?</t>
  </si>
  <si>
    <t>FQ006Q01TA</t>
  </si>
  <si>
    <t>Do you have either of the following? Bank account</t>
  </si>
  <si>
    <t>FQ006Q02TA</t>
  </si>
  <si>
    <t>Do you have either of the following? Pre-paid debit card</t>
  </si>
  <si>
    <t>FLT questionnaire: Overall results</t>
  </si>
  <si>
    <t>FQ001Q01TA: Have you ever learned how to manage your money in a course? At school, in a subject\course about managing your money</t>
  </si>
  <si>
    <t>N</t>
  </si>
  <si>
    <t>System</t>
  </si>
  <si>
    <t>Yes</t>
  </si>
  <si>
    <t>No</t>
  </si>
  <si>
    <t>Valid Skip</t>
  </si>
  <si>
    <t>Not Reached</t>
  </si>
  <si>
    <t>Not Applicable</t>
  </si>
  <si>
    <t>Invalid</t>
  </si>
  <si>
    <t>No Response</t>
  </si>
  <si>
    <t>All</t>
  </si>
  <si>
    <t>Missing %</t>
  </si>
  <si>
    <t>Valid</t>
  </si>
  <si>
    <t>%</t>
  </si>
  <si>
    <t>(SE)</t>
  </si>
  <si>
    <t>OECD</t>
  </si>
  <si>
    <t>Australia</t>
  </si>
  <si>
    <t>—</t>
  </si>
  <si>
    <t>Austria</t>
  </si>
  <si>
    <t>n/a</t>
  </si>
  <si>
    <t>Chile</t>
  </si>
  <si>
    <t>Czech Republic</t>
  </si>
  <si>
    <t>Denmark</t>
  </si>
  <si>
    <t>Estonia</t>
  </si>
  <si>
    <t>Finland</t>
  </si>
  <si>
    <t>France</t>
  </si>
  <si>
    <t>Germany</t>
  </si>
  <si>
    <t>Greece</t>
  </si>
  <si>
    <t>Hungary</t>
  </si>
  <si>
    <t>Iceland</t>
  </si>
  <si>
    <t>Ireland</t>
  </si>
  <si>
    <t>Israel ¹</t>
  </si>
  <si>
    <t>Italy</t>
  </si>
  <si>
    <t>Japan</t>
  </si>
  <si>
    <t>Korea</t>
  </si>
  <si>
    <t>Latvia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</si>
  <si>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</si>
  <si>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</si>
  <si>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</si>
  <si>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</si>
  <si>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</si>
  <si>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</si>
  <si>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</si>
  <si>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</si>
  <si>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</si>
  <si>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</si>
  <si>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</si>
  <si>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</si>
  <si>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</si>
  <si>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</si>
  <si>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</si>
  <si>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OECD average</t>
  </si>
  <si>
    <t>Partners</t>
  </si>
  <si>
    <t>Albania</t>
  </si>
  <si>
    <t>Algeria</t>
  </si>
  <si>
    <t>Brazil</t>
  </si>
  <si>
    <t>Bulgaria</t>
  </si>
  <si>
    <t>B-S-J-G (China) ²</t>
  </si>
  <si>
    <t>CABA (Argentina) ³</t>
  </si>
  <si>
    <t>Colombia</t>
  </si>
  <si>
    <t>Costa Rica</t>
  </si>
  <si>
    <t>Croatia</t>
  </si>
  <si>
    <t>Cyprus ⁴</t>
  </si>
  <si>
    <t>Dominican Republic</t>
  </si>
  <si>
    <t>Georgia</t>
  </si>
  <si>
    <t>Hong Kong (China)</t>
  </si>
  <si>
    <t>Indonesia</t>
  </si>
  <si>
    <t>Jordan</t>
  </si>
  <si>
    <t>Kosovo</t>
  </si>
  <si>
    <t>Lebanon</t>
  </si>
  <si>
    <t>Lithuania</t>
  </si>
  <si>
    <t>Macao (China)</t>
  </si>
  <si>
    <t>FYROM ⁵</t>
  </si>
  <si>
    <t>Malta</t>
  </si>
  <si>
    <t>Moldova</t>
  </si>
  <si>
    <t>Montenegro</t>
  </si>
  <si>
    <t>Peru</t>
  </si>
  <si>
    <t>Qatar</t>
  </si>
  <si>
    <t>Romania</t>
  </si>
  <si>
    <t>Russia ⁶</t>
  </si>
  <si>
    <t>Singapore</t>
  </si>
  <si>
    <t>Chinese Taipei</t>
  </si>
  <si>
    <t>Thailand</t>
  </si>
  <si>
    <t>Trinidad and Tobago</t>
  </si>
  <si>
    <t>Tunisia</t>
  </si>
  <si>
    <t>United Arab Emirates</t>
  </si>
  <si>
    <t>Uruguay</t>
  </si>
  <si>
    <t>Viet Nam</t>
  </si>
  <si>
    <t>Argentina ⁷</t>
  </si>
  <si>
    <t>Kazakhstan ⁷</t>
  </si>
  <si>
    <t>Malaysia ⁷</t>
  </si>
  <si>
    <t xml:space="preserve"> </t>
  </si>
  <si>
    <t>Data Notes:</t>
  </si>
  <si>
    <t>n/a Data not available</t>
  </si>
  <si>
    <t>— No data</t>
  </si>
  <si>
    <t>'System Missing %' for questionnaires refers to the percentage of data missing because a respondent did not see a question although they were given the opportunity to see it. This may have occurred when a respondent exited the assessment early or refused, or when a technical issue was encountered. Variables that derive themselves from other variables that are 'System Missing' may also retain a 'System Missing' value.</t>
  </si>
  <si>
    <t>Country Notes:</t>
  </si>
  <si>
    <t>¹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</si>
  <si>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² B-S-J-G (China) refers to the four PISA participating China provinces: Beijing, Shanghai, Jiangsu, Guangdong.</t>
  </si>
  <si>
    <t>³ CABA (Argentina) refers to Ciudad Autónoma de Buenos Aires (Argentina).</t>
  </si>
  <si>
    <t>⁴ 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t>
  </si>
  <si>
    <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</si>
  <si>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⁵ FYROM refers to the Former Yugoslav Republic of Macedonia.</t>
  </si>
  <si>
    <t>⁶ Russia refers to the Russian Federation.</t>
  </si>
  <si>
    <t>⁷ Argentina, Kazakhstan and Malaysia: Coverage is too small to ensure comparability (see "PISA 2015 Results [Volume I]: Excellence and Equity in Education" [OECD, 2016], Annex A4).</t>
  </si>
  <si>
    <t>FQ001Q02TA: Have you ever learned how to manage your money in a course? At school as part of another subject or course</t>
  </si>
  <si>
    <t>FQ001Q03TA: Have you ever learned how to manage your money in a course? In an activity outside school</t>
  </si>
  <si>
    <t>FQ002Q01TA: How often do you discuss money matters with? Parents\guardians or other adult relations</t>
  </si>
  <si>
    <t>Never or hardly ever</t>
  </si>
  <si>
    <t>Once or twice a month</t>
  </si>
  <si>
    <t>Once or twice a week</t>
  </si>
  <si>
    <t>Almost every day</t>
  </si>
  <si>
    <t>FQ002Q02TA: How often do you discuss money matters? Friends</t>
  </si>
  <si>
    <t>FQ003Q01TA: If you don't have enough money to buy something you really want?</t>
  </si>
  <si>
    <t>Buy it with money that really should be used for something else</t>
  </si>
  <si>
    <t>Try to borrow money from a family member</t>
  </si>
  <si>
    <t>Try to borrow money from a friend</t>
  </si>
  <si>
    <t>Save up to buy it</t>
  </si>
  <si>
    <t>Not buy it</t>
  </si>
  <si>
    <t>FQ004Q01TA: Do you get money from any of these sources? An allowance or pocket money for regularly doing chores at home</t>
  </si>
  <si>
    <t>FQ004Q02TA: Do you get money from any of these sources? An allowance or pocket money, without having to do any chores</t>
  </si>
  <si>
    <t>FQ004Q03TA: Do you get money from any of these sources? Working outside school hours (e.g. a holiday job, part-time work)</t>
  </si>
  <si>
    <t>FQ004Q04TA: Do you get money from any of these sources? Working in a family business</t>
  </si>
  <si>
    <t>FQ004Q05TA: Do you get money from any of these sources? Occasional informal jobs (e.g. baby-sitting or gardening)</t>
  </si>
  <si>
    <t>FQ004Q06TA: Do you get money from any of these sources? Gifts of money from friends or relatives</t>
  </si>
  <si>
    <t>FQ004Q07TA: Do you get money from any of these sources? Selling things (e.g. at local markets or on eBay)</t>
  </si>
  <si>
    <t>FQ005Q01TA: Which of these statements about saving money best applies to you?</t>
  </si>
  <si>
    <t>I save the same amount of money each week or month</t>
  </si>
  <si>
    <t>I save some money each week or month, but the amount varies</t>
  </si>
  <si>
    <t>I save money only when I have some to spare</t>
  </si>
  <si>
    <t>I save money only when I want to buy something</t>
  </si>
  <si>
    <t>I do not save any money</t>
  </si>
  <si>
    <t>I have no money so I do not save</t>
  </si>
  <si>
    <t>FQ006Q01TA: Do you have either of the following? Bank account</t>
  </si>
  <si>
    <t>I don't know what it is</t>
  </si>
  <si>
    <t>FQ006Q02TA: Do you have either of the following? Pre-paid debit card</t>
  </si>
  <si>
    <r>
      <rPr>
        <vertAlign val="superscript"/>
        <sz val="10"/>
        <color rgb="FF000000"/>
        <rFont val="Arial"/>
        <family val="2"/>
      </rPr>
      <t>8</t>
    </r>
    <r>
      <rPr>
        <sz val="10"/>
        <color rgb="FF000000"/>
        <rFont val="Arial"/>
        <family val="2"/>
      </rPr>
      <t xml:space="preserve"> Financial literacy data for Belgium refer to the Flemish community; financial literacy data for Canada refer to the Canadian provinces of British Columbia, Manitoba, New Brunswick, Newfoundland and Labrador, Nova Scotia, Ontario and Prince Edward Island.</t>
    </r>
  </si>
  <si>
    <r>
      <t>8</t>
    </r>
    <r>
      <rPr>
        <sz val="10"/>
        <color rgb="FF000000"/>
        <rFont val="Arial"/>
        <family val="2"/>
      </rPr>
      <t xml:space="preserve"> Financial literacy data for Belgium refer to the Flemish community; financial literacy data for Canada refer to the Canadian provinces of British Columbia, Manitoba, New Brunswick, Newfoundland and Labrador, Nova Scotia, Ontario and Prince Edward Island.</t>
    </r>
  </si>
  <si>
    <r>
      <t>Belgium</t>
    </r>
    <r>
      <rPr>
        <vertAlign val="superscript"/>
        <sz val="10"/>
        <color rgb="FF000000"/>
        <rFont val="Arial"/>
        <family val="2"/>
      </rPr>
      <t>8</t>
    </r>
  </si>
  <si>
    <r>
      <t>Canada</t>
    </r>
    <r>
      <rPr>
        <vertAlign val="superscript"/>
        <sz val="10"/>
        <color rgb="FF000000"/>
        <rFont val="Arial"/>
        <family val="2"/>
      </rPr>
      <t>8</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</si>
</sst>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5" x14ac:knownFonts="1">
    <font>
      <sz val="11"/>
      <color theme="1"/>
      <name val="Calibri"/>
      <family val="2"/>
      <scheme val="minor"/>
    </font>
    <font>
      <b/>
      <sz val="10"/>
      <color rgb="FF000000"/>
      <name val="Arial"/>
      <family val="2"/>
    </font>
    <font>
      <u/>
      <sz val="10"/>
      <color rgb="FF0000FF"/>
      <name val="Arial"/>
      <family val="2"/>
    </font>
    <font>
      <sz val="10"/>
      <color rgb="FF000000"/>
      <name val="Arial"/>
      <family val="2"/>
    </font>
    <font>
      <vertAlign val="superscript"/>
      <sz val="10"/>
      <color rgb="FF000000"/>
      <name val="Arial"/>
      <family val="2"/>
    </font>
  </fonts>
  <fills count="4">
    <fill>
      <patternFill patternType="none"/>
    </fill>
    <fill>
      <patternFill patternType="gray125"/>
    </fill>
    <fill>
      <patternFill patternType="solid">
        <fgColor rgb="FFDAEEF3"/>
        <bgColor rgb="FFDAEEF3"/>
      </patternFill>
    </fill>
    <fill>
      <patternFill patternType="solid">
        <fgColor rgb="FFFFFFFF"/>
        <bgColor rgb="FFFFFFFF"/>
      </patternFill>
    </fill>
  </fills>
  <borders count="7">
    <border>
      <left/>
      <right/>
      <top/>
      <bottom/>
      <diagonal/>
    </border>
    <border>
      <left/>
      <right style="thin">
        <color auto="1"/>
      </right>
      <top style="thin">
        <color auto="1"/>
      </top>
      <bottom/>
      <diagonal/>
    </border>
    <border>
      <left/>
      <right/>
      <top style="thin">
        <color auto="1"/>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3" fillId="0" borderId="0" xfId="0" applyFont="1"/>
    <xf numFmtId="0" fontId="0" fillId="2" borderId="1" xfId="0" applyFill="1" applyBorder="1"/>
    <xf numFmtId="0" fontId="1" fillId="2" borderId="2" xfId="0" applyFont="1" applyFill="1" applyBorder="1" applyAlignment="1">
      <alignment horizontal="right" wrapText="1"/>
    </xf>
    <xf numFmtId="0" fontId="1" fillId="2" borderId="1" xfId="0" applyFont="1" applyFill="1" applyBorder="1" applyAlignment="1">
      <alignment horizontal="right" wrapText="1"/>
    </xf>
    <xf numFmtId="0" fontId="1" fillId="2" borderId="3" xfId="0" applyFont="1" applyFill="1" applyBorder="1" applyAlignment="1">
      <alignment horizontal="right" wrapText="1"/>
    </xf>
    <xf numFmtId="0" fontId="1" fillId="2" borderId="4" xfId="0" applyFont="1" applyFill="1" applyBorder="1" applyAlignment="1">
      <alignment horizontal="right" wrapText="1"/>
    </xf>
    <xf numFmtId="0" fontId="1" fillId="3" borderId="6" xfId="0" applyFont="1" applyFill="1" applyBorder="1"/>
    <xf numFmtId="0" fontId="0" fillId="3" borderId="0" xfId="0" applyFill="1"/>
    <xf numFmtId="0" fontId="3" fillId="3" borderId="6" xfId="0" applyFont="1" applyFill="1" applyBorder="1"/>
    <xf numFmtId="0" fontId="3" fillId="0" borderId="6" xfId="0" applyFont="1" applyBorder="1"/>
    <xf numFmtId="1" fontId="3" fillId="3" borderId="0" xfId="0" applyNumberFormat="1" applyFont="1" applyFill="1" applyAlignment="1">
      <alignment horizontal="right" wrapText="1"/>
    </xf>
    <xf numFmtId="2" fontId="3" fillId="3" borderId="0" xfId="0" applyNumberFormat="1" applyFont="1" applyFill="1" applyAlignment="1">
      <alignment horizontal="right" wrapText="1"/>
    </xf>
    <xf numFmtId="1" fontId="3" fillId="3" borderId="6" xfId="0" applyNumberFormat="1" applyFont="1" applyFill="1" applyBorder="1" applyAlignment="1">
      <alignment horizontal="right" wrapText="1"/>
    </xf>
    <xf numFmtId="164" fontId="3" fillId="3" borderId="6" xfId="0" applyNumberFormat="1" applyFont="1" applyFill="1" applyBorder="1" applyAlignment="1">
      <alignment horizontal="right" wrapText="1"/>
    </xf>
    <xf numFmtId="0" fontId="3" fillId="3" borderId="0" xfId="0" applyFont="1" applyFill="1" applyAlignment="1">
      <alignment horizontal="right" wrapText="1"/>
    </xf>
    <xf numFmtId="0" fontId="3" fillId="3" borderId="6" xfId="0" applyFont="1" applyFill="1" applyBorder="1" applyAlignment="1">
      <alignment horizontal="right" wrapText="1"/>
    </xf>
    <xf numFmtId="0" fontId="3" fillId="3" borderId="3" xfId="0" applyFont="1" applyFill="1" applyBorder="1"/>
    <xf numFmtId="0" fontId="0" fillId="3" borderId="2" xfId="0" applyFill="1" applyBorder="1"/>
    <xf numFmtId="0" fontId="1" fillId="2" borderId="5" xfId="0" applyFont="1" applyFill="1" applyBorder="1" applyAlignment="1">
      <alignment horizontal="center" wrapText="1"/>
    </xf>
    <xf numFmtId="0" fontId="1" fillId="2" borderId="5" xfId="0" applyFont="1" applyFill="1" applyBorder="1"/>
    <xf numFmtId="0" fontId="1" fillId="0" borderId="0" xfId="0" applyFont="1" applyAlignment="1">
      <alignment horizontal="left" vertical="top" wrapText="1"/>
    </xf>
    <xf numFmtId="0" fontId="0" fillId="0" borderId="0" xfId="0"/>
    <xf numFmtId="0" fontId="1" fillId="0" borderId="0" xfId="0" applyFont="1" applyAlignment="1">
      <alignment horizontal="left"/>
    </xf>
    <xf numFmtId="0" fontId="3" fillId="0" borderId="0" xfId="0" applyFont="1" applyAlignment="1">
      <alignment horizontal="left" vertical="top" wrapText="1"/>
    </xf>
    <xf numFmtId="0" fontId="4" fillId="0" borderId="0" xfId="0" applyFont="1"/>
    <xf numFmtId="0" fontId="4"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80" workbookViewId="0">
      <selection activeCell="A100" sqref="A100"/>
    </sheetView>
  </sheetViews>
  <sheetFormatPr defaultColWidth="11.42578125" defaultRowHeight="15" x14ac:dyDescent="0.25"/>
  <cols>
    <col min="2" max="2" width="100" customWidth="1"/>
  </cols>
  <sheetData>
    <row r="1" spans="1:2" x14ac:dyDescent="0.25">
      <c r="B1" s="1" t="s">
        <v>0</v>
      </c>
    </row>
    <row r="2" spans="1:2" x14ac:dyDescent="0.25">
      <c r="A2" s="2" t="s">
        <v>1</v>
      </c>
      <c r="B2" s="3" t="s">
        <v>2</v>
      </c>
    </row>
    <row r="3" spans="1:2" x14ac:dyDescent="0.25">
      <c r="A3" s="2" t="s">
        <v>3</v>
      </c>
      <c r="B3" s="3" t="s">
        <v>4</v>
      </c>
    </row>
    <row r="4" spans="1:2" x14ac:dyDescent="0.25">
      <c r="A4" s="2" t="s">
        <v>5</v>
      </c>
      <c r="B4" s="3" t="s">
        <v>6</v>
      </c>
    </row>
    <row r="5" spans="1:2" x14ac:dyDescent="0.25">
      <c r="A5" s="2" t="s">
        <v>7</v>
      </c>
      <c r="B5" s="3" t="s">
        <v>8</v>
      </c>
    </row>
    <row r="6" spans="1:2" x14ac:dyDescent="0.25">
      <c r="A6" s="2" t="s">
        <v>9</v>
      </c>
      <c r="B6" s="3" t="s">
        <v>10</v>
      </c>
    </row>
    <row r="7" spans="1:2" x14ac:dyDescent="0.25">
      <c r="A7" s="2" t="s">
        <v>11</v>
      </c>
      <c r="B7" s="3" t="s">
        <v>12</v>
      </c>
    </row>
    <row r="8" spans="1:2" x14ac:dyDescent="0.25">
      <c r="A8" s="2" t="s">
        <v>13</v>
      </c>
      <c r="B8" s="3" t="s">
        <v>14</v>
      </c>
    </row>
    <row r="9" spans="1:2" x14ac:dyDescent="0.25">
      <c r="A9" s="2" t="s">
        <v>15</v>
      </c>
      <c r="B9" s="3" t="s">
        <v>16</v>
      </c>
    </row>
    <row r="10" spans="1:2" x14ac:dyDescent="0.25">
      <c r="A10" s="2" t="s">
        <v>17</v>
      </c>
      <c r="B10" s="3" t="s">
        <v>18</v>
      </c>
    </row>
    <row r="11" spans="1:2" x14ac:dyDescent="0.25">
      <c r="A11" s="2" t="s">
        <v>19</v>
      </c>
      <c r="B11" s="3" t="s">
        <v>20</v>
      </c>
    </row>
    <row r="12" spans="1:2" x14ac:dyDescent="0.25">
      <c r="A12" s="2" t="s">
        <v>21</v>
      </c>
      <c r="B12" s="3" t="s">
        <v>22</v>
      </c>
    </row>
    <row r="13" spans="1:2" x14ac:dyDescent="0.25">
      <c r="A13" s="2" t="s">
        <v>23</v>
      </c>
      <c r="B13" s="3" t="s">
        <v>24</v>
      </c>
    </row>
    <row r="14" spans="1:2" x14ac:dyDescent="0.25">
      <c r="A14" s="2" t="s">
        <v>25</v>
      </c>
      <c r="B14" s="3" t="s">
        <v>26</v>
      </c>
    </row>
    <row r="15" spans="1:2" x14ac:dyDescent="0.25">
      <c r="A15" s="2" t="s">
        <v>27</v>
      </c>
      <c r="B15" s="3" t="s">
        <v>28</v>
      </c>
    </row>
    <row r="16" spans="1:2" x14ac:dyDescent="0.25">
      <c r="A16" s="2" t="s">
        <v>29</v>
      </c>
      <c r="B16" s="3" t="s">
        <v>30</v>
      </c>
    </row>
    <row r="17" spans="1:2" x14ac:dyDescent="0.25">
      <c r="A17" s="2" t="s">
        <v>31</v>
      </c>
      <c r="B17" s="3" t="s">
        <v>32</v>
      </c>
    </row>
  </sheetData>
  <hyperlinks>
    <hyperlink ref="A2" location="'FQ001Q01TA'!A6" display="FQ001Q01TA"/>
    <hyperlink ref="A3" location="'FQ001Q02TA'!A6" display="FQ001Q02TA"/>
    <hyperlink ref="A4" location="'FQ001Q03TA'!A6" display="FQ001Q03TA"/>
    <hyperlink ref="A5" location="'FQ002Q01TA'!A6" display="FQ002Q01TA"/>
    <hyperlink ref="A6" location="'FQ002Q02TA'!A6" display="FQ002Q02TA"/>
    <hyperlink ref="A7" location="'FQ003Q01TA'!A6" display="FQ003Q01TA"/>
    <hyperlink ref="A8" location="'FQ004Q01TA'!A6" display="FQ004Q01TA"/>
    <hyperlink ref="A9" location="'FQ004Q02TA'!A6" display="FQ004Q02TA"/>
    <hyperlink ref="A10" location="'FQ004Q03TA'!A6" display="FQ004Q03TA"/>
    <hyperlink ref="A11" location="'FQ004Q04TA'!A6" display="FQ004Q04TA"/>
    <hyperlink ref="A12" location="'FQ004Q05TA'!A6" display="FQ004Q05TA"/>
    <hyperlink ref="A13" location="'FQ004Q06TA'!A6" display="FQ004Q06TA"/>
    <hyperlink ref="A14" location="'FQ004Q07TA'!A6" display="FQ004Q07TA"/>
    <hyperlink ref="A15" location="'FQ005Q01TA'!A6" display="FQ005Q01TA"/>
    <hyperlink ref="A16" location="'FQ006Q01TA'!A6" display="FQ006Q01TA"/>
    <hyperlink ref="A17" location="'FQ006Q02TA'!A6" display="FQ006Q02TA"/>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tabSelected="1" topLeftCell="A73"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18" x14ac:dyDescent="0.25">
      <c r="A1" s="23" t="s">
        <v>33</v>
      </c>
      <c r="B1" s="24"/>
      <c r="C1" s="24"/>
      <c r="D1" s="24"/>
      <c r="E1" s="24"/>
      <c r="F1" s="24"/>
      <c r="G1" s="24"/>
      <c r="H1" s="24"/>
      <c r="I1" s="24"/>
      <c r="J1" s="24"/>
      <c r="K1" s="24"/>
      <c r="L1" s="24"/>
      <c r="M1" s="24"/>
      <c r="N1" s="24"/>
      <c r="O1" s="24"/>
      <c r="P1" s="24"/>
      <c r="Q1" s="24"/>
      <c r="R1" s="24"/>
    </row>
    <row r="2" spans="1:18" x14ac:dyDescent="0.25">
      <c r="A2" s="25" t="s">
        <v>155</v>
      </c>
      <c r="B2" s="24"/>
      <c r="C2" s="24"/>
      <c r="D2" s="24"/>
      <c r="E2" s="24"/>
      <c r="F2" s="24"/>
      <c r="G2" s="24"/>
      <c r="H2" s="24"/>
      <c r="I2" s="24"/>
      <c r="J2" s="24"/>
      <c r="K2" s="24"/>
      <c r="L2" s="24"/>
      <c r="M2" s="24"/>
      <c r="N2" s="24"/>
      <c r="O2" s="24"/>
      <c r="P2" s="24"/>
      <c r="Q2" s="24"/>
      <c r="R2" s="24"/>
    </row>
    <row r="4" spans="1:18" ht="30" customHeight="1" x14ac:dyDescent="0.25">
      <c r="A4" s="4"/>
      <c r="B4" s="5" t="s">
        <v>35</v>
      </c>
      <c r="C4" s="5" t="s">
        <v>36</v>
      </c>
      <c r="D4" s="6" t="s">
        <v>35</v>
      </c>
      <c r="E4" s="21" t="s">
        <v>37</v>
      </c>
      <c r="F4" s="22"/>
      <c r="G4" s="21" t="s">
        <v>38</v>
      </c>
      <c r="H4" s="22"/>
      <c r="I4" s="21" t="s">
        <v>39</v>
      </c>
      <c r="J4" s="22"/>
      <c r="K4" s="21" t="s">
        <v>40</v>
      </c>
      <c r="L4" s="22"/>
      <c r="M4" s="21" t="s">
        <v>41</v>
      </c>
      <c r="N4" s="22"/>
      <c r="O4" s="21" t="s">
        <v>42</v>
      </c>
      <c r="P4" s="22"/>
      <c r="Q4" s="21" t="s">
        <v>43</v>
      </c>
      <c r="R4" s="22"/>
    </row>
    <row r="5" spans="1:18"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row>
    <row r="6" spans="1:18" x14ac:dyDescent="0.25">
      <c r="A6" s="9" t="s">
        <v>49</v>
      </c>
      <c r="B6" s="10"/>
      <c r="C6" s="10"/>
      <c r="D6" s="11"/>
      <c r="E6" s="10"/>
      <c r="F6" s="11"/>
      <c r="G6" s="10"/>
      <c r="H6" s="11"/>
      <c r="I6" s="10"/>
      <c r="J6" s="11"/>
      <c r="K6" s="10"/>
      <c r="L6" s="11"/>
      <c r="M6" s="10"/>
      <c r="N6" s="11"/>
      <c r="O6" s="10"/>
      <c r="P6" s="11"/>
      <c r="Q6" s="10"/>
      <c r="R6" s="12"/>
    </row>
    <row r="7" spans="1:18" x14ac:dyDescent="0.25">
      <c r="A7" s="11" t="s">
        <v>50</v>
      </c>
      <c r="B7" s="13">
        <v>14530</v>
      </c>
      <c r="C7" s="14">
        <f>(4140/B7*100)</f>
        <v>28.492773571920164</v>
      </c>
      <c r="D7" s="15">
        <v>10390</v>
      </c>
      <c r="E7" s="14">
        <v>51.876829880000003</v>
      </c>
      <c r="F7" s="16">
        <v>0.63119420000000004</v>
      </c>
      <c r="G7" s="14">
        <v>48.123170119999997</v>
      </c>
      <c r="H7" s="16">
        <v>0.63119420000000004</v>
      </c>
      <c r="I7" s="14">
        <v>0</v>
      </c>
      <c r="J7" s="16">
        <v>0</v>
      </c>
      <c r="K7" s="14" t="s">
        <v>51</v>
      </c>
      <c r="L7" s="16" t="s">
        <v>51</v>
      </c>
      <c r="M7" s="14">
        <v>0</v>
      </c>
      <c r="N7" s="16">
        <v>0</v>
      </c>
      <c r="O7" s="14">
        <v>0</v>
      </c>
      <c r="P7" s="16">
        <v>0</v>
      </c>
      <c r="Q7" s="14">
        <v>0</v>
      </c>
      <c r="R7" s="16">
        <v>0</v>
      </c>
    </row>
    <row r="8" spans="1:18"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row>
    <row r="9" spans="1:18" x14ac:dyDescent="0.25">
      <c r="A9" s="11" t="s">
        <v>172</v>
      </c>
      <c r="B9" s="13">
        <v>5675</v>
      </c>
      <c r="C9" s="14">
        <f>(400/B9*100)</f>
        <v>7.0484581497797363</v>
      </c>
      <c r="D9" s="15">
        <v>5275</v>
      </c>
      <c r="E9" s="14">
        <v>9.1065084299999999</v>
      </c>
      <c r="F9" s="16">
        <v>0.45447535999999999</v>
      </c>
      <c r="G9" s="14">
        <v>10.04045011</v>
      </c>
      <c r="H9" s="16">
        <v>0.41277335999999998</v>
      </c>
      <c r="I9" s="14">
        <v>0</v>
      </c>
      <c r="J9" s="16">
        <v>0</v>
      </c>
      <c r="K9" s="14" t="s">
        <v>51</v>
      </c>
      <c r="L9" s="16" t="s">
        <v>51</v>
      </c>
      <c r="M9" s="14">
        <v>80.85304146</v>
      </c>
      <c r="N9" s="16">
        <v>0.56809920999999997</v>
      </c>
      <c r="O9" s="14">
        <v>0</v>
      </c>
      <c r="P9" s="16">
        <v>0</v>
      </c>
      <c r="Q9" s="14">
        <v>0</v>
      </c>
      <c r="R9" s="16">
        <v>0</v>
      </c>
    </row>
    <row r="10" spans="1:18" x14ac:dyDescent="0.25">
      <c r="A10" s="11" t="s">
        <v>173</v>
      </c>
      <c r="B10" s="13">
        <v>13082</v>
      </c>
      <c r="C10" s="14">
        <f>(422/B10*100)</f>
        <v>3.225806451612903</v>
      </c>
      <c r="D10" s="15">
        <v>12660</v>
      </c>
      <c r="E10" s="14">
        <v>11.139033120000001</v>
      </c>
      <c r="F10" s="16">
        <v>0.49027736</v>
      </c>
      <c r="G10" s="14">
        <v>12.730141980000001</v>
      </c>
      <c r="H10" s="16">
        <v>0.46098299999999998</v>
      </c>
      <c r="I10" s="14">
        <v>0</v>
      </c>
      <c r="J10" s="16">
        <v>0</v>
      </c>
      <c r="K10" s="14" t="s">
        <v>51</v>
      </c>
      <c r="L10" s="16" t="s">
        <v>51</v>
      </c>
      <c r="M10" s="14">
        <v>76.130824910000001</v>
      </c>
      <c r="N10" s="16">
        <v>0.37866882000000002</v>
      </c>
      <c r="O10" s="14">
        <v>0</v>
      </c>
      <c r="P10" s="16">
        <v>0</v>
      </c>
      <c r="Q10" s="14">
        <v>0</v>
      </c>
      <c r="R10" s="16">
        <v>0</v>
      </c>
    </row>
    <row r="11" spans="1:18" x14ac:dyDescent="0.25">
      <c r="A11" s="11" t="s">
        <v>54</v>
      </c>
      <c r="B11" s="13">
        <v>7053</v>
      </c>
      <c r="C11" s="14">
        <f>(352/B11*100)</f>
        <v>4.9907840635190697</v>
      </c>
      <c r="D11" s="15">
        <v>6701</v>
      </c>
      <c r="E11" s="14">
        <v>5.3785034200000004</v>
      </c>
      <c r="F11" s="16">
        <v>0.36011293</v>
      </c>
      <c r="G11" s="14">
        <v>16.063586300000001</v>
      </c>
      <c r="H11" s="16">
        <v>0.37953694999999998</v>
      </c>
      <c r="I11" s="14">
        <v>0</v>
      </c>
      <c r="J11" s="16">
        <v>0</v>
      </c>
      <c r="K11" s="14" t="s">
        <v>51</v>
      </c>
      <c r="L11" s="16" t="s">
        <v>51</v>
      </c>
      <c r="M11" s="14">
        <v>78.557910280000002</v>
      </c>
      <c r="N11" s="16">
        <v>0.40355577999999998</v>
      </c>
      <c r="O11" s="14">
        <v>0</v>
      </c>
      <c r="P11" s="16">
        <v>0</v>
      </c>
      <c r="Q11" s="14">
        <v>0</v>
      </c>
      <c r="R11" s="16">
        <v>0</v>
      </c>
    </row>
    <row r="12" spans="1:18"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row>
    <row r="13" spans="1:18"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row>
    <row r="14" spans="1:18"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row>
    <row r="15" spans="1:18"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row>
    <row r="16" spans="1:18"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row>
    <row r="17" spans="1:18"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row>
    <row r="18" spans="1:18"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row>
    <row r="19" spans="1:18"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row>
    <row r="20" spans="1:18"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row>
    <row r="21" spans="1:18"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row>
    <row r="22" spans="1:18"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row>
    <row r="23" spans="1:18" x14ac:dyDescent="0.25">
      <c r="A23" s="11" t="s">
        <v>66</v>
      </c>
      <c r="B23" s="13">
        <v>11583</v>
      </c>
      <c r="C23" s="14">
        <f>(798/B23*100)</f>
        <v>6.8894068894068887</v>
      </c>
      <c r="D23" s="15">
        <v>10785</v>
      </c>
      <c r="E23" s="14">
        <v>3.4258730000000002</v>
      </c>
      <c r="F23" s="16">
        <v>0.27156296000000002</v>
      </c>
      <c r="G23" s="14">
        <v>17.56445248</v>
      </c>
      <c r="H23" s="16">
        <v>0.38287662</v>
      </c>
      <c r="I23" s="14">
        <v>0</v>
      </c>
      <c r="J23" s="16">
        <v>0</v>
      </c>
      <c r="K23" s="14" t="s">
        <v>51</v>
      </c>
      <c r="L23" s="16" t="s">
        <v>51</v>
      </c>
      <c r="M23" s="14">
        <v>79.009674520000004</v>
      </c>
      <c r="N23" s="16">
        <v>0.35968946000000002</v>
      </c>
      <c r="O23" s="14">
        <v>0</v>
      </c>
      <c r="P23" s="16">
        <v>0</v>
      </c>
      <c r="Q23" s="14">
        <v>0</v>
      </c>
      <c r="R23" s="16">
        <v>0</v>
      </c>
    </row>
    <row r="24" spans="1:18"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row>
    <row r="25" spans="1:18"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row>
    <row r="26" spans="1:18"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row>
    <row r="27" spans="1:18"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row>
    <row r="28" spans="1:18"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row>
    <row r="29" spans="1:18" x14ac:dyDescent="0.25">
      <c r="A29" s="11" t="s">
        <v>72</v>
      </c>
      <c r="B29" s="13">
        <v>5385</v>
      </c>
      <c r="C29" s="14">
        <f>(84/B29*100)</f>
        <v>1.5598885793871866</v>
      </c>
      <c r="D29" s="15">
        <v>5301</v>
      </c>
      <c r="E29" s="14">
        <v>12.745766529999999</v>
      </c>
      <c r="F29" s="16">
        <v>0.42729432000000001</v>
      </c>
      <c r="G29" s="14">
        <v>11.50034988</v>
      </c>
      <c r="H29" s="16">
        <v>0.42141748000000001</v>
      </c>
      <c r="I29" s="14">
        <v>0</v>
      </c>
      <c r="J29" s="16">
        <v>0</v>
      </c>
      <c r="K29" s="14" t="s">
        <v>51</v>
      </c>
      <c r="L29" s="16" t="s">
        <v>51</v>
      </c>
      <c r="M29" s="14">
        <v>75.753883590000001</v>
      </c>
      <c r="N29" s="16">
        <v>0.30864413000000002</v>
      </c>
      <c r="O29" s="14">
        <v>0</v>
      </c>
      <c r="P29" s="16">
        <v>0</v>
      </c>
      <c r="Q29" s="14">
        <v>0</v>
      </c>
      <c r="R29" s="16">
        <v>0</v>
      </c>
    </row>
    <row r="30" spans="1:18"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row>
    <row r="31" spans="1:18"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row>
    <row r="32" spans="1:18" x14ac:dyDescent="0.25">
      <c r="A32" s="11" t="s">
        <v>75</v>
      </c>
      <c r="B32" s="13">
        <v>4478</v>
      </c>
      <c r="C32" s="14">
        <f>(204/B32*100)</f>
        <v>4.5556051808843234</v>
      </c>
      <c r="D32" s="15">
        <v>4274</v>
      </c>
      <c r="E32" s="14">
        <v>15.32683542</v>
      </c>
      <c r="F32" s="16">
        <v>0.52276199999999995</v>
      </c>
      <c r="G32" s="14">
        <v>20.624484070000001</v>
      </c>
      <c r="H32" s="16">
        <v>0.56661145999999996</v>
      </c>
      <c r="I32" s="14">
        <v>0</v>
      </c>
      <c r="J32" s="16">
        <v>0</v>
      </c>
      <c r="K32" s="14" t="s">
        <v>51</v>
      </c>
      <c r="L32" s="16" t="s">
        <v>51</v>
      </c>
      <c r="M32" s="14">
        <v>64.048680509999997</v>
      </c>
      <c r="N32" s="16">
        <v>0.35237095000000002</v>
      </c>
      <c r="O32" s="14">
        <v>0</v>
      </c>
      <c r="P32" s="16">
        <v>0</v>
      </c>
      <c r="Q32" s="14">
        <v>0</v>
      </c>
      <c r="R32" s="16">
        <v>0</v>
      </c>
    </row>
    <row r="33" spans="1:18"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row>
    <row r="34" spans="1:18" x14ac:dyDescent="0.25">
      <c r="A34" s="11" t="s">
        <v>77</v>
      </c>
      <c r="B34" s="13">
        <v>6350</v>
      </c>
      <c r="C34" s="14">
        <f>(384/B34*100)</f>
        <v>6.0472440944881889</v>
      </c>
      <c r="D34" s="15">
        <v>5966</v>
      </c>
      <c r="E34" s="14">
        <v>9.2419453699999998</v>
      </c>
      <c r="F34" s="16">
        <v>0.37764015000000001</v>
      </c>
      <c r="G34" s="14">
        <v>11.40780713</v>
      </c>
      <c r="H34" s="16">
        <v>0.40173935</v>
      </c>
      <c r="I34" s="14">
        <v>0</v>
      </c>
      <c r="J34" s="16">
        <v>0</v>
      </c>
      <c r="K34" s="14" t="s">
        <v>51</v>
      </c>
      <c r="L34" s="16" t="s">
        <v>51</v>
      </c>
      <c r="M34" s="14">
        <v>79.350247499999995</v>
      </c>
      <c r="N34" s="16">
        <v>0.40996798000000001</v>
      </c>
      <c r="O34" s="14">
        <v>0</v>
      </c>
      <c r="P34" s="16">
        <v>0</v>
      </c>
      <c r="Q34" s="14">
        <v>0</v>
      </c>
      <c r="R34" s="16">
        <v>0</v>
      </c>
    </row>
    <row r="35" spans="1:18"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row>
    <row r="36" spans="1:18" x14ac:dyDescent="0.25">
      <c r="A36" s="11" t="s">
        <v>79</v>
      </c>
      <c r="B36" s="13">
        <v>6736</v>
      </c>
      <c r="C36" s="14">
        <f>(320/B36*100)</f>
        <v>4.7505938242280283</v>
      </c>
      <c r="D36" s="15">
        <v>6416</v>
      </c>
      <c r="E36" s="14">
        <v>5.0529279999999996</v>
      </c>
      <c r="F36" s="16">
        <v>0.2555557</v>
      </c>
      <c r="G36" s="14">
        <v>17.3197562</v>
      </c>
      <c r="H36" s="16">
        <v>0.35394209999999998</v>
      </c>
      <c r="I36" s="14">
        <v>0</v>
      </c>
      <c r="J36" s="16">
        <v>0</v>
      </c>
      <c r="K36" s="14" t="s">
        <v>51</v>
      </c>
      <c r="L36" s="16" t="s">
        <v>51</v>
      </c>
      <c r="M36" s="14">
        <v>77.627315800000005</v>
      </c>
      <c r="N36" s="16">
        <v>0.29672796000000001</v>
      </c>
      <c r="O36" s="14">
        <v>0</v>
      </c>
      <c r="P36" s="16">
        <v>0</v>
      </c>
      <c r="Q36" s="14">
        <v>0</v>
      </c>
      <c r="R36" s="16">
        <v>0</v>
      </c>
    </row>
    <row r="37" spans="1:18"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row>
    <row r="38" spans="1:18"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row>
    <row r="39" spans="1:18"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row>
    <row r="40" spans="1:18"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row>
    <row r="41" spans="1:18" x14ac:dyDescent="0.25">
      <c r="A41" s="11" t="s">
        <v>84</v>
      </c>
      <c r="B41" s="13">
        <v>5712</v>
      </c>
      <c r="C41" s="14">
        <f>(224/B41*100)</f>
        <v>3.9215686274509802</v>
      </c>
      <c r="D41" s="15">
        <v>5488</v>
      </c>
      <c r="E41" s="14">
        <v>8.6660092399999993</v>
      </c>
      <c r="F41" s="16">
        <v>0.40240351000000002</v>
      </c>
      <c r="G41" s="14">
        <v>14.39129653</v>
      </c>
      <c r="H41" s="16">
        <v>0.37038356</v>
      </c>
      <c r="I41" s="14">
        <v>0</v>
      </c>
      <c r="J41" s="16">
        <v>0</v>
      </c>
      <c r="K41" s="14" t="s">
        <v>51</v>
      </c>
      <c r="L41" s="16" t="s">
        <v>51</v>
      </c>
      <c r="M41" s="14">
        <v>76.942694230000001</v>
      </c>
      <c r="N41" s="16">
        <v>0.36089901000000002</v>
      </c>
      <c r="O41" s="14">
        <v>0</v>
      </c>
      <c r="P41" s="16">
        <v>0</v>
      </c>
      <c r="Q41" s="14">
        <v>0</v>
      </c>
      <c r="R41" s="16">
        <v>0</v>
      </c>
    </row>
    <row r="42" spans="1:18" x14ac:dyDescent="0.25">
      <c r="A42" s="11" t="s">
        <v>85</v>
      </c>
      <c r="B42" s="13">
        <f>IF(COUNT(B7:B41) &gt; 0, AVERAGE(B7:B41), "\u2014")</f>
        <v>8058.4</v>
      </c>
      <c r="C42" s="14">
        <f>IF(COUNT(C7:C41) &gt; 0, AVERAGE(C7:C41), "—")</f>
        <v>7.1482129432677484</v>
      </c>
      <c r="D42" s="15">
        <f>IF(COUNT(D7:D41) &gt; 0, AVERAGE(D7:D41), "—")</f>
        <v>7325.6</v>
      </c>
      <c r="E42" s="14">
        <f>IF(COUNT(E7:E41) &gt; 0, AVERAGE(E7:E41), "—")</f>
        <v>13.196023240999997</v>
      </c>
      <c r="F42" s="16">
        <f>IF(COUNT(F7:F41) &gt; 0, SQRT(SUMSQ(F7:F41)/(COUNT(F7:F41)*COUNT(F7:F41)) ), "—")</f>
        <v>0.1369110496778686</v>
      </c>
      <c r="G42" s="14">
        <f>IF(COUNT(G7:G41) &gt; 0, AVERAGE(G7:G41), "—")</f>
        <v>17.976549480000003</v>
      </c>
      <c r="H42" s="16">
        <f>IF(COUNT(H7:H41) &gt; 0, SQRT(SUMSQ(H7:H41)/(COUNT(H7:H41)*COUNT(H7:H41)) ), "—")</f>
        <v>0.14122431907246868</v>
      </c>
      <c r="I42" s="14">
        <f>IF(COUNT(I7:I41) &gt; 0, AVERAGE(I7:I41), "—")</f>
        <v>0</v>
      </c>
      <c r="J42" s="16">
        <f>IF(COUNT(J7:J41) &gt; 0, SQRT(SUMSQ(J7:J41)/(COUNT(J7:J41)*COUNT(J7:J41)) ), "—")</f>
        <v>0</v>
      </c>
      <c r="K42" s="14" t="str">
        <f>IF(COUNT(K7:K41) &gt; 0, AVERAGE(K7:K41), "—")</f>
        <v>—</v>
      </c>
      <c r="L42" s="16" t="str">
        <f>IF(COUNT(L7:L41) &gt; 0, SQRT(SUMSQ(L7:L41)/(COUNT(L7:L41)*COUNT(L7:L41)) ), "—")</f>
        <v>—</v>
      </c>
      <c r="M42" s="14">
        <f>IF(COUNT(M7:M41) &gt; 0, AVERAGE(M7:M41), "—")</f>
        <v>68.827427279999995</v>
      </c>
      <c r="N42" s="16">
        <f>IF(COUNT(N7:N41) &gt; 0, SQRT(SUMSQ(N7:N41)/(COUNT(N7:N41)*COUNT(N7:N41)) ), "—")</f>
        <v>0.116797104866803</v>
      </c>
      <c r="O42" s="14">
        <f>IF(COUNT(O7:O41) &gt; 0, AVERAGE(O7:O41), "—")</f>
        <v>0</v>
      </c>
      <c r="P42" s="16">
        <f>IF(COUNT(P7:P41) &gt; 0, SQRT(SUMSQ(P7:P41)/(COUNT(P7:P41)*COUNT(P7:P41)) ), "—")</f>
        <v>0</v>
      </c>
      <c r="Q42" s="14">
        <f>IF(COUNT(Q7:Q41) &gt; 0, AVERAGE(Q7:Q41), "—")</f>
        <v>0</v>
      </c>
      <c r="R42" s="16">
        <f>IF(COUNT(R7:R41) &gt; 0, SQRT(SUMSQ(R7:R41)/(COUNT(R7:R41)*COUNT(R7:R41)) ), "—")</f>
        <v>0</v>
      </c>
    </row>
    <row r="43" spans="1:18" x14ac:dyDescent="0.25">
      <c r="A43" s="9" t="s">
        <v>86</v>
      </c>
      <c r="B43" s="10"/>
      <c r="C43" s="10"/>
      <c r="D43" s="11"/>
      <c r="E43" s="10"/>
      <c r="F43" s="11"/>
      <c r="G43" s="10"/>
      <c r="H43" s="11"/>
      <c r="I43" s="10"/>
      <c r="J43" s="11"/>
      <c r="K43" s="10"/>
      <c r="L43" s="11"/>
      <c r="M43" s="10"/>
      <c r="N43" s="11"/>
      <c r="O43" s="10"/>
      <c r="P43" s="11"/>
      <c r="Q43" s="10"/>
      <c r="R43" s="12"/>
    </row>
    <row r="44" spans="1:18"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row>
    <row r="45" spans="1:18"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row>
    <row r="46" spans="1:18" x14ac:dyDescent="0.25">
      <c r="A46" s="11" t="s">
        <v>89</v>
      </c>
      <c r="B46" s="13">
        <v>23141</v>
      </c>
      <c r="C46" s="14">
        <f>(4238/B46*100)</f>
        <v>18.313815306166546</v>
      </c>
      <c r="D46" s="15">
        <v>18903</v>
      </c>
      <c r="E46" s="14">
        <v>3.3670023100000002</v>
      </c>
      <c r="F46" s="16">
        <v>0.16470915999999999</v>
      </c>
      <c r="G46" s="14">
        <v>7.3910959500000004</v>
      </c>
      <c r="H46" s="16">
        <v>0.31804622999999999</v>
      </c>
      <c r="I46" s="14">
        <v>0</v>
      </c>
      <c r="J46" s="16">
        <v>0</v>
      </c>
      <c r="K46" s="14" t="s">
        <v>51</v>
      </c>
      <c r="L46" s="16" t="s">
        <v>51</v>
      </c>
      <c r="M46" s="14">
        <v>89.241901729999995</v>
      </c>
      <c r="N46" s="16">
        <v>0.37575612000000003</v>
      </c>
      <c r="O46" s="14">
        <v>0</v>
      </c>
      <c r="P46" s="16">
        <v>0</v>
      </c>
      <c r="Q46" s="14">
        <v>0</v>
      </c>
      <c r="R46" s="16">
        <v>0</v>
      </c>
    </row>
    <row r="47" spans="1:18"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row>
    <row r="48" spans="1:18" x14ac:dyDescent="0.25">
      <c r="A48" s="11" t="s">
        <v>91</v>
      </c>
      <c r="B48" s="13">
        <v>9841</v>
      </c>
      <c r="C48" s="14">
        <f>(203/B48*100)</f>
        <v>2.0627984960877961</v>
      </c>
      <c r="D48" s="15">
        <v>9638</v>
      </c>
      <c r="E48" s="14">
        <v>8.6900143700000001</v>
      </c>
      <c r="F48" s="16">
        <v>0.39966840999999997</v>
      </c>
      <c r="G48" s="14">
        <v>15.245786730000001</v>
      </c>
      <c r="H48" s="16">
        <v>0.37080319</v>
      </c>
      <c r="I48" s="14">
        <v>0</v>
      </c>
      <c r="J48" s="16">
        <v>0</v>
      </c>
      <c r="K48" s="14" t="s">
        <v>51</v>
      </c>
      <c r="L48" s="16" t="s">
        <v>51</v>
      </c>
      <c r="M48" s="14">
        <v>76.064198899999994</v>
      </c>
      <c r="N48" s="16">
        <v>0.33981539999999999</v>
      </c>
      <c r="O48" s="14">
        <v>0</v>
      </c>
      <c r="P48" s="16">
        <v>0</v>
      </c>
      <c r="Q48" s="14">
        <v>0</v>
      </c>
      <c r="R48" s="16">
        <v>0</v>
      </c>
    </row>
    <row r="49" spans="1:18"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row>
    <row r="50" spans="1:18"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row>
    <row r="51" spans="1:18"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row>
    <row r="52" spans="1:18"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row>
    <row r="53" spans="1:18"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row>
    <row r="54" spans="1:18"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row>
    <row r="55" spans="1:18"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row>
    <row r="56" spans="1:18"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row>
    <row r="57" spans="1:18"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row>
    <row r="58" spans="1:18"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row>
    <row r="59" spans="1:18"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row>
    <row r="60" spans="1:18"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row>
    <row r="61" spans="1:18" x14ac:dyDescent="0.25">
      <c r="A61" s="11" t="s">
        <v>104</v>
      </c>
      <c r="B61" s="13">
        <v>6525</v>
      </c>
      <c r="C61" s="14">
        <f>(243/B61*100)</f>
        <v>3.7241379310344822</v>
      </c>
      <c r="D61" s="15">
        <v>6282</v>
      </c>
      <c r="E61" s="14">
        <v>10.630546819999999</v>
      </c>
      <c r="F61" s="16">
        <v>0.43648780999999998</v>
      </c>
      <c r="G61" s="14">
        <v>13.270809420000001</v>
      </c>
      <c r="H61" s="16">
        <v>0.40311382000000001</v>
      </c>
      <c r="I61" s="14">
        <v>0</v>
      </c>
      <c r="J61" s="16">
        <v>0</v>
      </c>
      <c r="K61" s="14" t="s">
        <v>51</v>
      </c>
      <c r="L61" s="16" t="s">
        <v>51</v>
      </c>
      <c r="M61" s="14">
        <v>76.098643760000002</v>
      </c>
      <c r="N61" s="16">
        <v>0.39702180999999998</v>
      </c>
      <c r="O61" s="14">
        <v>0</v>
      </c>
      <c r="P61" s="16">
        <v>0</v>
      </c>
      <c r="Q61" s="14">
        <v>0</v>
      </c>
      <c r="R61" s="16">
        <v>0</v>
      </c>
    </row>
    <row r="62" spans="1:18"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row>
    <row r="63" spans="1:18"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row>
    <row r="64" spans="1:18"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row>
    <row r="65" spans="1:18"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row>
    <row r="66" spans="1:18"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row>
    <row r="67" spans="1:18" x14ac:dyDescent="0.25">
      <c r="A67" s="11" t="s">
        <v>110</v>
      </c>
      <c r="B67" s="13">
        <v>6971</v>
      </c>
      <c r="C67" s="14">
        <f>(877/B67*100)</f>
        <v>12.580691435948932</v>
      </c>
      <c r="D67" s="15">
        <v>6094</v>
      </c>
      <c r="E67" s="14">
        <v>8.5061929999999997</v>
      </c>
      <c r="F67" s="16">
        <v>0.37581355999999999</v>
      </c>
      <c r="G67" s="14">
        <v>6.7930749400000003</v>
      </c>
      <c r="H67" s="16">
        <v>0.39828343999999999</v>
      </c>
      <c r="I67" s="14">
        <v>0</v>
      </c>
      <c r="J67" s="16">
        <v>0</v>
      </c>
      <c r="K67" s="14" t="s">
        <v>51</v>
      </c>
      <c r="L67" s="16" t="s">
        <v>51</v>
      </c>
      <c r="M67" s="14">
        <v>84.700732060000007</v>
      </c>
      <c r="N67" s="16">
        <v>0.56381159999999997</v>
      </c>
      <c r="O67" s="14">
        <v>0</v>
      </c>
      <c r="P67" s="16">
        <v>0</v>
      </c>
      <c r="Q67" s="14">
        <v>0</v>
      </c>
      <c r="R67" s="16">
        <v>0</v>
      </c>
    </row>
    <row r="68" spans="1:18"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row>
    <row r="69" spans="1:18"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row>
    <row r="70" spans="1:18" x14ac:dyDescent="0.25">
      <c r="A70" s="11" t="s">
        <v>113</v>
      </c>
      <c r="B70" s="13">
        <v>6036</v>
      </c>
      <c r="C70" s="14">
        <f>(455/B70*100)</f>
        <v>7.5381047051027172</v>
      </c>
      <c r="D70" s="15">
        <v>5581</v>
      </c>
      <c r="E70" s="14">
        <v>10.01580553</v>
      </c>
      <c r="F70" s="16">
        <v>0.49905726</v>
      </c>
      <c r="G70" s="14">
        <v>9.5611926399999998</v>
      </c>
      <c r="H70" s="16">
        <v>0.50752534999999999</v>
      </c>
      <c r="I70" s="14">
        <v>0</v>
      </c>
      <c r="J70" s="16">
        <v>0</v>
      </c>
      <c r="K70" s="14" t="s">
        <v>51</v>
      </c>
      <c r="L70" s="16" t="s">
        <v>51</v>
      </c>
      <c r="M70" s="14">
        <v>80.423001830000004</v>
      </c>
      <c r="N70" s="16">
        <v>0.56904080000000001</v>
      </c>
      <c r="O70" s="14">
        <v>0</v>
      </c>
      <c r="P70" s="16">
        <v>0</v>
      </c>
      <c r="Q70" s="14">
        <v>0</v>
      </c>
      <c r="R70" s="16">
        <v>0</v>
      </c>
    </row>
    <row r="71" spans="1:18"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row>
    <row r="72" spans="1:18"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row>
    <row r="73" spans="1:18"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row>
    <row r="74" spans="1:18"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row>
    <row r="75" spans="1:18"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row>
    <row r="76" spans="1:18"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row>
    <row r="77" spans="1:18"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row>
    <row r="78" spans="1:18"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row>
    <row r="79" spans="1:18"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row>
    <row r="80" spans="1:18"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row>
    <row r="81" spans="1:18"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row>
    <row r="82" spans="1:18"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row>
    <row r="83" spans="1:18" x14ac:dyDescent="0.25">
      <c r="A83" s="3" t="s">
        <v>126</v>
      </c>
    </row>
    <row r="84" spans="1:18" x14ac:dyDescent="0.25">
      <c r="A84" s="26" t="s">
        <v>127</v>
      </c>
      <c r="B84" s="24"/>
      <c r="C84" s="24"/>
      <c r="D84" s="24"/>
      <c r="E84" s="24"/>
      <c r="F84" s="24"/>
      <c r="G84" s="24"/>
      <c r="H84" s="24"/>
      <c r="I84" s="24"/>
      <c r="J84" s="24"/>
      <c r="K84" s="24"/>
      <c r="L84" s="24"/>
      <c r="M84" s="24"/>
      <c r="N84" s="24"/>
      <c r="O84" s="24"/>
      <c r="P84" s="24"/>
      <c r="Q84" s="24"/>
      <c r="R84" s="24"/>
    </row>
    <row r="85" spans="1:18" x14ac:dyDescent="0.25">
      <c r="A85" s="26" t="s">
        <v>128</v>
      </c>
      <c r="B85" s="24"/>
      <c r="C85" s="24"/>
      <c r="D85" s="24"/>
      <c r="E85" s="24"/>
      <c r="F85" s="24"/>
      <c r="G85" s="24"/>
      <c r="H85" s="24"/>
      <c r="I85" s="24"/>
      <c r="J85" s="24"/>
      <c r="K85" s="24"/>
      <c r="L85" s="24"/>
      <c r="M85" s="24"/>
      <c r="N85" s="24"/>
      <c r="O85" s="24"/>
      <c r="P85" s="24"/>
      <c r="Q85" s="24"/>
      <c r="R85" s="24"/>
    </row>
    <row r="86" spans="1:18" ht="30" customHeight="1" x14ac:dyDescent="0.25">
      <c r="A86" s="26" t="s">
        <v>129</v>
      </c>
      <c r="B86" s="24"/>
      <c r="C86" s="24"/>
      <c r="D86" s="24"/>
      <c r="E86" s="24"/>
      <c r="F86" s="24"/>
      <c r="G86" s="24"/>
      <c r="H86" s="24"/>
      <c r="I86" s="24"/>
      <c r="J86" s="24"/>
      <c r="K86" s="24"/>
      <c r="L86" s="24"/>
      <c r="M86" s="24"/>
      <c r="N86" s="24"/>
      <c r="O86" s="24"/>
      <c r="P86" s="24"/>
      <c r="Q86" s="24"/>
      <c r="R86" s="24"/>
    </row>
    <row r="87" spans="1:18" ht="30" customHeight="1" x14ac:dyDescent="0.25">
      <c r="A87" s="26" t="s">
        <v>125</v>
      </c>
      <c r="B87" s="24"/>
      <c r="C87" s="24"/>
      <c r="D87" s="24"/>
      <c r="E87" s="24"/>
      <c r="F87" s="24"/>
      <c r="G87" s="24"/>
      <c r="H87" s="24"/>
      <c r="I87" s="24"/>
      <c r="J87" s="24"/>
      <c r="K87" s="24"/>
      <c r="L87" s="24"/>
      <c r="M87" s="24"/>
      <c r="N87" s="24"/>
      <c r="O87" s="24"/>
      <c r="P87" s="24"/>
      <c r="Q87" s="24"/>
      <c r="R87" s="24"/>
    </row>
    <row r="88" spans="1:18" ht="30" customHeight="1" x14ac:dyDescent="0.25">
      <c r="A88" s="26" t="s">
        <v>130</v>
      </c>
      <c r="B88" s="24"/>
      <c r="C88" s="24"/>
      <c r="D88" s="24"/>
      <c r="E88" s="24"/>
      <c r="F88" s="24"/>
      <c r="G88" s="24"/>
      <c r="H88" s="24"/>
      <c r="I88" s="24"/>
      <c r="J88" s="24"/>
      <c r="K88" s="24"/>
      <c r="L88" s="24"/>
      <c r="M88" s="24"/>
      <c r="N88" s="24"/>
      <c r="O88" s="24"/>
      <c r="P88" s="24"/>
      <c r="Q88" s="24"/>
      <c r="R88" s="24"/>
    </row>
    <row r="89" spans="1:18" ht="30" customHeight="1" x14ac:dyDescent="0.25">
      <c r="A89" s="26" t="s">
        <v>131</v>
      </c>
      <c r="B89" s="24"/>
      <c r="C89" s="24"/>
      <c r="D89" s="24"/>
      <c r="E89" s="24"/>
      <c r="F89" s="24"/>
      <c r="G89" s="24"/>
      <c r="H89" s="24"/>
      <c r="I89" s="24"/>
      <c r="J89" s="24"/>
      <c r="K89" s="24"/>
      <c r="L89" s="24"/>
      <c r="M89" s="24"/>
      <c r="N89" s="24"/>
      <c r="O89" s="24"/>
      <c r="P89" s="24"/>
      <c r="Q89" s="24"/>
      <c r="R89" s="24"/>
    </row>
    <row r="90" spans="1:18" ht="30" customHeight="1" x14ac:dyDescent="0.25">
      <c r="A90" s="26" t="s">
        <v>132</v>
      </c>
      <c r="B90" s="24"/>
      <c r="C90" s="24"/>
      <c r="D90" s="24"/>
      <c r="E90" s="24"/>
      <c r="F90" s="24"/>
      <c r="G90" s="24"/>
      <c r="H90" s="24"/>
      <c r="I90" s="24"/>
      <c r="J90" s="24"/>
      <c r="K90" s="24"/>
      <c r="L90" s="24"/>
      <c r="M90" s="24"/>
      <c r="N90" s="24"/>
      <c r="O90" s="24"/>
      <c r="P90" s="24"/>
      <c r="Q90" s="24"/>
      <c r="R90" s="24"/>
    </row>
    <row r="91" spans="1:18" ht="30" customHeight="1" x14ac:dyDescent="0.25">
      <c r="A91" s="26" t="s">
        <v>133</v>
      </c>
      <c r="B91" s="24"/>
      <c r="C91" s="24"/>
      <c r="D91" s="24"/>
      <c r="E91" s="24"/>
      <c r="F91" s="24"/>
      <c r="G91" s="24"/>
      <c r="H91" s="24"/>
      <c r="I91" s="24"/>
      <c r="J91" s="24"/>
      <c r="K91" s="24"/>
      <c r="L91" s="24"/>
      <c r="M91" s="24"/>
      <c r="N91" s="24"/>
      <c r="O91" s="24"/>
      <c r="P91" s="24"/>
      <c r="Q91" s="24"/>
      <c r="R91" s="24"/>
    </row>
    <row r="92" spans="1:18" ht="30" customHeight="1" x14ac:dyDescent="0.25">
      <c r="A92" s="26" t="s">
        <v>134</v>
      </c>
      <c r="B92" s="24"/>
      <c r="C92" s="24"/>
      <c r="D92" s="24"/>
      <c r="E92" s="24"/>
      <c r="F92" s="24"/>
      <c r="G92" s="24"/>
      <c r="H92" s="24"/>
      <c r="I92" s="24"/>
      <c r="J92" s="24"/>
      <c r="K92" s="24"/>
      <c r="L92" s="24"/>
      <c r="M92" s="24"/>
      <c r="N92" s="24"/>
      <c r="O92" s="24"/>
      <c r="P92" s="24"/>
      <c r="Q92" s="24"/>
      <c r="R92" s="24"/>
    </row>
    <row r="93" spans="1:18" ht="30" customHeight="1" x14ac:dyDescent="0.25">
      <c r="A93" s="26" t="s">
        <v>135</v>
      </c>
      <c r="B93" s="24"/>
      <c r="C93" s="24"/>
      <c r="D93" s="24"/>
      <c r="E93" s="24"/>
      <c r="F93" s="24"/>
      <c r="G93" s="24"/>
      <c r="H93" s="24"/>
      <c r="I93" s="24"/>
      <c r="J93" s="24"/>
      <c r="K93" s="24"/>
      <c r="L93" s="24"/>
      <c r="M93" s="24"/>
      <c r="N93" s="24"/>
      <c r="O93" s="24"/>
      <c r="P93" s="24"/>
      <c r="Q93" s="24"/>
      <c r="R93" s="24"/>
    </row>
    <row r="94" spans="1:18" ht="30" customHeight="1" x14ac:dyDescent="0.25">
      <c r="A94" s="26" t="s">
        <v>136</v>
      </c>
      <c r="B94" s="24"/>
      <c r="C94" s="24"/>
      <c r="D94" s="24"/>
      <c r="E94" s="24"/>
      <c r="F94" s="24"/>
      <c r="G94" s="24"/>
      <c r="H94" s="24"/>
      <c r="I94" s="24"/>
      <c r="J94" s="24"/>
      <c r="K94" s="24"/>
      <c r="L94" s="24"/>
      <c r="M94" s="24"/>
      <c r="N94" s="24"/>
      <c r="O94" s="24"/>
      <c r="P94" s="24"/>
      <c r="Q94" s="24"/>
      <c r="R94" s="24"/>
    </row>
    <row r="95" spans="1:18" ht="30" customHeight="1" x14ac:dyDescent="0.25">
      <c r="A95" s="26" t="s">
        <v>137</v>
      </c>
      <c r="B95" s="24"/>
      <c r="C95" s="24"/>
      <c r="D95" s="24"/>
      <c r="E95" s="24"/>
      <c r="F95" s="24"/>
      <c r="G95" s="24"/>
      <c r="H95" s="24"/>
      <c r="I95" s="24"/>
      <c r="J95" s="24"/>
      <c r="K95" s="24"/>
      <c r="L95" s="24"/>
      <c r="M95" s="24"/>
      <c r="N95" s="24"/>
      <c r="O95" s="24"/>
      <c r="P95" s="24"/>
      <c r="Q95" s="24"/>
      <c r="R95" s="24"/>
    </row>
    <row r="96" spans="1:18" ht="30" customHeight="1" x14ac:dyDescent="0.25">
      <c r="A96" s="26" t="s">
        <v>138</v>
      </c>
      <c r="B96" s="24"/>
      <c r="C96" s="24"/>
      <c r="D96" s="24"/>
      <c r="E96" s="24"/>
      <c r="F96" s="24"/>
      <c r="G96" s="24"/>
      <c r="H96" s="24"/>
      <c r="I96" s="24"/>
      <c r="J96" s="24"/>
      <c r="K96" s="24"/>
      <c r="L96" s="24"/>
      <c r="M96" s="24"/>
      <c r="N96" s="24"/>
      <c r="O96" s="24"/>
      <c r="P96" s="24"/>
      <c r="Q96" s="24"/>
      <c r="R96" s="24"/>
    </row>
    <row r="97" spans="1:1" ht="30" customHeight="1" x14ac:dyDescent="0.25">
      <c r="A97" s="27" t="s">
        <v>171</v>
      </c>
    </row>
  </sheetData>
  <mergeCells count="22">
    <mergeCell ref="A95:R95"/>
    <mergeCell ref="A96:R96"/>
    <mergeCell ref="A90:R90"/>
    <mergeCell ref="A91:R91"/>
    <mergeCell ref="A92:R92"/>
    <mergeCell ref="A93:R93"/>
    <mergeCell ref="A94:R94"/>
    <mergeCell ref="A85:R85"/>
    <mergeCell ref="A86:R86"/>
    <mergeCell ref="A87:R87"/>
    <mergeCell ref="A88:R88"/>
    <mergeCell ref="A89:R89"/>
    <mergeCell ref="O4:P4"/>
    <mergeCell ref="Q4:R4"/>
    <mergeCell ref="A1:R1"/>
    <mergeCell ref="A2:R2"/>
    <mergeCell ref="A84:R84"/>
    <mergeCell ref="E4:F4"/>
    <mergeCell ref="G4:H4"/>
    <mergeCell ref="I4:J4"/>
    <mergeCell ref="K4:L4"/>
    <mergeCell ref="M4:N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tabSelected="1"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18" x14ac:dyDescent="0.25">
      <c r="A1" s="23" t="s">
        <v>33</v>
      </c>
      <c r="B1" s="24"/>
      <c r="C1" s="24"/>
      <c r="D1" s="24"/>
      <c r="E1" s="24"/>
      <c r="F1" s="24"/>
      <c r="G1" s="24"/>
      <c r="H1" s="24"/>
      <c r="I1" s="24"/>
      <c r="J1" s="24"/>
      <c r="K1" s="24"/>
      <c r="L1" s="24"/>
      <c r="M1" s="24"/>
      <c r="N1" s="24"/>
      <c r="O1" s="24"/>
      <c r="P1" s="24"/>
      <c r="Q1" s="24"/>
      <c r="R1" s="24"/>
    </row>
    <row r="2" spans="1:18" x14ac:dyDescent="0.25">
      <c r="A2" s="25" t="s">
        <v>156</v>
      </c>
      <c r="B2" s="24"/>
      <c r="C2" s="24"/>
      <c r="D2" s="24"/>
      <c r="E2" s="24"/>
      <c r="F2" s="24"/>
      <c r="G2" s="24"/>
      <c r="H2" s="24"/>
      <c r="I2" s="24"/>
      <c r="J2" s="24"/>
      <c r="K2" s="24"/>
      <c r="L2" s="24"/>
      <c r="M2" s="24"/>
      <c r="N2" s="24"/>
      <c r="O2" s="24"/>
      <c r="P2" s="24"/>
      <c r="Q2" s="24"/>
      <c r="R2" s="24"/>
    </row>
    <row r="4" spans="1:18" ht="30" customHeight="1" x14ac:dyDescent="0.25">
      <c r="A4" s="4"/>
      <c r="B4" s="5" t="s">
        <v>35</v>
      </c>
      <c r="C4" s="5" t="s">
        <v>36</v>
      </c>
      <c r="D4" s="6" t="s">
        <v>35</v>
      </c>
      <c r="E4" s="21" t="s">
        <v>37</v>
      </c>
      <c r="F4" s="22"/>
      <c r="G4" s="21" t="s">
        <v>38</v>
      </c>
      <c r="H4" s="22"/>
      <c r="I4" s="21" t="s">
        <v>39</v>
      </c>
      <c r="J4" s="22"/>
      <c r="K4" s="21" t="s">
        <v>40</v>
      </c>
      <c r="L4" s="22"/>
      <c r="M4" s="21" t="s">
        <v>41</v>
      </c>
      <c r="N4" s="22"/>
      <c r="O4" s="21" t="s">
        <v>42</v>
      </c>
      <c r="P4" s="22"/>
      <c r="Q4" s="21" t="s">
        <v>43</v>
      </c>
      <c r="R4" s="22"/>
    </row>
    <row r="5" spans="1:18"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row>
    <row r="6" spans="1:18" x14ac:dyDescent="0.25">
      <c r="A6" s="9" t="s">
        <v>49</v>
      </c>
      <c r="B6" s="10"/>
      <c r="C6" s="10"/>
      <c r="D6" s="11"/>
      <c r="E6" s="10"/>
      <c r="F6" s="11"/>
      <c r="G6" s="10"/>
      <c r="H6" s="11"/>
      <c r="I6" s="10"/>
      <c r="J6" s="11"/>
      <c r="K6" s="10"/>
      <c r="L6" s="11"/>
      <c r="M6" s="10"/>
      <c r="N6" s="11"/>
      <c r="O6" s="10"/>
      <c r="P6" s="11"/>
      <c r="Q6" s="10"/>
      <c r="R6" s="12"/>
    </row>
    <row r="7" spans="1:18" x14ac:dyDescent="0.25">
      <c r="A7" s="11" t="s">
        <v>50</v>
      </c>
      <c r="B7" s="13">
        <v>14530</v>
      </c>
      <c r="C7" s="14">
        <f>(4542/B7*100)</f>
        <v>31.259463179628355</v>
      </c>
      <c r="D7" s="15">
        <v>9988</v>
      </c>
      <c r="E7" s="14">
        <v>20.3344007</v>
      </c>
      <c r="F7" s="16">
        <v>0.41009992000000001</v>
      </c>
      <c r="G7" s="14">
        <v>79.665599299999997</v>
      </c>
      <c r="H7" s="16">
        <v>0.41009992000000001</v>
      </c>
      <c r="I7" s="14">
        <v>0</v>
      </c>
      <c r="J7" s="16">
        <v>0</v>
      </c>
      <c r="K7" s="14" t="s">
        <v>51</v>
      </c>
      <c r="L7" s="16" t="s">
        <v>51</v>
      </c>
      <c r="M7" s="14">
        <v>0</v>
      </c>
      <c r="N7" s="16">
        <v>0</v>
      </c>
      <c r="O7" s="14">
        <v>0</v>
      </c>
      <c r="P7" s="16">
        <v>0</v>
      </c>
      <c r="Q7" s="14">
        <v>0</v>
      </c>
      <c r="R7" s="16">
        <v>0</v>
      </c>
    </row>
    <row r="8" spans="1:18"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row>
    <row r="9" spans="1:18" x14ac:dyDescent="0.25">
      <c r="A9" s="11" t="s">
        <v>172</v>
      </c>
      <c r="B9" s="13">
        <v>5675</v>
      </c>
      <c r="C9" s="14">
        <f>(423/B9*100)</f>
        <v>7.4537444933920698</v>
      </c>
      <c r="D9" s="15">
        <v>5252</v>
      </c>
      <c r="E9" s="14">
        <v>2.7143196700000001</v>
      </c>
      <c r="F9" s="16">
        <v>0.2127365</v>
      </c>
      <c r="G9" s="14">
        <v>16.096881369999998</v>
      </c>
      <c r="H9" s="16">
        <v>0.51188763000000004</v>
      </c>
      <c r="I9" s="14">
        <v>0</v>
      </c>
      <c r="J9" s="16">
        <v>0</v>
      </c>
      <c r="K9" s="14" t="s">
        <v>51</v>
      </c>
      <c r="L9" s="16" t="s">
        <v>51</v>
      </c>
      <c r="M9" s="14">
        <v>81.18879896</v>
      </c>
      <c r="N9" s="16">
        <v>0.55879847000000005</v>
      </c>
      <c r="O9" s="14">
        <v>0</v>
      </c>
      <c r="P9" s="16">
        <v>0</v>
      </c>
      <c r="Q9" s="14">
        <v>0</v>
      </c>
      <c r="R9" s="16">
        <v>0</v>
      </c>
    </row>
    <row r="10" spans="1:18" x14ac:dyDescent="0.25">
      <c r="A10" s="11" t="s">
        <v>173</v>
      </c>
      <c r="B10" s="13">
        <v>13082</v>
      </c>
      <c r="C10" s="14">
        <f>(490/B10*100)</f>
        <v>3.7456046476073994</v>
      </c>
      <c r="D10" s="15">
        <v>12592</v>
      </c>
      <c r="E10" s="14">
        <v>4.04682487</v>
      </c>
      <c r="F10" s="16">
        <v>0.20646569000000001</v>
      </c>
      <c r="G10" s="14">
        <v>19.435571450000001</v>
      </c>
      <c r="H10" s="16">
        <v>0.37115093999999998</v>
      </c>
      <c r="I10" s="14">
        <v>0</v>
      </c>
      <c r="J10" s="16">
        <v>0</v>
      </c>
      <c r="K10" s="14" t="s">
        <v>51</v>
      </c>
      <c r="L10" s="16" t="s">
        <v>51</v>
      </c>
      <c r="M10" s="14">
        <v>76.51760367</v>
      </c>
      <c r="N10" s="16">
        <v>0.37340051000000002</v>
      </c>
      <c r="O10" s="14">
        <v>0</v>
      </c>
      <c r="P10" s="16">
        <v>0</v>
      </c>
      <c r="Q10" s="14">
        <v>0</v>
      </c>
      <c r="R10" s="16">
        <v>0</v>
      </c>
    </row>
    <row r="11" spans="1:18" x14ac:dyDescent="0.25">
      <c r="A11" s="11" t="s">
        <v>54</v>
      </c>
      <c r="B11" s="13">
        <v>7053</v>
      </c>
      <c r="C11" s="14">
        <f>(365/B11*100)</f>
        <v>5.1751027931376719</v>
      </c>
      <c r="D11" s="15">
        <v>6688</v>
      </c>
      <c r="E11" s="14">
        <v>3.7943072199999999</v>
      </c>
      <c r="F11" s="16">
        <v>0.24588181000000001</v>
      </c>
      <c r="G11" s="14">
        <v>17.513364039999999</v>
      </c>
      <c r="H11" s="16">
        <v>0.40018178999999998</v>
      </c>
      <c r="I11" s="14">
        <v>0</v>
      </c>
      <c r="J11" s="16">
        <v>0</v>
      </c>
      <c r="K11" s="14" t="s">
        <v>51</v>
      </c>
      <c r="L11" s="16" t="s">
        <v>51</v>
      </c>
      <c r="M11" s="14">
        <v>78.692328739999994</v>
      </c>
      <c r="N11" s="16">
        <v>0.40665195999999998</v>
      </c>
      <c r="O11" s="14">
        <v>0</v>
      </c>
      <c r="P11" s="16">
        <v>0</v>
      </c>
      <c r="Q11" s="14">
        <v>0</v>
      </c>
      <c r="R11" s="16">
        <v>0</v>
      </c>
    </row>
    <row r="12" spans="1:18"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row>
    <row r="13" spans="1:18"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row>
    <row r="14" spans="1:18"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row>
    <row r="15" spans="1:18"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row>
    <row r="16" spans="1:18"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row>
    <row r="17" spans="1:18"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row>
    <row r="18" spans="1:18"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row>
    <row r="19" spans="1:18"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row>
    <row r="20" spans="1:18"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row>
    <row r="21" spans="1:18"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row>
    <row r="22" spans="1:18"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row>
    <row r="23" spans="1:18" x14ac:dyDescent="0.25">
      <c r="A23" s="11" t="s">
        <v>66</v>
      </c>
      <c r="B23" s="13">
        <v>11583</v>
      </c>
      <c r="C23" s="14">
        <f>(791/B23*100)</f>
        <v>6.8289734956401631</v>
      </c>
      <c r="D23" s="15">
        <v>10792</v>
      </c>
      <c r="E23" s="14">
        <v>3.3771900800000001</v>
      </c>
      <c r="F23" s="16">
        <v>0.25287622999999998</v>
      </c>
      <c r="G23" s="14">
        <v>17.686559020000001</v>
      </c>
      <c r="H23" s="16">
        <v>0.39431096999999998</v>
      </c>
      <c r="I23" s="14">
        <v>0</v>
      </c>
      <c r="J23" s="16">
        <v>0</v>
      </c>
      <c r="K23" s="14" t="s">
        <v>51</v>
      </c>
      <c r="L23" s="16" t="s">
        <v>51</v>
      </c>
      <c r="M23" s="14">
        <v>78.936250900000005</v>
      </c>
      <c r="N23" s="16">
        <v>0.3532245</v>
      </c>
      <c r="O23" s="14">
        <v>0</v>
      </c>
      <c r="P23" s="16">
        <v>0</v>
      </c>
      <c r="Q23" s="14">
        <v>0</v>
      </c>
      <c r="R23" s="16">
        <v>0</v>
      </c>
    </row>
    <row r="24" spans="1:18"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row>
    <row r="25" spans="1:18"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row>
    <row r="26" spans="1:18"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row>
    <row r="27" spans="1:18"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row>
    <row r="28" spans="1:18"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row>
    <row r="29" spans="1:18" x14ac:dyDescent="0.25">
      <c r="A29" s="11" t="s">
        <v>72</v>
      </c>
      <c r="B29" s="13">
        <v>5385</v>
      </c>
      <c r="C29" s="14">
        <f>(106/B29*100)</f>
        <v>1.9684308263695451</v>
      </c>
      <c r="D29" s="15">
        <v>5279</v>
      </c>
      <c r="E29" s="14">
        <v>3.5851350100000001</v>
      </c>
      <c r="F29" s="16">
        <v>0.24114031999999999</v>
      </c>
      <c r="G29" s="14">
        <v>20.336478110000002</v>
      </c>
      <c r="H29" s="16">
        <v>0.35178573000000002</v>
      </c>
      <c r="I29" s="14">
        <v>0</v>
      </c>
      <c r="J29" s="16">
        <v>0</v>
      </c>
      <c r="K29" s="14" t="s">
        <v>51</v>
      </c>
      <c r="L29" s="16" t="s">
        <v>51</v>
      </c>
      <c r="M29" s="14">
        <v>76.078386879999996</v>
      </c>
      <c r="N29" s="16">
        <v>0.30714311</v>
      </c>
      <c r="O29" s="14">
        <v>0</v>
      </c>
      <c r="P29" s="16">
        <v>0</v>
      </c>
      <c r="Q29" s="14">
        <v>0</v>
      </c>
      <c r="R29" s="16">
        <v>0</v>
      </c>
    </row>
    <row r="30" spans="1:18"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row>
    <row r="31" spans="1:18"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row>
    <row r="32" spans="1:18" x14ac:dyDescent="0.25">
      <c r="A32" s="11" t="s">
        <v>75</v>
      </c>
      <c r="B32" s="13">
        <v>4478</v>
      </c>
      <c r="C32" s="14">
        <f>(251/B32*100)</f>
        <v>5.6051808843233593</v>
      </c>
      <c r="D32" s="15">
        <v>4227</v>
      </c>
      <c r="E32" s="14">
        <v>8.2103358100000001</v>
      </c>
      <c r="F32" s="16">
        <v>0.42315265000000002</v>
      </c>
      <c r="G32" s="14">
        <v>27.057984860000001</v>
      </c>
      <c r="H32" s="16">
        <v>0.48958441000000003</v>
      </c>
      <c r="I32" s="14">
        <v>0</v>
      </c>
      <c r="J32" s="16">
        <v>0</v>
      </c>
      <c r="K32" s="14" t="s">
        <v>51</v>
      </c>
      <c r="L32" s="16" t="s">
        <v>51</v>
      </c>
      <c r="M32" s="14">
        <v>64.731679330000006</v>
      </c>
      <c r="N32" s="16">
        <v>0.38358554</v>
      </c>
      <c r="O32" s="14">
        <v>0</v>
      </c>
      <c r="P32" s="16">
        <v>0</v>
      </c>
      <c r="Q32" s="14">
        <v>0</v>
      </c>
      <c r="R32" s="16">
        <v>0</v>
      </c>
    </row>
    <row r="33" spans="1:18"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row>
    <row r="34" spans="1:18" x14ac:dyDescent="0.25">
      <c r="A34" s="11" t="s">
        <v>77</v>
      </c>
      <c r="B34" s="13">
        <v>6350</v>
      </c>
      <c r="C34" s="14">
        <f>(407/B34*100)</f>
        <v>6.409448818897638</v>
      </c>
      <c r="D34" s="15">
        <v>5943</v>
      </c>
      <c r="E34" s="14">
        <v>4.54525968</v>
      </c>
      <c r="F34" s="16">
        <v>0.22797031000000001</v>
      </c>
      <c r="G34" s="14">
        <v>15.8073268</v>
      </c>
      <c r="H34" s="16">
        <v>0.41747995999999998</v>
      </c>
      <c r="I34" s="14">
        <v>0</v>
      </c>
      <c r="J34" s="16">
        <v>0</v>
      </c>
      <c r="K34" s="14" t="s">
        <v>51</v>
      </c>
      <c r="L34" s="16" t="s">
        <v>51</v>
      </c>
      <c r="M34" s="14">
        <v>79.647413520000001</v>
      </c>
      <c r="N34" s="16">
        <v>0.41675404999999999</v>
      </c>
      <c r="O34" s="14">
        <v>0</v>
      </c>
      <c r="P34" s="16">
        <v>0</v>
      </c>
      <c r="Q34" s="14">
        <v>0</v>
      </c>
      <c r="R34" s="16">
        <v>0</v>
      </c>
    </row>
    <row r="35" spans="1:18"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row>
    <row r="36" spans="1:18" x14ac:dyDescent="0.25">
      <c r="A36" s="11" t="s">
        <v>79</v>
      </c>
      <c r="B36" s="13">
        <v>6736</v>
      </c>
      <c r="C36" s="14">
        <f>(324/B36*100)</f>
        <v>4.8099762470308791</v>
      </c>
      <c r="D36" s="15">
        <v>6412</v>
      </c>
      <c r="E36" s="14">
        <v>3.6817506199999999</v>
      </c>
      <c r="F36" s="16">
        <v>0.24581444999999999</v>
      </c>
      <c r="G36" s="14">
        <v>18.613805159999998</v>
      </c>
      <c r="H36" s="16">
        <v>0.38172496</v>
      </c>
      <c r="I36" s="14">
        <v>0</v>
      </c>
      <c r="J36" s="16">
        <v>0</v>
      </c>
      <c r="K36" s="14" t="s">
        <v>51</v>
      </c>
      <c r="L36" s="16" t="s">
        <v>51</v>
      </c>
      <c r="M36" s="14">
        <v>77.704444219999999</v>
      </c>
      <c r="N36" s="16">
        <v>0.30995615999999998</v>
      </c>
      <c r="O36" s="14">
        <v>0</v>
      </c>
      <c r="P36" s="16">
        <v>0</v>
      </c>
      <c r="Q36" s="14">
        <v>0</v>
      </c>
      <c r="R36" s="16">
        <v>0</v>
      </c>
    </row>
    <row r="37" spans="1:18"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row>
    <row r="38" spans="1:18"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row>
    <row r="39" spans="1:18"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row>
    <row r="40" spans="1:18"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row>
    <row r="41" spans="1:18" x14ac:dyDescent="0.25">
      <c r="A41" s="11" t="s">
        <v>84</v>
      </c>
      <c r="B41" s="13">
        <v>5712</v>
      </c>
      <c r="C41" s="14">
        <f>(240/B41*100)</f>
        <v>4.2016806722689077</v>
      </c>
      <c r="D41" s="15">
        <v>5472</v>
      </c>
      <c r="E41" s="14">
        <v>4.49697937</v>
      </c>
      <c r="F41" s="16">
        <v>0.27728567999999998</v>
      </c>
      <c r="G41" s="14">
        <v>18.346822769999999</v>
      </c>
      <c r="H41" s="16">
        <v>0.36502173999999998</v>
      </c>
      <c r="I41" s="14">
        <v>0</v>
      </c>
      <c r="J41" s="16">
        <v>0</v>
      </c>
      <c r="K41" s="14" t="s">
        <v>51</v>
      </c>
      <c r="L41" s="16" t="s">
        <v>51</v>
      </c>
      <c r="M41" s="14">
        <v>77.156197860000006</v>
      </c>
      <c r="N41" s="16">
        <v>0.37239338999999999</v>
      </c>
      <c r="O41" s="14">
        <v>0</v>
      </c>
      <c r="P41" s="16">
        <v>0</v>
      </c>
      <c r="Q41" s="14">
        <v>0</v>
      </c>
      <c r="R41" s="16">
        <v>0</v>
      </c>
    </row>
    <row r="42" spans="1:18" x14ac:dyDescent="0.25">
      <c r="A42" s="11" t="s">
        <v>85</v>
      </c>
      <c r="B42" s="13">
        <f>IF(COUNT(B7:B41) &gt; 0, AVERAGE(B7:B41), "\u2014")</f>
        <v>8058.4</v>
      </c>
      <c r="C42" s="14">
        <f>IF(COUNT(C7:C41) &gt; 0, AVERAGE(C7:C41), "—")</f>
        <v>7.7457606058295996</v>
      </c>
      <c r="D42" s="15">
        <f>IF(COUNT(D7:D41) &gt; 0, AVERAGE(D7:D41), "—")</f>
        <v>7264.5</v>
      </c>
      <c r="E42" s="14">
        <f>IF(COUNT(E7:E41) &gt; 0, AVERAGE(E7:E41), "—")</f>
        <v>5.8786503029999997</v>
      </c>
      <c r="F42" s="16">
        <f>IF(COUNT(F7:F41) &gt; 0, SQRT(SUMSQ(F7:F41)/(COUNT(F7:F41)*COUNT(F7:F41)) ), "—")</f>
        <v>8.983097849218874E-2</v>
      </c>
      <c r="G42" s="14">
        <f>IF(COUNT(G7:G41) &gt; 0, AVERAGE(G7:G41), "—")</f>
        <v>25.056039288000001</v>
      </c>
      <c r="H42" s="16">
        <f>IF(COUNT(H7:H41) &gt; 0, SQRT(SUMSQ(H7:H41)/(COUNT(H7:H41)*COUNT(H7:H41)) ), "—")</f>
        <v>0.13039482135467512</v>
      </c>
      <c r="I42" s="14">
        <f>IF(COUNT(I7:I41) &gt; 0, AVERAGE(I7:I41), "—")</f>
        <v>0</v>
      </c>
      <c r="J42" s="16">
        <f>IF(COUNT(J7:J41) &gt; 0, SQRT(SUMSQ(J7:J41)/(COUNT(J7:J41)*COUNT(J7:J41)) ), "—")</f>
        <v>0</v>
      </c>
      <c r="K42" s="14" t="str">
        <f>IF(COUNT(K7:K41) &gt; 0, AVERAGE(K7:K41), "—")</f>
        <v>—</v>
      </c>
      <c r="L42" s="16" t="str">
        <f>IF(COUNT(L7:L41) &gt; 0, SQRT(SUMSQ(L7:L41)/(COUNT(L7:L41)*COUNT(L7:L41)) ), "—")</f>
        <v>—</v>
      </c>
      <c r="M42" s="14">
        <f>IF(COUNT(M7:M41) &gt; 0, AVERAGE(M7:M41), "—")</f>
        <v>69.065310408000002</v>
      </c>
      <c r="N42" s="16">
        <f>IF(COUNT(N7:N41) &gt; 0, SQRT(SUMSQ(N7:N41)/(COUNT(N7:N41)*COUNT(N7:N41)) ), "—")</f>
        <v>0.11797141126820922</v>
      </c>
      <c r="O42" s="14">
        <f>IF(COUNT(O7:O41) &gt; 0, AVERAGE(O7:O41), "—")</f>
        <v>0</v>
      </c>
      <c r="P42" s="16">
        <f>IF(COUNT(P7:P41) &gt; 0, SQRT(SUMSQ(P7:P41)/(COUNT(P7:P41)*COUNT(P7:P41)) ), "—")</f>
        <v>0</v>
      </c>
      <c r="Q42" s="14">
        <f>IF(COUNT(Q7:Q41) &gt; 0, AVERAGE(Q7:Q41), "—")</f>
        <v>0</v>
      </c>
      <c r="R42" s="16">
        <f>IF(COUNT(R7:R41) &gt; 0, SQRT(SUMSQ(R7:R41)/(COUNT(R7:R41)*COUNT(R7:R41)) ), "—")</f>
        <v>0</v>
      </c>
    </row>
    <row r="43" spans="1:18" x14ac:dyDescent="0.25">
      <c r="A43" s="9" t="s">
        <v>86</v>
      </c>
      <c r="B43" s="10"/>
      <c r="C43" s="10"/>
      <c r="D43" s="11"/>
      <c r="E43" s="10"/>
      <c r="F43" s="11"/>
      <c r="G43" s="10"/>
      <c r="H43" s="11"/>
      <c r="I43" s="10"/>
      <c r="J43" s="11"/>
      <c r="K43" s="10"/>
      <c r="L43" s="11"/>
      <c r="M43" s="10"/>
      <c r="N43" s="11"/>
      <c r="O43" s="10"/>
      <c r="P43" s="11"/>
      <c r="Q43" s="10"/>
      <c r="R43" s="12"/>
    </row>
    <row r="44" spans="1:18"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row>
    <row r="45" spans="1:18"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row>
    <row r="46" spans="1:18" x14ac:dyDescent="0.25">
      <c r="A46" s="11" t="s">
        <v>89</v>
      </c>
      <c r="B46" s="13">
        <v>23141</v>
      </c>
      <c r="C46" s="14">
        <f>(4279/B46*100)</f>
        <v>18.490990017717472</v>
      </c>
      <c r="D46" s="15">
        <v>18862</v>
      </c>
      <c r="E46" s="14">
        <v>2.80120784</v>
      </c>
      <c r="F46" s="16">
        <v>0.18408511</v>
      </c>
      <c r="G46" s="14">
        <v>7.7194440200000001</v>
      </c>
      <c r="H46" s="16">
        <v>0.28986816999999998</v>
      </c>
      <c r="I46" s="14">
        <v>0</v>
      </c>
      <c r="J46" s="16">
        <v>0</v>
      </c>
      <c r="K46" s="14" t="s">
        <v>51</v>
      </c>
      <c r="L46" s="16" t="s">
        <v>51</v>
      </c>
      <c r="M46" s="14">
        <v>89.479348150000007</v>
      </c>
      <c r="N46" s="16">
        <v>0.36121695999999998</v>
      </c>
      <c r="O46" s="14">
        <v>0</v>
      </c>
      <c r="P46" s="16">
        <v>0</v>
      </c>
      <c r="Q46" s="14">
        <v>0</v>
      </c>
      <c r="R46" s="16">
        <v>0</v>
      </c>
    </row>
    <row r="47" spans="1:18"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row>
    <row r="48" spans="1:18" x14ac:dyDescent="0.25">
      <c r="A48" s="11" t="s">
        <v>91</v>
      </c>
      <c r="B48" s="13">
        <v>9841</v>
      </c>
      <c r="C48" s="14">
        <f>(255/B48*100)</f>
        <v>2.5912000812925515</v>
      </c>
      <c r="D48" s="15">
        <v>9586</v>
      </c>
      <c r="E48" s="14">
        <v>3.2027105200000001</v>
      </c>
      <c r="F48" s="16">
        <v>0.21968793</v>
      </c>
      <c r="G48" s="14">
        <v>20.24890151</v>
      </c>
      <c r="H48" s="16">
        <v>0.39681617000000002</v>
      </c>
      <c r="I48" s="14">
        <v>0</v>
      </c>
      <c r="J48" s="16">
        <v>0</v>
      </c>
      <c r="K48" s="14" t="s">
        <v>51</v>
      </c>
      <c r="L48" s="16" t="s">
        <v>51</v>
      </c>
      <c r="M48" s="14">
        <v>76.548387969999993</v>
      </c>
      <c r="N48" s="16">
        <v>0.34124018</v>
      </c>
      <c r="O48" s="14">
        <v>0</v>
      </c>
      <c r="P48" s="16">
        <v>0</v>
      </c>
      <c r="Q48" s="14">
        <v>0</v>
      </c>
      <c r="R48" s="16">
        <v>0</v>
      </c>
    </row>
    <row r="49" spans="1:18"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row>
    <row r="50" spans="1:18"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row>
    <row r="51" spans="1:18"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row>
    <row r="52" spans="1:18"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row>
    <row r="53" spans="1:18"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row>
    <row r="54" spans="1:18"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row>
    <row r="55" spans="1:18"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row>
    <row r="56" spans="1:18"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row>
    <row r="57" spans="1:18"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row>
    <row r="58" spans="1:18"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row>
    <row r="59" spans="1:18"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row>
    <row r="60" spans="1:18"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row>
    <row r="61" spans="1:18" x14ac:dyDescent="0.25">
      <c r="A61" s="11" t="s">
        <v>104</v>
      </c>
      <c r="B61" s="13">
        <v>6525</v>
      </c>
      <c r="C61" s="14">
        <f>(255/B61*100)</f>
        <v>3.9080459770114944</v>
      </c>
      <c r="D61" s="15">
        <v>6270</v>
      </c>
      <c r="E61" s="14">
        <v>6.99898372</v>
      </c>
      <c r="F61" s="16">
        <v>0.33956945999999999</v>
      </c>
      <c r="G61" s="14">
        <v>16.68020594</v>
      </c>
      <c r="H61" s="16">
        <v>0.40552359999999998</v>
      </c>
      <c r="I61" s="14">
        <v>0</v>
      </c>
      <c r="J61" s="16">
        <v>0</v>
      </c>
      <c r="K61" s="14" t="s">
        <v>51</v>
      </c>
      <c r="L61" s="16" t="s">
        <v>51</v>
      </c>
      <c r="M61" s="14">
        <v>76.320810339999994</v>
      </c>
      <c r="N61" s="16">
        <v>0.39784886000000003</v>
      </c>
      <c r="O61" s="14">
        <v>0</v>
      </c>
      <c r="P61" s="16">
        <v>0</v>
      </c>
      <c r="Q61" s="14">
        <v>0</v>
      </c>
      <c r="R61" s="16">
        <v>0</v>
      </c>
    </row>
    <row r="62" spans="1:18"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row>
    <row r="63" spans="1:18"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row>
    <row r="64" spans="1:18"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row>
    <row r="65" spans="1:18"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row>
    <row r="66" spans="1:18"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row>
    <row r="67" spans="1:18" x14ac:dyDescent="0.25">
      <c r="A67" s="11" t="s">
        <v>110</v>
      </c>
      <c r="B67" s="13">
        <v>6971</v>
      </c>
      <c r="C67" s="14">
        <f>(883/B67*100)</f>
        <v>12.666762300961123</v>
      </c>
      <c r="D67" s="15">
        <v>6088</v>
      </c>
      <c r="E67" s="14">
        <v>7.8276196100000002</v>
      </c>
      <c r="F67" s="16">
        <v>0.39524552000000002</v>
      </c>
      <c r="G67" s="14">
        <v>7.3805747799999999</v>
      </c>
      <c r="H67" s="16">
        <v>0.39149982</v>
      </c>
      <c r="I67" s="14">
        <v>0</v>
      </c>
      <c r="J67" s="16">
        <v>0</v>
      </c>
      <c r="K67" s="14" t="s">
        <v>51</v>
      </c>
      <c r="L67" s="16" t="s">
        <v>51</v>
      </c>
      <c r="M67" s="14">
        <v>84.791805609999997</v>
      </c>
      <c r="N67" s="16">
        <v>0.55463741</v>
      </c>
      <c r="O67" s="14">
        <v>0</v>
      </c>
      <c r="P67" s="16">
        <v>0</v>
      </c>
      <c r="Q67" s="14">
        <v>0</v>
      </c>
      <c r="R67" s="16">
        <v>0</v>
      </c>
    </row>
    <row r="68" spans="1:18"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row>
    <row r="69" spans="1:18"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row>
    <row r="70" spans="1:18" x14ac:dyDescent="0.25">
      <c r="A70" s="11" t="s">
        <v>113</v>
      </c>
      <c r="B70" s="13">
        <v>6036</v>
      </c>
      <c r="C70" s="14">
        <f>(467/B70*100)</f>
        <v>7.7369118621603716</v>
      </c>
      <c r="D70" s="15">
        <v>5569</v>
      </c>
      <c r="E70" s="14">
        <v>3.4131304899999999</v>
      </c>
      <c r="F70" s="16">
        <v>0.25848347999999999</v>
      </c>
      <c r="G70" s="14">
        <v>15.97118045</v>
      </c>
      <c r="H70" s="16">
        <v>0.52272141000000005</v>
      </c>
      <c r="I70" s="14">
        <v>0</v>
      </c>
      <c r="J70" s="16">
        <v>0</v>
      </c>
      <c r="K70" s="14" t="s">
        <v>51</v>
      </c>
      <c r="L70" s="16" t="s">
        <v>51</v>
      </c>
      <c r="M70" s="14">
        <v>80.615689059999994</v>
      </c>
      <c r="N70" s="16">
        <v>0.58849669000000004</v>
      </c>
      <c r="O70" s="14">
        <v>0</v>
      </c>
      <c r="P70" s="16">
        <v>0</v>
      </c>
      <c r="Q70" s="14">
        <v>0</v>
      </c>
      <c r="R70" s="16">
        <v>0</v>
      </c>
    </row>
    <row r="71" spans="1:18"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row>
    <row r="72" spans="1:18"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row>
    <row r="73" spans="1:18"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row>
    <row r="74" spans="1:18"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row>
    <row r="75" spans="1:18"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row>
    <row r="76" spans="1:18"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row>
    <row r="77" spans="1:18"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row>
    <row r="78" spans="1:18"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row>
    <row r="79" spans="1:18"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row>
    <row r="80" spans="1:18"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row>
    <row r="81" spans="1:18"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row>
    <row r="82" spans="1:18"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row>
    <row r="83" spans="1:18" x14ac:dyDescent="0.25">
      <c r="A83" s="3" t="s">
        <v>126</v>
      </c>
    </row>
    <row r="84" spans="1:18" x14ac:dyDescent="0.25">
      <c r="A84" s="26" t="s">
        <v>127</v>
      </c>
      <c r="B84" s="24"/>
      <c r="C84" s="24"/>
      <c r="D84" s="24"/>
      <c r="E84" s="24"/>
      <c r="F84" s="24"/>
      <c r="G84" s="24"/>
      <c r="H84" s="24"/>
      <c r="I84" s="24"/>
      <c r="J84" s="24"/>
      <c r="K84" s="24"/>
      <c r="L84" s="24"/>
      <c r="M84" s="24"/>
      <c r="N84" s="24"/>
      <c r="O84" s="24"/>
      <c r="P84" s="24"/>
      <c r="Q84" s="24"/>
      <c r="R84" s="24"/>
    </row>
    <row r="85" spans="1:18" x14ac:dyDescent="0.25">
      <c r="A85" s="26" t="s">
        <v>128</v>
      </c>
      <c r="B85" s="24"/>
      <c r="C85" s="24"/>
      <c r="D85" s="24"/>
      <c r="E85" s="24"/>
      <c r="F85" s="24"/>
      <c r="G85" s="24"/>
      <c r="H85" s="24"/>
      <c r="I85" s="24"/>
      <c r="J85" s="24"/>
      <c r="K85" s="24"/>
      <c r="L85" s="24"/>
      <c r="M85" s="24"/>
      <c r="N85" s="24"/>
      <c r="O85" s="24"/>
      <c r="P85" s="24"/>
      <c r="Q85" s="24"/>
      <c r="R85" s="24"/>
    </row>
    <row r="86" spans="1:18" ht="30" customHeight="1" x14ac:dyDescent="0.25">
      <c r="A86" s="26" t="s">
        <v>129</v>
      </c>
      <c r="B86" s="24"/>
      <c r="C86" s="24"/>
      <c r="D86" s="24"/>
      <c r="E86" s="24"/>
      <c r="F86" s="24"/>
      <c r="G86" s="24"/>
      <c r="H86" s="24"/>
      <c r="I86" s="24"/>
      <c r="J86" s="24"/>
      <c r="K86" s="24"/>
      <c r="L86" s="24"/>
      <c r="M86" s="24"/>
      <c r="N86" s="24"/>
      <c r="O86" s="24"/>
      <c r="P86" s="24"/>
      <c r="Q86" s="24"/>
      <c r="R86" s="24"/>
    </row>
    <row r="87" spans="1:18" ht="30" customHeight="1" x14ac:dyDescent="0.25">
      <c r="A87" s="26" t="s">
        <v>125</v>
      </c>
      <c r="B87" s="24"/>
      <c r="C87" s="24"/>
      <c r="D87" s="24"/>
      <c r="E87" s="24"/>
      <c r="F87" s="24"/>
      <c r="G87" s="24"/>
      <c r="H87" s="24"/>
      <c r="I87" s="24"/>
      <c r="J87" s="24"/>
      <c r="K87" s="24"/>
      <c r="L87" s="24"/>
      <c r="M87" s="24"/>
      <c r="N87" s="24"/>
      <c r="O87" s="24"/>
      <c r="P87" s="24"/>
      <c r="Q87" s="24"/>
      <c r="R87" s="24"/>
    </row>
    <row r="88" spans="1:18" ht="30" customHeight="1" x14ac:dyDescent="0.25">
      <c r="A88" s="26" t="s">
        <v>130</v>
      </c>
      <c r="B88" s="24"/>
      <c r="C88" s="24"/>
      <c r="D88" s="24"/>
      <c r="E88" s="24"/>
      <c r="F88" s="24"/>
      <c r="G88" s="24"/>
      <c r="H88" s="24"/>
      <c r="I88" s="24"/>
      <c r="J88" s="24"/>
      <c r="K88" s="24"/>
      <c r="L88" s="24"/>
      <c r="M88" s="24"/>
      <c r="N88" s="24"/>
      <c r="O88" s="24"/>
      <c r="P88" s="24"/>
      <c r="Q88" s="24"/>
      <c r="R88" s="24"/>
    </row>
    <row r="89" spans="1:18" ht="30" customHeight="1" x14ac:dyDescent="0.25">
      <c r="A89" s="26" t="s">
        <v>131</v>
      </c>
      <c r="B89" s="24"/>
      <c r="C89" s="24"/>
      <c r="D89" s="24"/>
      <c r="E89" s="24"/>
      <c r="F89" s="24"/>
      <c r="G89" s="24"/>
      <c r="H89" s="24"/>
      <c r="I89" s="24"/>
      <c r="J89" s="24"/>
      <c r="K89" s="24"/>
      <c r="L89" s="24"/>
      <c r="M89" s="24"/>
      <c r="N89" s="24"/>
      <c r="O89" s="24"/>
      <c r="P89" s="24"/>
      <c r="Q89" s="24"/>
      <c r="R89" s="24"/>
    </row>
    <row r="90" spans="1:18" ht="30" customHeight="1" x14ac:dyDescent="0.25">
      <c r="A90" s="26" t="s">
        <v>132</v>
      </c>
      <c r="B90" s="24"/>
      <c r="C90" s="24"/>
      <c r="D90" s="24"/>
      <c r="E90" s="24"/>
      <c r="F90" s="24"/>
      <c r="G90" s="24"/>
      <c r="H90" s="24"/>
      <c r="I90" s="24"/>
      <c r="J90" s="24"/>
      <c r="K90" s="24"/>
      <c r="L90" s="24"/>
      <c r="M90" s="24"/>
      <c r="N90" s="24"/>
      <c r="O90" s="24"/>
      <c r="P90" s="24"/>
      <c r="Q90" s="24"/>
      <c r="R90" s="24"/>
    </row>
    <row r="91" spans="1:18" ht="30" customHeight="1" x14ac:dyDescent="0.25">
      <c r="A91" s="26" t="s">
        <v>133</v>
      </c>
      <c r="B91" s="24"/>
      <c r="C91" s="24"/>
      <c r="D91" s="24"/>
      <c r="E91" s="24"/>
      <c r="F91" s="24"/>
      <c r="G91" s="24"/>
      <c r="H91" s="24"/>
      <c r="I91" s="24"/>
      <c r="J91" s="24"/>
      <c r="K91" s="24"/>
      <c r="L91" s="24"/>
      <c r="M91" s="24"/>
      <c r="N91" s="24"/>
      <c r="O91" s="24"/>
      <c r="P91" s="24"/>
      <c r="Q91" s="24"/>
      <c r="R91" s="24"/>
    </row>
    <row r="92" spans="1:18" ht="30" customHeight="1" x14ac:dyDescent="0.25">
      <c r="A92" s="26" t="s">
        <v>134</v>
      </c>
      <c r="B92" s="24"/>
      <c r="C92" s="24"/>
      <c r="D92" s="24"/>
      <c r="E92" s="24"/>
      <c r="F92" s="24"/>
      <c r="G92" s="24"/>
      <c r="H92" s="24"/>
      <c r="I92" s="24"/>
      <c r="J92" s="24"/>
      <c r="K92" s="24"/>
      <c r="L92" s="24"/>
      <c r="M92" s="24"/>
      <c r="N92" s="24"/>
      <c r="O92" s="24"/>
      <c r="P92" s="24"/>
      <c r="Q92" s="24"/>
      <c r="R92" s="24"/>
    </row>
    <row r="93" spans="1:18" ht="30" customHeight="1" x14ac:dyDescent="0.25">
      <c r="A93" s="26" t="s">
        <v>135</v>
      </c>
      <c r="B93" s="24"/>
      <c r="C93" s="24"/>
      <c r="D93" s="24"/>
      <c r="E93" s="24"/>
      <c r="F93" s="24"/>
      <c r="G93" s="24"/>
      <c r="H93" s="24"/>
      <c r="I93" s="24"/>
      <c r="J93" s="24"/>
      <c r="K93" s="24"/>
      <c r="L93" s="24"/>
      <c r="M93" s="24"/>
      <c r="N93" s="24"/>
      <c r="O93" s="24"/>
      <c r="P93" s="24"/>
      <c r="Q93" s="24"/>
      <c r="R93" s="24"/>
    </row>
    <row r="94" spans="1:18" ht="30" customHeight="1" x14ac:dyDescent="0.25">
      <c r="A94" s="26" t="s">
        <v>136</v>
      </c>
      <c r="B94" s="24"/>
      <c r="C94" s="24"/>
      <c r="D94" s="24"/>
      <c r="E94" s="24"/>
      <c r="F94" s="24"/>
      <c r="G94" s="24"/>
      <c r="H94" s="24"/>
      <c r="I94" s="24"/>
      <c r="J94" s="24"/>
      <c r="K94" s="24"/>
      <c r="L94" s="24"/>
      <c r="M94" s="24"/>
      <c r="N94" s="24"/>
      <c r="O94" s="24"/>
      <c r="P94" s="24"/>
      <c r="Q94" s="24"/>
      <c r="R94" s="24"/>
    </row>
    <row r="95" spans="1:18" ht="30" customHeight="1" x14ac:dyDescent="0.25">
      <c r="A95" s="26" t="s">
        <v>137</v>
      </c>
      <c r="B95" s="24"/>
      <c r="C95" s="24"/>
      <c r="D95" s="24"/>
      <c r="E95" s="24"/>
      <c r="F95" s="24"/>
      <c r="G95" s="24"/>
      <c r="H95" s="24"/>
      <c r="I95" s="24"/>
      <c r="J95" s="24"/>
      <c r="K95" s="24"/>
      <c r="L95" s="24"/>
      <c r="M95" s="24"/>
      <c r="N95" s="24"/>
      <c r="O95" s="24"/>
      <c r="P95" s="24"/>
      <c r="Q95" s="24"/>
      <c r="R95" s="24"/>
    </row>
    <row r="96" spans="1:18" ht="30" customHeight="1" x14ac:dyDescent="0.25">
      <c r="A96" s="26" t="s">
        <v>138</v>
      </c>
      <c r="B96" s="24"/>
      <c r="C96" s="24"/>
      <c r="D96" s="24"/>
      <c r="E96" s="24"/>
      <c r="F96" s="24"/>
      <c r="G96" s="24"/>
      <c r="H96" s="24"/>
      <c r="I96" s="24"/>
      <c r="J96" s="24"/>
      <c r="K96" s="24"/>
      <c r="L96" s="24"/>
      <c r="M96" s="24"/>
      <c r="N96" s="24"/>
      <c r="O96" s="24"/>
      <c r="P96" s="24"/>
      <c r="Q96" s="24"/>
      <c r="R96" s="24"/>
    </row>
    <row r="97" spans="1:1" ht="30" customHeight="1" x14ac:dyDescent="0.25">
      <c r="A97" s="27" t="s">
        <v>171</v>
      </c>
    </row>
  </sheetData>
  <mergeCells count="22">
    <mergeCell ref="A95:R95"/>
    <mergeCell ref="A96:R96"/>
    <mergeCell ref="A90:R90"/>
    <mergeCell ref="A91:R91"/>
    <mergeCell ref="A92:R92"/>
    <mergeCell ref="A93:R93"/>
    <mergeCell ref="A94:R94"/>
    <mergeCell ref="A85:R85"/>
    <mergeCell ref="A86:R86"/>
    <mergeCell ref="A87:R87"/>
    <mergeCell ref="A88:R88"/>
    <mergeCell ref="A89:R89"/>
    <mergeCell ref="O4:P4"/>
    <mergeCell ref="Q4:R4"/>
    <mergeCell ref="A1:R1"/>
    <mergeCell ref="A2:R2"/>
    <mergeCell ref="A84:R84"/>
    <mergeCell ref="E4:F4"/>
    <mergeCell ref="G4:H4"/>
    <mergeCell ref="I4:J4"/>
    <mergeCell ref="K4:L4"/>
    <mergeCell ref="M4:N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tabSelected="1"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18" x14ac:dyDescent="0.25">
      <c r="A1" s="23" t="s">
        <v>33</v>
      </c>
      <c r="B1" s="24"/>
      <c r="C1" s="24"/>
      <c r="D1" s="24"/>
      <c r="E1" s="24"/>
      <c r="F1" s="24"/>
      <c r="G1" s="24"/>
      <c r="H1" s="24"/>
      <c r="I1" s="24"/>
      <c r="J1" s="24"/>
      <c r="K1" s="24"/>
      <c r="L1" s="24"/>
      <c r="M1" s="24"/>
      <c r="N1" s="24"/>
      <c r="O1" s="24"/>
      <c r="P1" s="24"/>
      <c r="Q1" s="24"/>
      <c r="R1" s="24"/>
    </row>
    <row r="2" spans="1:18" x14ac:dyDescent="0.25">
      <c r="A2" s="25" t="s">
        <v>157</v>
      </c>
      <c r="B2" s="24"/>
      <c r="C2" s="24"/>
      <c r="D2" s="24"/>
      <c r="E2" s="24"/>
      <c r="F2" s="24"/>
      <c r="G2" s="24"/>
      <c r="H2" s="24"/>
      <c r="I2" s="24"/>
      <c r="J2" s="24"/>
      <c r="K2" s="24"/>
      <c r="L2" s="24"/>
      <c r="M2" s="24"/>
      <c r="N2" s="24"/>
      <c r="O2" s="24"/>
      <c r="P2" s="24"/>
      <c r="Q2" s="24"/>
      <c r="R2" s="24"/>
    </row>
    <row r="4" spans="1:18" ht="30" customHeight="1" x14ac:dyDescent="0.25">
      <c r="A4" s="4"/>
      <c r="B4" s="5" t="s">
        <v>35</v>
      </c>
      <c r="C4" s="5" t="s">
        <v>36</v>
      </c>
      <c r="D4" s="6" t="s">
        <v>35</v>
      </c>
      <c r="E4" s="21" t="s">
        <v>37</v>
      </c>
      <c r="F4" s="22"/>
      <c r="G4" s="21" t="s">
        <v>38</v>
      </c>
      <c r="H4" s="22"/>
      <c r="I4" s="21" t="s">
        <v>39</v>
      </c>
      <c r="J4" s="22"/>
      <c r="K4" s="21" t="s">
        <v>40</v>
      </c>
      <c r="L4" s="22"/>
      <c r="M4" s="21" t="s">
        <v>41</v>
      </c>
      <c r="N4" s="22"/>
      <c r="O4" s="21" t="s">
        <v>42</v>
      </c>
      <c r="P4" s="22"/>
      <c r="Q4" s="21" t="s">
        <v>43</v>
      </c>
      <c r="R4" s="22"/>
    </row>
    <row r="5" spans="1:18"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row>
    <row r="6" spans="1:18" x14ac:dyDescent="0.25">
      <c r="A6" s="9" t="s">
        <v>49</v>
      </c>
      <c r="B6" s="10"/>
      <c r="C6" s="10"/>
      <c r="D6" s="11"/>
      <c r="E6" s="10"/>
      <c r="F6" s="11"/>
      <c r="G6" s="10"/>
      <c r="H6" s="11"/>
      <c r="I6" s="10"/>
      <c r="J6" s="11"/>
      <c r="K6" s="10"/>
      <c r="L6" s="11"/>
      <c r="M6" s="10"/>
      <c r="N6" s="11"/>
      <c r="O6" s="10"/>
      <c r="P6" s="11"/>
      <c r="Q6" s="10"/>
      <c r="R6" s="12"/>
    </row>
    <row r="7" spans="1:18" x14ac:dyDescent="0.25">
      <c r="A7" s="11" t="s">
        <v>50</v>
      </c>
      <c r="B7" s="13">
        <v>14530</v>
      </c>
      <c r="C7" s="14">
        <f>(4517/B7*100)</f>
        <v>31.087405368203719</v>
      </c>
      <c r="D7" s="15">
        <v>10013</v>
      </c>
      <c r="E7" s="14">
        <v>44.395135459999999</v>
      </c>
      <c r="F7" s="16">
        <v>0.60901397999999995</v>
      </c>
      <c r="G7" s="14">
        <v>55.604864540000001</v>
      </c>
      <c r="H7" s="16">
        <v>0.60901397999999995</v>
      </c>
      <c r="I7" s="14">
        <v>0</v>
      </c>
      <c r="J7" s="16">
        <v>0</v>
      </c>
      <c r="K7" s="14" t="s">
        <v>51</v>
      </c>
      <c r="L7" s="16" t="s">
        <v>51</v>
      </c>
      <c r="M7" s="14">
        <v>0</v>
      </c>
      <c r="N7" s="16">
        <v>0</v>
      </c>
      <c r="O7" s="14">
        <v>0</v>
      </c>
      <c r="P7" s="16">
        <v>0</v>
      </c>
      <c r="Q7" s="14">
        <v>0</v>
      </c>
      <c r="R7" s="16">
        <v>0</v>
      </c>
    </row>
    <row r="8" spans="1:18"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row>
    <row r="9" spans="1:18" x14ac:dyDescent="0.25">
      <c r="A9" s="11" t="s">
        <v>172</v>
      </c>
      <c r="B9" s="13">
        <v>5675</v>
      </c>
      <c r="C9" s="14">
        <f>(422/B9*100)</f>
        <v>7.4361233480176221</v>
      </c>
      <c r="D9" s="15">
        <v>5253</v>
      </c>
      <c r="E9" s="14">
        <v>9.2599665099999999</v>
      </c>
      <c r="F9" s="16">
        <v>0.42235736000000001</v>
      </c>
      <c r="G9" s="14">
        <v>9.5509850899999993</v>
      </c>
      <c r="H9" s="16">
        <v>0.39048434999999998</v>
      </c>
      <c r="I9" s="14">
        <v>0</v>
      </c>
      <c r="J9" s="16">
        <v>0</v>
      </c>
      <c r="K9" s="14" t="s">
        <v>51</v>
      </c>
      <c r="L9" s="16" t="s">
        <v>51</v>
      </c>
      <c r="M9" s="14">
        <v>81.189048409999998</v>
      </c>
      <c r="N9" s="16">
        <v>0.56512415000000005</v>
      </c>
      <c r="O9" s="14">
        <v>0</v>
      </c>
      <c r="P9" s="16">
        <v>0</v>
      </c>
      <c r="Q9" s="14">
        <v>0</v>
      </c>
      <c r="R9" s="16">
        <v>0</v>
      </c>
    </row>
    <row r="10" spans="1:18" x14ac:dyDescent="0.25">
      <c r="A10" s="11" t="s">
        <v>173</v>
      </c>
      <c r="B10" s="13">
        <v>13082</v>
      </c>
      <c r="C10" s="14">
        <f>(444/B10*100)</f>
        <v>3.3939764561993582</v>
      </c>
      <c r="D10" s="15">
        <v>12638</v>
      </c>
      <c r="E10" s="14">
        <v>12.921115520000001</v>
      </c>
      <c r="F10" s="16">
        <v>0.49168204999999998</v>
      </c>
      <c r="G10" s="14">
        <v>10.7447774</v>
      </c>
      <c r="H10" s="16">
        <v>0.42108224</v>
      </c>
      <c r="I10" s="14">
        <v>0</v>
      </c>
      <c r="J10" s="16">
        <v>0</v>
      </c>
      <c r="K10" s="14" t="s">
        <v>51</v>
      </c>
      <c r="L10" s="16" t="s">
        <v>51</v>
      </c>
      <c r="M10" s="14">
        <v>76.334107079999995</v>
      </c>
      <c r="N10" s="16">
        <v>0.37579125000000002</v>
      </c>
      <c r="O10" s="14">
        <v>0</v>
      </c>
      <c r="P10" s="16">
        <v>0</v>
      </c>
      <c r="Q10" s="14">
        <v>0</v>
      </c>
      <c r="R10" s="16">
        <v>0</v>
      </c>
    </row>
    <row r="11" spans="1:18" x14ac:dyDescent="0.25">
      <c r="A11" s="11" t="s">
        <v>54</v>
      </c>
      <c r="B11" s="13">
        <v>7053</v>
      </c>
      <c r="C11" s="14">
        <f>(364/B11*100)</f>
        <v>5.1609244293208567</v>
      </c>
      <c r="D11" s="15">
        <v>6689</v>
      </c>
      <c r="E11" s="14">
        <v>3.6401356800000002</v>
      </c>
      <c r="F11" s="16">
        <v>0.24517626000000001</v>
      </c>
      <c r="G11" s="14">
        <v>17.64663363</v>
      </c>
      <c r="H11" s="16">
        <v>0.43092733999999999</v>
      </c>
      <c r="I11" s="14">
        <v>0</v>
      </c>
      <c r="J11" s="16">
        <v>0</v>
      </c>
      <c r="K11" s="14" t="s">
        <v>51</v>
      </c>
      <c r="L11" s="16" t="s">
        <v>51</v>
      </c>
      <c r="M11" s="14">
        <v>78.713230690000003</v>
      </c>
      <c r="N11" s="16">
        <v>0.40718554000000001</v>
      </c>
      <c r="O11" s="14">
        <v>0</v>
      </c>
      <c r="P11" s="16">
        <v>0</v>
      </c>
      <c r="Q11" s="14">
        <v>0</v>
      </c>
      <c r="R11" s="16">
        <v>0</v>
      </c>
    </row>
    <row r="12" spans="1:18"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row>
    <row r="13" spans="1:18"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row>
    <row r="14" spans="1:18"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row>
    <row r="15" spans="1:18"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row>
    <row r="16" spans="1:18"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row>
    <row r="17" spans="1:18"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row>
    <row r="18" spans="1:18"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row>
    <row r="19" spans="1:18"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row>
    <row r="20" spans="1:18"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row>
    <row r="21" spans="1:18"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row>
    <row r="22" spans="1:18"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row>
    <row r="23" spans="1:18" x14ac:dyDescent="0.25">
      <c r="A23" s="11" t="s">
        <v>66</v>
      </c>
      <c r="B23" s="13">
        <v>11583</v>
      </c>
      <c r="C23" s="14">
        <f>(806/B23*100)</f>
        <v>6.9584736251402921</v>
      </c>
      <c r="D23" s="15">
        <v>10777</v>
      </c>
      <c r="E23" s="14">
        <v>4.3410518800000002</v>
      </c>
      <c r="F23" s="16">
        <v>0.25168998999999997</v>
      </c>
      <c r="G23" s="14">
        <v>16.646442050000001</v>
      </c>
      <c r="H23" s="16">
        <v>0.39986777000000001</v>
      </c>
      <c r="I23" s="14">
        <v>0</v>
      </c>
      <c r="J23" s="16">
        <v>0</v>
      </c>
      <c r="K23" s="14" t="s">
        <v>51</v>
      </c>
      <c r="L23" s="16" t="s">
        <v>51</v>
      </c>
      <c r="M23" s="14">
        <v>79.012506070000001</v>
      </c>
      <c r="N23" s="16">
        <v>0.35535972999999998</v>
      </c>
      <c r="O23" s="14">
        <v>0</v>
      </c>
      <c r="P23" s="16">
        <v>0</v>
      </c>
      <c r="Q23" s="14">
        <v>0</v>
      </c>
      <c r="R23" s="16">
        <v>0</v>
      </c>
    </row>
    <row r="24" spans="1:18"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row>
    <row r="25" spans="1:18"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row>
    <row r="26" spans="1:18"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row>
    <row r="27" spans="1:18"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row>
    <row r="28" spans="1:18"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row>
    <row r="29" spans="1:18" x14ac:dyDescent="0.25">
      <c r="A29" s="11" t="s">
        <v>72</v>
      </c>
      <c r="B29" s="13">
        <v>5385</v>
      </c>
      <c r="C29" s="14">
        <f>(104/B29*100)</f>
        <v>1.9312906220984214</v>
      </c>
      <c r="D29" s="15">
        <v>5281</v>
      </c>
      <c r="E29" s="14">
        <v>11.247761410000001</v>
      </c>
      <c r="F29" s="16">
        <v>0.36928052</v>
      </c>
      <c r="G29" s="14">
        <v>12.68687068</v>
      </c>
      <c r="H29" s="16">
        <v>0.36404597</v>
      </c>
      <c r="I29" s="14">
        <v>0</v>
      </c>
      <c r="J29" s="16">
        <v>0</v>
      </c>
      <c r="K29" s="14" t="s">
        <v>51</v>
      </c>
      <c r="L29" s="16" t="s">
        <v>51</v>
      </c>
      <c r="M29" s="14">
        <v>76.065367910000006</v>
      </c>
      <c r="N29" s="16">
        <v>0.30290284000000001</v>
      </c>
      <c r="O29" s="14">
        <v>0</v>
      </c>
      <c r="P29" s="16">
        <v>0</v>
      </c>
      <c r="Q29" s="14">
        <v>0</v>
      </c>
      <c r="R29" s="16">
        <v>0</v>
      </c>
    </row>
    <row r="30" spans="1:18"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row>
    <row r="31" spans="1:18"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row>
    <row r="32" spans="1:18" x14ac:dyDescent="0.25">
      <c r="A32" s="11" t="s">
        <v>75</v>
      </c>
      <c r="B32" s="13">
        <v>4478</v>
      </c>
      <c r="C32" s="14">
        <f>(235/B32*100)</f>
        <v>5.2478785171951765</v>
      </c>
      <c r="D32" s="15">
        <v>4243</v>
      </c>
      <c r="E32" s="14">
        <v>12.04439327</v>
      </c>
      <c r="F32" s="16">
        <v>0.49054713</v>
      </c>
      <c r="G32" s="14">
        <v>23.433981639999999</v>
      </c>
      <c r="H32" s="16">
        <v>0.57564972999999997</v>
      </c>
      <c r="I32" s="14">
        <v>0</v>
      </c>
      <c r="J32" s="16">
        <v>0</v>
      </c>
      <c r="K32" s="14" t="s">
        <v>51</v>
      </c>
      <c r="L32" s="16" t="s">
        <v>51</v>
      </c>
      <c r="M32" s="14">
        <v>64.521625090000001</v>
      </c>
      <c r="N32" s="16">
        <v>0.39092592999999998</v>
      </c>
      <c r="O32" s="14">
        <v>0</v>
      </c>
      <c r="P32" s="16">
        <v>0</v>
      </c>
      <c r="Q32" s="14">
        <v>0</v>
      </c>
      <c r="R32" s="16">
        <v>0</v>
      </c>
    </row>
    <row r="33" spans="1:18"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row>
    <row r="34" spans="1:18" x14ac:dyDescent="0.25">
      <c r="A34" s="11" t="s">
        <v>77</v>
      </c>
      <c r="B34" s="13">
        <v>6350</v>
      </c>
      <c r="C34" s="14">
        <f>(401/B34*100)</f>
        <v>6.3149606299212593</v>
      </c>
      <c r="D34" s="15">
        <v>5949</v>
      </c>
      <c r="E34" s="14">
        <v>9.4696073100000007</v>
      </c>
      <c r="F34" s="16">
        <v>0.3426437</v>
      </c>
      <c r="G34" s="14">
        <v>11.03883868</v>
      </c>
      <c r="H34" s="16">
        <v>0.37897955</v>
      </c>
      <c r="I34" s="14">
        <v>0</v>
      </c>
      <c r="J34" s="16">
        <v>0</v>
      </c>
      <c r="K34" s="14" t="s">
        <v>51</v>
      </c>
      <c r="L34" s="16" t="s">
        <v>51</v>
      </c>
      <c r="M34" s="14">
        <v>79.491553999999994</v>
      </c>
      <c r="N34" s="16">
        <v>0.42331759000000002</v>
      </c>
      <c r="O34" s="14">
        <v>0</v>
      </c>
      <c r="P34" s="16">
        <v>0</v>
      </c>
      <c r="Q34" s="14">
        <v>0</v>
      </c>
      <c r="R34" s="16">
        <v>0</v>
      </c>
    </row>
    <row r="35" spans="1:18"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row>
    <row r="36" spans="1:18" x14ac:dyDescent="0.25">
      <c r="A36" s="11" t="s">
        <v>79</v>
      </c>
      <c r="B36" s="13">
        <v>6736</v>
      </c>
      <c r="C36" s="14">
        <f>(337/B36*100)</f>
        <v>5.0029691211401426</v>
      </c>
      <c r="D36" s="15">
        <v>6399</v>
      </c>
      <c r="E36" s="14">
        <v>5.5505480299999999</v>
      </c>
      <c r="F36" s="16">
        <v>0.27547416000000002</v>
      </c>
      <c r="G36" s="14">
        <v>16.614704840000002</v>
      </c>
      <c r="H36" s="16">
        <v>0.36429020000000001</v>
      </c>
      <c r="I36" s="14">
        <v>0</v>
      </c>
      <c r="J36" s="16">
        <v>0</v>
      </c>
      <c r="K36" s="14" t="s">
        <v>51</v>
      </c>
      <c r="L36" s="16" t="s">
        <v>51</v>
      </c>
      <c r="M36" s="14">
        <v>77.834747129999997</v>
      </c>
      <c r="N36" s="16">
        <v>0.30898736999999998</v>
      </c>
      <c r="O36" s="14">
        <v>0</v>
      </c>
      <c r="P36" s="16">
        <v>0</v>
      </c>
      <c r="Q36" s="14">
        <v>0</v>
      </c>
      <c r="R36" s="16">
        <v>0</v>
      </c>
    </row>
    <row r="37" spans="1:18"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row>
    <row r="38" spans="1:18"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row>
    <row r="39" spans="1:18"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row>
    <row r="40" spans="1:18"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row>
    <row r="41" spans="1:18" x14ac:dyDescent="0.25">
      <c r="A41" s="11" t="s">
        <v>84</v>
      </c>
      <c r="B41" s="13">
        <v>5712</v>
      </c>
      <c r="C41" s="14">
        <f>(236/B41*100)</f>
        <v>4.1316526610644253</v>
      </c>
      <c r="D41" s="15">
        <v>5476</v>
      </c>
      <c r="E41" s="14">
        <v>12.62902253</v>
      </c>
      <c r="F41" s="16">
        <v>0.39110328</v>
      </c>
      <c r="G41" s="14">
        <v>10.30103122</v>
      </c>
      <c r="H41" s="16">
        <v>0.37518138000000001</v>
      </c>
      <c r="I41" s="14">
        <v>0</v>
      </c>
      <c r="J41" s="16">
        <v>0</v>
      </c>
      <c r="K41" s="14" t="s">
        <v>51</v>
      </c>
      <c r="L41" s="16" t="s">
        <v>51</v>
      </c>
      <c r="M41" s="14">
        <v>77.069946250000001</v>
      </c>
      <c r="N41" s="16">
        <v>0.36915436000000001</v>
      </c>
      <c r="O41" s="14">
        <v>0</v>
      </c>
      <c r="P41" s="16">
        <v>0</v>
      </c>
      <c r="Q41" s="14">
        <v>0</v>
      </c>
      <c r="R41" s="16">
        <v>0</v>
      </c>
    </row>
    <row r="42" spans="1:18" x14ac:dyDescent="0.25">
      <c r="A42" s="11" t="s">
        <v>85</v>
      </c>
      <c r="B42" s="13">
        <f>IF(COUNT(B7:B41) &gt; 0, AVERAGE(B7:B41), "\u2014")</f>
        <v>8058.4</v>
      </c>
      <c r="C42" s="14">
        <f>IF(COUNT(C7:C41) &gt; 0, AVERAGE(C7:C41), "—")</f>
        <v>7.6665654778301278</v>
      </c>
      <c r="D42" s="15">
        <f>IF(COUNT(D7:D41) &gt; 0, AVERAGE(D7:D41), "—")</f>
        <v>7271.8</v>
      </c>
      <c r="E42" s="14">
        <f>IF(COUNT(E7:E41) &gt; 0, AVERAGE(E7:E41), "—")</f>
        <v>12.549873760000001</v>
      </c>
      <c r="F42" s="16">
        <f>IF(COUNT(F7:F41) &gt; 0, SQRT(SUMSQ(F7:F41)/(COUNT(F7:F41)*COUNT(F7:F41)) ), "—")</f>
        <v>0.12797465913275413</v>
      </c>
      <c r="G42" s="14">
        <f>IF(COUNT(G7:G41) &gt; 0, AVERAGE(G7:G41), "—")</f>
        <v>18.426912977000001</v>
      </c>
      <c r="H42" s="16">
        <f>IF(COUNT(H7:H41) &gt; 0, SQRT(SUMSQ(H7:H41)/(COUNT(H7:H41)*COUNT(H7:H41)) ), "—")</f>
        <v>0.13882632715278792</v>
      </c>
      <c r="I42" s="14">
        <f>IF(COUNT(I7:I41) &gt; 0, AVERAGE(I7:I41), "—")</f>
        <v>0</v>
      </c>
      <c r="J42" s="16">
        <f>IF(COUNT(J7:J41) &gt; 0, SQRT(SUMSQ(J7:J41)/(COUNT(J7:J41)*COUNT(J7:J41)) ), "—")</f>
        <v>0</v>
      </c>
      <c r="K42" s="14" t="str">
        <f>IF(COUNT(K7:K41) &gt; 0, AVERAGE(K7:K41), "—")</f>
        <v>—</v>
      </c>
      <c r="L42" s="16" t="str">
        <f>IF(COUNT(L7:L41) &gt; 0, SQRT(SUMSQ(L7:L41)/(COUNT(L7:L41)*COUNT(L7:L41)) ), "—")</f>
        <v>—</v>
      </c>
      <c r="M42" s="14">
        <f>IF(COUNT(M7:M41) &gt; 0, AVERAGE(M7:M41), "—")</f>
        <v>69.023213263000002</v>
      </c>
      <c r="N42" s="16">
        <f>IF(COUNT(N7:N41) &gt; 0, SQRT(SUMSQ(N7:N41)/(COUNT(N7:N41)*COUNT(N7:N41)) ), "—")</f>
        <v>0.11866693312531992</v>
      </c>
      <c r="O42" s="14">
        <f>IF(COUNT(O7:O41) &gt; 0, AVERAGE(O7:O41), "—")</f>
        <v>0</v>
      </c>
      <c r="P42" s="16">
        <f>IF(COUNT(P7:P41) &gt; 0, SQRT(SUMSQ(P7:P41)/(COUNT(P7:P41)*COUNT(P7:P41)) ), "—")</f>
        <v>0</v>
      </c>
      <c r="Q42" s="14">
        <f>IF(COUNT(Q7:Q41) &gt; 0, AVERAGE(Q7:Q41), "—")</f>
        <v>0</v>
      </c>
      <c r="R42" s="16">
        <f>IF(COUNT(R7:R41) &gt; 0, SQRT(SUMSQ(R7:R41)/(COUNT(R7:R41)*COUNT(R7:R41)) ), "—")</f>
        <v>0</v>
      </c>
    </row>
    <row r="43" spans="1:18" x14ac:dyDescent="0.25">
      <c r="A43" s="9" t="s">
        <v>86</v>
      </c>
      <c r="B43" s="10"/>
      <c r="C43" s="10"/>
      <c r="D43" s="11"/>
      <c r="E43" s="10"/>
      <c r="F43" s="11"/>
      <c r="G43" s="10"/>
      <c r="H43" s="11"/>
      <c r="I43" s="10"/>
      <c r="J43" s="11"/>
      <c r="K43" s="10"/>
      <c r="L43" s="11"/>
      <c r="M43" s="10"/>
      <c r="N43" s="11"/>
      <c r="O43" s="10"/>
      <c r="P43" s="11"/>
      <c r="Q43" s="10"/>
      <c r="R43" s="12"/>
    </row>
    <row r="44" spans="1:18"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row>
    <row r="45" spans="1:18"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row>
    <row r="46" spans="1:18" x14ac:dyDescent="0.25">
      <c r="A46" s="11" t="s">
        <v>89</v>
      </c>
      <c r="B46" s="13">
        <v>23141</v>
      </c>
      <c r="C46" s="14">
        <f>(4311/B46*100)</f>
        <v>18.629272719415756</v>
      </c>
      <c r="D46" s="15">
        <v>18830</v>
      </c>
      <c r="E46" s="14">
        <v>2.6547009400000001</v>
      </c>
      <c r="F46" s="16">
        <v>0.17947223000000001</v>
      </c>
      <c r="G46" s="14">
        <v>7.7000729699999999</v>
      </c>
      <c r="H46" s="16">
        <v>0.29334652999999999</v>
      </c>
      <c r="I46" s="14">
        <v>0</v>
      </c>
      <c r="J46" s="16">
        <v>0</v>
      </c>
      <c r="K46" s="14" t="s">
        <v>51</v>
      </c>
      <c r="L46" s="16" t="s">
        <v>51</v>
      </c>
      <c r="M46" s="14">
        <v>89.645226089999994</v>
      </c>
      <c r="N46" s="16">
        <v>0.36761390999999999</v>
      </c>
      <c r="O46" s="14">
        <v>0</v>
      </c>
      <c r="P46" s="16">
        <v>0</v>
      </c>
      <c r="Q46" s="14">
        <v>0</v>
      </c>
      <c r="R46" s="16">
        <v>0</v>
      </c>
    </row>
    <row r="47" spans="1:18"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row>
    <row r="48" spans="1:18" x14ac:dyDescent="0.25">
      <c r="A48" s="11" t="s">
        <v>91</v>
      </c>
      <c r="B48" s="13">
        <v>9841</v>
      </c>
      <c r="C48" s="14">
        <f>(258/B48*100)</f>
        <v>2.6216847881312875</v>
      </c>
      <c r="D48" s="15">
        <v>9583</v>
      </c>
      <c r="E48" s="14">
        <v>3.7880439300000002</v>
      </c>
      <c r="F48" s="16">
        <v>0.25453803000000003</v>
      </c>
      <c r="G48" s="14">
        <v>19.639964729999999</v>
      </c>
      <c r="H48" s="16">
        <v>0.35871410999999997</v>
      </c>
      <c r="I48" s="14">
        <v>0</v>
      </c>
      <c r="J48" s="16">
        <v>0</v>
      </c>
      <c r="K48" s="14" t="s">
        <v>51</v>
      </c>
      <c r="L48" s="16" t="s">
        <v>51</v>
      </c>
      <c r="M48" s="14">
        <v>76.571991339999997</v>
      </c>
      <c r="N48" s="16">
        <v>0.34774335000000001</v>
      </c>
      <c r="O48" s="14">
        <v>0</v>
      </c>
      <c r="P48" s="16">
        <v>0</v>
      </c>
      <c r="Q48" s="14">
        <v>0</v>
      </c>
      <c r="R48" s="16">
        <v>0</v>
      </c>
    </row>
    <row r="49" spans="1:18"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row>
    <row r="50" spans="1:18"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row>
    <row r="51" spans="1:18"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row>
    <row r="52" spans="1:18"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row>
    <row r="53" spans="1:18"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row>
    <row r="54" spans="1:18"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row>
    <row r="55" spans="1:18"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row>
    <row r="56" spans="1:18"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row>
    <row r="57" spans="1:18"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row>
    <row r="58" spans="1:18"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row>
    <row r="59" spans="1:18"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row>
    <row r="60" spans="1:18"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row>
    <row r="61" spans="1:18" x14ac:dyDescent="0.25">
      <c r="A61" s="11" t="s">
        <v>104</v>
      </c>
      <c r="B61" s="13">
        <v>6525</v>
      </c>
      <c r="C61" s="14">
        <f>(258/B61*100)</f>
        <v>3.9540229885057467</v>
      </c>
      <c r="D61" s="15">
        <v>6267</v>
      </c>
      <c r="E61" s="14">
        <v>13.07112776</v>
      </c>
      <c r="F61" s="16">
        <v>0.42956041</v>
      </c>
      <c r="G61" s="14">
        <v>10.638455349999999</v>
      </c>
      <c r="H61" s="16">
        <v>0.41583432999999997</v>
      </c>
      <c r="I61" s="14">
        <v>0</v>
      </c>
      <c r="J61" s="16">
        <v>0</v>
      </c>
      <c r="K61" s="14" t="s">
        <v>51</v>
      </c>
      <c r="L61" s="16" t="s">
        <v>51</v>
      </c>
      <c r="M61" s="14">
        <v>76.290416890000003</v>
      </c>
      <c r="N61" s="16">
        <v>0.38540160000000001</v>
      </c>
      <c r="O61" s="14">
        <v>0</v>
      </c>
      <c r="P61" s="16">
        <v>0</v>
      </c>
      <c r="Q61" s="14">
        <v>0</v>
      </c>
      <c r="R61" s="16">
        <v>0</v>
      </c>
    </row>
    <row r="62" spans="1:18"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row>
    <row r="63" spans="1:18"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row>
    <row r="64" spans="1:18"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row>
    <row r="65" spans="1:18"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row>
    <row r="66" spans="1:18"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row>
    <row r="67" spans="1:18" x14ac:dyDescent="0.25">
      <c r="A67" s="11" t="s">
        <v>110</v>
      </c>
      <c r="B67" s="13">
        <v>6971</v>
      </c>
      <c r="C67" s="14">
        <f>(896/B67*100)</f>
        <v>12.853249175154211</v>
      </c>
      <c r="D67" s="15">
        <v>6075</v>
      </c>
      <c r="E67" s="14">
        <v>5.9642818399999999</v>
      </c>
      <c r="F67" s="16">
        <v>0.33231316999999999</v>
      </c>
      <c r="G67" s="14">
        <v>9.0440655000000003</v>
      </c>
      <c r="H67" s="16">
        <v>0.41950499000000002</v>
      </c>
      <c r="I67" s="14">
        <v>0</v>
      </c>
      <c r="J67" s="16">
        <v>0</v>
      </c>
      <c r="K67" s="14" t="s">
        <v>51</v>
      </c>
      <c r="L67" s="16" t="s">
        <v>51</v>
      </c>
      <c r="M67" s="14">
        <v>84.991652669999993</v>
      </c>
      <c r="N67" s="16">
        <v>0.58435968999999999</v>
      </c>
      <c r="O67" s="14">
        <v>0</v>
      </c>
      <c r="P67" s="16">
        <v>0</v>
      </c>
      <c r="Q67" s="14">
        <v>0</v>
      </c>
      <c r="R67" s="16">
        <v>0</v>
      </c>
    </row>
    <row r="68" spans="1:18"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row>
    <row r="69" spans="1:18"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row>
    <row r="70" spans="1:18" x14ac:dyDescent="0.25">
      <c r="A70" s="11" t="s">
        <v>113</v>
      </c>
      <c r="B70" s="13">
        <v>6036</v>
      </c>
      <c r="C70" s="14">
        <f>(468/B70*100)</f>
        <v>7.7534791252485098</v>
      </c>
      <c r="D70" s="15">
        <v>5568</v>
      </c>
      <c r="E70" s="14">
        <v>4.7963404000000001</v>
      </c>
      <c r="F70" s="16">
        <v>0.37607962</v>
      </c>
      <c r="G70" s="14">
        <v>14.57519235</v>
      </c>
      <c r="H70" s="16">
        <v>0.55366037999999995</v>
      </c>
      <c r="I70" s="14">
        <v>0</v>
      </c>
      <c r="J70" s="16">
        <v>0</v>
      </c>
      <c r="K70" s="14" t="s">
        <v>51</v>
      </c>
      <c r="L70" s="16" t="s">
        <v>51</v>
      </c>
      <c r="M70" s="14">
        <v>80.628467240000006</v>
      </c>
      <c r="N70" s="16">
        <v>0.59006840000000005</v>
      </c>
      <c r="O70" s="14">
        <v>0</v>
      </c>
      <c r="P70" s="16">
        <v>0</v>
      </c>
      <c r="Q70" s="14">
        <v>0</v>
      </c>
      <c r="R70" s="16">
        <v>0</v>
      </c>
    </row>
    <row r="71" spans="1:18"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row>
    <row r="72" spans="1:18"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row>
    <row r="73" spans="1:18"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row>
    <row r="74" spans="1:18"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row>
    <row r="75" spans="1:18"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row>
    <row r="76" spans="1:18"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row>
    <row r="77" spans="1:18"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row>
    <row r="78" spans="1:18"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row>
    <row r="79" spans="1:18"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row>
    <row r="80" spans="1:18"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row>
    <row r="81" spans="1:18"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row>
    <row r="82" spans="1:18"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row>
    <row r="83" spans="1:18" x14ac:dyDescent="0.25">
      <c r="A83" s="3" t="s">
        <v>126</v>
      </c>
    </row>
    <row r="84" spans="1:18" x14ac:dyDescent="0.25">
      <c r="A84" s="26" t="s">
        <v>127</v>
      </c>
      <c r="B84" s="24"/>
      <c r="C84" s="24"/>
      <c r="D84" s="24"/>
      <c r="E84" s="24"/>
      <c r="F84" s="24"/>
      <c r="G84" s="24"/>
      <c r="H84" s="24"/>
      <c r="I84" s="24"/>
      <c r="J84" s="24"/>
      <c r="K84" s="24"/>
      <c r="L84" s="24"/>
      <c r="M84" s="24"/>
      <c r="N84" s="24"/>
      <c r="O84" s="24"/>
      <c r="P84" s="24"/>
      <c r="Q84" s="24"/>
      <c r="R84" s="24"/>
    </row>
    <row r="85" spans="1:18" x14ac:dyDescent="0.25">
      <c r="A85" s="26" t="s">
        <v>128</v>
      </c>
      <c r="B85" s="24"/>
      <c r="C85" s="24"/>
      <c r="D85" s="24"/>
      <c r="E85" s="24"/>
      <c r="F85" s="24"/>
      <c r="G85" s="24"/>
      <c r="H85" s="24"/>
      <c r="I85" s="24"/>
      <c r="J85" s="24"/>
      <c r="K85" s="24"/>
      <c r="L85" s="24"/>
      <c r="M85" s="24"/>
      <c r="N85" s="24"/>
      <c r="O85" s="24"/>
      <c r="P85" s="24"/>
      <c r="Q85" s="24"/>
      <c r="R85" s="24"/>
    </row>
    <row r="86" spans="1:18" ht="30" customHeight="1" x14ac:dyDescent="0.25">
      <c r="A86" s="26" t="s">
        <v>129</v>
      </c>
      <c r="B86" s="24"/>
      <c r="C86" s="24"/>
      <c r="D86" s="24"/>
      <c r="E86" s="24"/>
      <c r="F86" s="24"/>
      <c r="G86" s="24"/>
      <c r="H86" s="24"/>
      <c r="I86" s="24"/>
      <c r="J86" s="24"/>
      <c r="K86" s="24"/>
      <c r="L86" s="24"/>
      <c r="M86" s="24"/>
      <c r="N86" s="24"/>
      <c r="O86" s="24"/>
      <c r="P86" s="24"/>
      <c r="Q86" s="24"/>
      <c r="R86" s="24"/>
    </row>
    <row r="87" spans="1:18" ht="30" customHeight="1" x14ac:dyDescent="0.25">
      <c r="A87" s="26" t="s">
        <v>125</v>
      </c>
      <c r="B87" s="24"/>
      <c r="C87" s="24"/>
      <c r="D87" s="24"/>
      <c r="E87" s="24"/>
      <c r="F87" s="24"/>
      <c r="G87" s="24"/>
      <c r="H87" s="24"/>
      <c r="I87" s="24"/>
      <c r="J87" s="24"/>
      <c r="K87" s="24"/>
      <c r="L87" s="24"/>
      <c r="M87" s="24"/>
      <c r="N87" s="24"/>
      <c r="O87" s="24"/>
      <c r="P87" s="24"/>
      <c r="Q87" s="24"/>
      <c r="R87" s="24"/>
    </row>
    <row r="88" spans="1:18" ht="30" customHeight="1" x14ac:dyDescent="0.25">
      <c r="A88" s="26" t="s">
        <v>130</v>
      </c>
      <c r="B88" s="24"/>
      <c r="C88" s="24"/>
      <c r="D88" s="24"/>
      <c r="E88" s="24"/>
      <c r="F88" s="24"/>
      <c r="G88" s="24"/>
      <c r="H88" s="24"/>
      <c r="I88" s="24"/>
      <c r="J88" s="24"/>
      <c r="K88" s="24"/>
      <c r="L88" s="24"/>
      <c r="M88" s="24"/>
      <c r="N88" s="24"/>
      <c r="O88" s="24"/>
      <c r="P88" s="24"/>
      <c r="Q88" s="24"/>
      <c r="R88" s="24"/>
    </row>
    <row r="89" spans="1:18" ht="30" customHeight="1" x14ac:dyDescent="0.25">
      <c r="A89" s="26" t="s">
        <v>131</v>
      </c>
      <c r="B89" s="24"/>
      <c r="C89" s="24"/>
      <c r="D89" s="24"/>
      <c r="E89" s="24"/>
      <c r="F89" s="24"/>
      <c r="G89" s="24"/>
      <c r="H89" s="24"/>
      <c r="I89" s="24"/>
      <c r="J89" s="24"/>
      <c r="K89" s="24"/>
      <c r="L89" s="24"/>
      <c r="M89" s="24"/>
      <c r="N89" s="24"/>
      <c r="O89" s="24"/>
      <c r="P89" s="24"/>
      <c r="Q89" s="24"/>
      <c r="R89" s="24"/>
    </row>
    <row r="90" spans="1:18" ht="30" customHeight="1" x14ac:dyDescent="0.25">
      <c r="A90" s="26" t="s">
        <v>132</v>
      </c>
      <c r="B90" s="24"/>
      <c r="C90" s="24"/>
      <c r="D90" s="24"/>
      <c r="E90" s="24"/>
      <c r="F90" s="24"/>
      <c r="G90" s="24"/>
      <c r="H90" s="24"/>
      <c r="I90" s="24"/>
      <c r="J90" s="24"/>
      <c r="K90" s="24"/>
      <c r="L90" s="24"/>
      <c r="M90" s="24"/>
      <c r="N90" s="24"/>
      <c r="O90" s="24"/>
      <c r="P90" s="24"/>
      <c r="Q90" s="24"/>
      <c r="R90" s="24"/>
    </row>
    <row r="91" spans="1:18" ht="30" customHeight="1" x14ac:dyDescent="0.25">
      <c r="A91" s="26" t="s">
        <v>133</v>
      </c>
      <c r="B91" s="24"/>
      <c r="C91" s="24"/>
      <c r="D91" s="24"/>
      <c r="E91" s="24"/>
      <c r="F91" s="24"/>
      <c r="G91" s="24"/>
      <c r="H91" s="24"/>
      <c r="I91" s="24"/>
      <c r="J91" s="24"/>
      <c r="K91" s="24"/>
      <c r="L91" s="24"/>
      <c r="M91" s="24"/>
      <c r="N91" s="24"/>
      <c r="O91" s="24"/>
      <c r="P91" s="24"/>
      <c r="Q91" s="24"/>
      <c r="R91" s="24"/>
    </row>
    <row r="92" spans="1:18" ht="30" customHeight="1" x14ac:dyDescent="0.25">
      <c r="A92" s="26" t="s">
        <v>134</v>
      </c>
      <c r="B92" s="24"/>
      <c r="C92" s="24"/>
      <c r="D92" s="24"/>
      <c r="E92" s="24"/>
      <c r="F92" s="24"/>
      <c r="G92" s="24"/>
      <c r="H92" s="24"/>
      <c r="I92" s="24"/>
      <c r="J92" s="24"/>
      <c r="K92" s="24"/>
      <c r="L92" s="24"/>
      <c r="M92" s="24"/>
      <c r="N92" s="24"/>
      <c r="O92" s="24"/>
      <c r="P92" s="24"/>
      <c r="Q92" s="24"/>
      <c r="R92" s="24"/>
    </row>
    <row r="93" spans="1:18" ht="30" customHeight="1" x14ac:dyDescent="0.25">
      <c r="A93" s="26" t="s">
        <v>135</v>
      </c>
      <c r="B93" s="24"/>
      <c r="C93" s="24"/>
      <c r="D93" s="24"/>
      <c r="E93" s="24"/>
      <c r="F93" s="24"/>
      <c r="G93" s="24"/>
      <c r="H93" s="24"/>
      <c r="I93" s="24"/>
      <c r="J93" s="24"/>
      <c r="K93" s="24"/>
      <c r="L93" s="24"/>
      <c r="M93" s="24"/>
      <c r="N93" s="24"/>
      <c r="O93" s="24"/>
      <c r="P93" s="24"/>
      <c r="Q93" s="24"/>
      <c r="R93" s="24"/>
    </row>
    <row r="94" spans="1:18" ht="30" customHeight="1" x14ac:dyDescent="0.25">
      <c r="A94" s="26" t="s">
        <v>136</v>
      </c>
      <c r="B94" s="24"/>
      <c r="C94" s="24"/>
      <c r="D94" s="24"/>
      <c r="E94" s="24"/>
      <c r="F94" s="24"/>
      <c r="G94" s="24"/>
      <c r="H94" s="24"/>
      <c r="I94" s="24"/>
      <c r="J94" s="24"/>
      <c r="K94" s="24"/>
      <c r="L94" s="24"/>
      <c r="M94" s="24"/>
      <c r="N94" s="24"/>
      <c r="O94" s="24"/>
      <c r="P94" s="24"/>
      <c r="Q94" s="24"/>
      <c r="R94" s="24"/>
    </row>
    <row r="95" spans="1:18" ht="30" customHeight="1" x14ac:dyDescent="0.25">
      <c r="A95" s="26" t="s">
        <v>137</v>
      </c>
      <c r="B95" s="24"/>
      <c r="C95" s="24"/>
      <c r="D95" s="24"/>
      <c r="E95" s="24"/>
      <c r="F95" s="24"/>
      <c r="G95" s="24"/>
      <c r="H95" s="24"/>
      <c r="I95" s="24"/>
      <c r="J95" s="24"/>
      <c r="K95" s="24"/>
      <c r="L95" s="24"/>
      <c r="M95" s="24"/>
      <c r="N95" s="24"/>
      <c r="O95" s="24"/>
      <c r="P95" s="24"/>
      <c r="Q95" s="24"/>
      <c r="R95" s="24"/>
    </row>
    <row r="96" spans="1:18" ht="30" customHeight="1" x14ac:dyDescent="0.25">
      <c r="A96" s="26" t="s">
        <v>138</v>
      </c>
      <c r="B96" s="24"/>
      <c r="C96" s="24"/>
      <c r="D96" s="24"/>
      <c r="E96" s="24"/>
      <c r="F96" s="24"/>
      <c r="G96" s="24"/>
      <c r="H96" s="24"/>
      <c r="I96" s="24"/>
      <c r="J96" s="24"/>
      <c r="K96" s="24"/>
      <c r="L96" s="24"/>
      <c r="M96" s="24"/>
      <c r="N96" s="24"/>
      <c r="O96" s="24"/>
      <c r="P96" s="24"/>
      <c r="Q96" s="24"/>
      <c r="R96" s="24"/>
    </row>
    <row r="97" spans="1:1" ht="30" customHeight="1" x14ac:dyDescent="0.25">
      <c r="A97" s="27" t="s">
        <v>171</v>
      </c>
    </row>
  </sheetData>
  <mergeCells count="22">
    <mergeCell ref="A95:R95"/>
    <mergeCell ref="A96:R96"/>
    <mergeCell ref="A90:R90"/>
    <mergeCell ref="A91:R91"/>
    <mergeCell ref="A92:R92"/>
    <mergeCell ref="A93:R93"/>
    <mergeCell ref="A94:R94"/>
    <mergeCell ref="A85:R85"/>
    <mergeCell ref="A86:R86"/>
    <mergeCell ref="A87:R87"/>
    <mergeCell ref="A88:R88"/>
    <mergeCell ref="A89:R89"/>
    <mergeCell ref="O4:P4"/>
    <mergeCell ref="Q4:R4"/>
    <mergeCell ref="A1:R1"/>
    <mergeCell ref="A2:R2"/>
    <mergeCell ref="A84:R84"/>
    <mergeCell ref="E4:F4"/>
    <mergeCell ref="G4:H4"/>
    <mergeCell ref="I4:J4"/>
    <mergeCell ref="K4:L4"/>
    <mergeCell ref="M4:N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tabSelected="1"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18" x14ac:dyDescent="0.25">
      <c r="A1" s="23" t="s">
        <v>33</v>
      </c>
      <c r="B1" s="24"/>
      <c r="C1" s="24"/>
      <c r="D1" s="24"/>
      <c r="E1" s="24"/>
      <c r="F1" s="24"/>
      <c r="G1" s="24"/>
      <c r="H1" s="24"/>
      <c r="I1" s="24"/>
      <c r="J1" s="24"/>
      <c r="K1" s="24"/>
      <c r="L1" s="24"/>
      <c r="M1" s="24"/>
      <c r="N1" s="24"/>
      <c r="O1" s="24"/>
      <c r="P1" s="24"/>
      <c r="Q1" s="24"/>
      <c r="R1" s="24"/>
    </row>
    <row r="2" spans="1:18" x14ac:dyDescent="0.25">
      <c r="A2" s="25" t="s">
        <v>158</v>
      </c>
      <c r="B2" s="24"/>
      <c r="C2" s="24"/>
      <c r="D2" s="24"/>
      <c r="E2" s="24"/>
      <c r="F2" s="24"/>
      <c r="G2" s="24"/>
      <c r="H2" s="24"/>
      <c r="I2" s="24"/>
      <c r="J2" s="24"/>
      <c r="K2" s="24"/>
      <c r="L2" s="24"/>
      <c r="M2" s="24"/>
      <c r="N2" s="24"/>
      <c r="O2" s="24"/>
      <c r="P2" s="24"/>
      <c r="Q2" s="24"/>
      <c r="R2" s="24"/>
    </row>
    <row r="4" spans="1:18" ht="30" customHeight="1" x14ac:dyDescent="0.25">
      <c r="A4" s="4"/>
      <c r="B4" s="5" t="s">
        <v>35</v>
      </c>
      <c r="C4" s="5" t="s">
        <v>36</v>
      </c>
      <c r="D4" s="6" t="s">
        <v>35</v>
      </c>
      <c r="E4" s="21" t="s">
        <v>37</v>
      </c>
      <c r="F4" s="22"/>
      <c r="G4" s="21" t="s">
        <v>38</v>
      </c>
      <c r="H4" s="22"/>
      <c r="I4" s="21" t="s">
        <v>39</v>
      </c>
      <c r="J4" s="22"/>
      <c r="K4" s="21" t="s">
        <v>40</v>
      </c>
      <c r="L4" s="22"/>
      <c r="M4" s="21" t="s">
        <v>41</v>
      </c>
      <c r="N4" s="22"/>
      <c r="O4" s="21" t="s">
        <v>42</v>
      </c>
      <c r="P4" s="22"/>
      <c r="Q4" s="21" t="s">
        <v>43</v>
      </c>
      <c r="R4" s="22"/>
    </row>
    <row r="5" spans="1:18"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row>
    <row r="6" spans="1:18" x14ac:dyDescent="0.25">
      <c r="A6" s="9" t="s">
        <v>49</v>
      </c>
      <c r="B6" s="10"/>
      <c r="C6" s="10"/>
      <c r="D6" s="11"/>
      <c r="E6" s="10"/>
      <c r="F6" s="11"/>
      <c r="G6" s="10"/>
      <c r="H6" s="11"/>
      <c r="I6" s="10"/>
      <c r="J6" s="11"/>
      <c r="K6" s="10"/>
      <c r="L6" s="11"/>
      <c r="M6" s="10"/>
      <c r="N6" s="11"/>
      <c r="O6" s="10"/>
      <c r="P6" s="11"/>
      <c r="Q6" s="10"/>
      <c r="R6" s="12"/>
    </row>
    <row r="7" spans="1:18" x14ac:dyDescent="0.25">
      <c r="A7" s="11" t="s">
        <v>50</v>
      </c>
      <c r="B7" s="13">
        <v>14530</v>
      </c>
      <c r="C7" s="14">
        <f>(4180/B7*100)</f>
        <v>28.768066070199588</v>
      </c>
      <c r="D7" s="15">
        <v>10350</v>
      </c>
      <c r="E7" s="14">
        <v>87.60592398</v>
      </c>
      <c r="F7" s="16">
        <v>0.40717564000000001</v>
      </c>
      <c r="G7" s="14">
        <v>12.39407602</v>
      </c>
      <c r="H7" s="16">
        <v>0.40717564000000001</v>
      </c>
      <c r="I7" s="14">
        <v>0</v>
      </c>
      <c r="J7" s="16">
        <v>0</v>
      </c>
      <c r="K7" s="14" t="s">
        <v>51</v>
      </c>
      <c r="L7" s="16" t="s">
        <v>51</v>
      </c>
      <c r="M7" s="14">
        <v>0</v>
      </c>
      <c r="N7" s="16">
        <v>0</v>
      </c>
      <c r="O7" s="14">
        <v>0</v>
      </c>
      <c r="P7" s="16">
        <v>0</v>
      </c>
      <c r="Q7" s="14">
        <v>0</v>
      </c>
      <c r="R7" s="16">
        <v>0</v>
      </c>
    </row>
    <row r="8" spans="1:18"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row>
    <row r="9" spans="1:18" x14ac:dyDescent="0.25">
      <c r="A9" s="11" t="s">
        <v>172</v>
      </c>
      <c r="B9" s="13">
        <v>5675</v>
      </c>
      <c r="C9" s="14">
        <f>(404/B9*100)</f>
        <v>7.1189427312775333</v>
      </c>
      <c r="D9" s="15">
        <v>5271</v>
      </c>
      <c r="E9" s="14">
        <v>17.09507374</v>
      </c>
      <c r="F9" s="16">
        <v>0.54501078000000003</v>
      </c>
      <c r="G9" s="14">
        <v>1.97808389</v>
      </c>
      <c r="H9" s="16">
        <v>0.20949366999999999</v>
      </c>
      <c r="I9" s="14">
        <v>0</v>
      </c>
      <c r="J9" s="16">
        <v>0</v>
      </c>
      <c r="K9" s="14" t="s">
        <v>51</v>
      </c>
      <c r="L9" s="16" t="s">
        <v>51</v>
      </c>
      <c r="M9" s="14">
        <v>80.926842370000003</v>
      </c>
      <c r="N9" s="16">
        <v>0.57087878000000003</v>
      </c>
      <c r="O9" s="14">
        <v>0</v>
      </c>
      <c r="P9" s="16">
        <v>0</v>
      </c>
      <c r="Q9" s="14">
        <v>0</v>
      </c>
      <c r="R9" s="16">
        <v>0</v>
      </c>
    </row>
    <row r="10" spans="1:18" x14ac:dyDescent="0.25">
      <c r="A10" s="11" t="s">
        <v>173</v>
      </c>
      <c r="B10" s="13">
        <v>13082</v>
      </c>
      <c r="C10" s="14">
        <f>(399/B10*100)</f>
        <v>3.0499923559088824</v>
      </c>
      <c r="D10" s="15">
        <v>12683</v>
      </c>
      <c r="E10" s="14">
        <v>21.731541159999999</v>
      </c>
      <c r="F10" s="16">
        <v>0.40007037000000001</v>
      </c>
      <c r="G10" s="14">
        <v>2.3488094199999998</v>
      </c>
      <c r="H10" s="16">
        <v>0.19966397999999999</v>
      </c>
      <c r="I10" s="14">
        <v>0</v>
      </c>
      <c r="J10" s="16">
        <v>0</v>
      </c>
      <c r="K10" s="14" t="s">
        <v>51</v>
      </c>
      <c r="L10" s="16" t="s">
        <v>51</v>
      </c>
      <c r="M10" s="14">
        <v>75.919649419999999</v>
      </c>
      <c r="N10" s="16">
        <v>0.36154701</v>
      </c>
      <c r="O10" s="14">
        <v>0</v>
      </c>
      <c r="P10" s="16">
        <v>0</v>
      </c>
      <c r="Q10" s="14">
        <v>0</v>
      </c>
      <c r="R10" s="16">
        <v>0</v>
      </c>
    </row>
    <row r="11" spans="1:18" x14ac:dyDescent="0.25">
      <c r="A11" s="11" t="s">
        <v>54</v>
      </c>
      <c r="B11" s="13">
        <v>7053</v>
      </c>
      <c r="C11" s="14">
        <f>(328/B11*100)</f>
        <v>4.6505033319154965</v>
      </c>
      <c r="D11" s="15">
        <v>6725</v>
      </c>
      <c r="E11" s="14">
        <v>15.14482463</v>
      </c>
      <c r="F11" s="16">
        <v>0.42922874999999999</v>
      </c>
      <c r="G11" s="14">
        <v>6.5876759700000003</v>
      </c>
      <c r="H11" s="16">
        <v>0.4070299</v>
      </c>
      <c r="I11" s="14">
        <v>0</v>
      </c>
      <c r="J11" s="16">
        <v>0</v>
      </c>
      <c r="K11" s="14" t="s">
        <v>51</v>
      </c>
      <c r="L11" s="16" t="s">
        <v>51</v>
      </c>
      <c r="M11" s="14">
        <v>78.267499400000005</v>
      </c>
      <c r="N11" s="16">
        <v>0.39590803000000002</v>
      </c>
      <c r="O11" s="14">
        <v>0</v>
      </c>
      <c r="P11" s="16">
        <v>0</v>
      </c>
      <c r="Q11" s="14">
        <v>0</v>
      </c>
      <c r="R11" s="16">
        <v>0</v>
      </c>
    </row>
    <row r="12" spans="1:18"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row>
    <row r="13" spans="1:18"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row>
    <row r="14" spans="1:18"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row>
    <row r="15" spans="1:18"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row>
    <row r="16" spans="1:18"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row>
    <row r="17" spans="1:18"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row>
    <row r="18" spans="1:18"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row>
    <row r="19" spans="1:18"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row>
    <row r="20" spans="1:18"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row>
    <row r="21" spans="1:18"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row>
    <row r="22" spans="1:18"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row>
    <row r="23" spans="1:18" x14ac:dyDescent="0.25">
      <c r="A23" s="11" t="s">
        <v>66</v>
      </c>
      <c r="B23" s="13">
        <v>11583</v>
      </c>
      <c r="C23" s="14">
        <f>(781/B23*100)</f>
        <v>6.7426400759734095</v>
      </c>
      <c r="D23" s="15">
        <v>10802</v>
      </c>
      <c r="E23" s="14">
        <v>17.67116609</v>
      </c>
      <c r="F23" s="16">
        <v>0.36971918999999998</v>
      </c>
      <c r="G23" s="14">
        <v>3.51111781</v>
      </c>
      <c r="H23" s="16">
        <v>0.23455843000000001</v>
      </c>
      <c r="I23" s="14">
        <v>0</v>
      </c>
      <c r="J23" s="16">
        <v>0</v>
      </c>
      <c r="K23" s="14" t="s">
        <v>51</v>
      </c>
      <c r="L23" s="16" t="s">
        <v>51</v>
      </c>
      <c r="M23" s="14">
        <v>78.817716090000005</v>
      </c>
      <c r="N23" s="16">
        <v>0.35344035000000001</v>
      </c>
      <c r="O23" s="14">
        <v>0</v>
      </c>
      <c r="P23" s="16">
        <v>0</v>
      </c>
      <c r="Q23" s="14">
        <v>0</v>
      </c>
      <c r="R23" s="16">
        <v>0</v>
      </c>
    </row>
    <row r="24" spans="1:18"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row>
    <row r="25" spans="1:18"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row>
    <row r="26" spans="1:18"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row>
    <row r="27" spans="1:18"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row>
    <row r="28" spans="1:18"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row>
    <row r="29" spans="1:18" x14ac:dyDescent="0.25">
      <c r="A29" s="11" t="s">
        <v>72</v>
      </c>
      <c r="B29" s="13">
        <v>5385</v>
      </c>
      <c r="C29" s="14">
        <f>(87/B29*100)</f>
        <v>1.6155988857938719</v>
      </c>
      <c r="D29" s="15">
        <v>5298</v>
      </c>
      <c r="E29" s="14">
        <v>21.59096787</v>
      </c>
      <c r="F29" s="16">
        <v>0.33819320000000003</v>
      </c>
      <c r="G29" s="14">
        <v>2.5856221399999999</v>
      </c>
      <c r="H29" s="16">
        <v>0.21710751</v>
      </c>
      <c r="I29" s="14">
        <v>0</v>
      </c>
      <c r="J29" s="16">
        <v>0</v>
      </c>
      <c r="K29" s="14" t="s">
        <v>51</v>
      </c>
      <c r="L29" s="16" t="s">
        <v>51</v>
      </c>
      <c r="M29" s="14">
        <v>75.823409990000002</v>
      </c>
      <c r="N29" s="16">
        <v>0.31684754999999998</v>
      </c>
      <c r="O29" s="14">
        <v>0</v>
      </c>
      <c r="P29" s="16">
        <v>0</v>
      </c>
      <c r="Q29" s="14">
        <v>0</v>
      </c>
      <c r="R29" s="16">
        <v>0</v>
      </c>
    </row>
    <row r="30" spans="1:18"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row>
    <row r="31" spans="1:18"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row>
    <row r="32" spans="1:18" x14ac:dyDescent="0.25">
      <c r="A32" s="11" t="s">
        <v>75</v>
      </c>
      <c r="B32" s="13">
        <v>4478</v>
      </c>
      <c r="C32" s="14">
        <f>(170/B32*100)</f>
        <v>3.7963376507369362</v>
      </c>
      <c r="D32" s="15">
        <v>4308</v>
      </c>
      <c r="E32" s="14">
        <v>30.024482379999998</v>
      </c>
      <c r="F32" s="16">
        <v>0.51779478000000001</v>
      </c>
      <c r="G32" s="14">
        <v>6.4207255999999999</v>
      </c>
      <c r="H32" s="16">
        <v>0.38907562000000001</v>
      </c>
      <c r="I32" s="14">
        <v>0</v>
      </c>
      <c r="J32" s="16">
        <v>0</v>
      </c>
      <c r="K32" s="14" t="s">
        <v>51</v>
      </c>
      <c r="L32" s="16" t="s">
        <v>51</v>
      </c>
      <c r="M32" s="14">
        <v>63.554792020000001</v>
      </c>
      <c r="N32" s="16">
        <v>0.36846772999999999</v>
      </c>
      <c r="O32" s="14">
        <v>0</v>
      </c>
      <c r="P32" s="16">
        <v>0</v>
      </c>
      <c r="Q32" s="14">
        <v>0</v>
      </c>
      <c r="R32" s="16">
        <v>0</v>
      </c>
    </row>
    <row r="33" spans="1:18"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row>
    <row r="34" spans="1:18" x14ac:dyDescent="0.25">
      <c r="A34" s="11" t="s">
        <v>77</v>
      </c>
      <c r="B34" s="13">
        <v>6350</v>
      </c>
      <c r="C34" s="14">
        <f>(367/B34*100)</f>
        <v>5.7795275590551185</v>
      </c>
      <c r="D34" s="15">
        <v>5983</v>
      </c>
      <c r="E34" s="14">
        <v>15.776944220000001</v>
      </c>
      <c r="F34" s="16">
        <v>0.40796180999999998</v>
      </c>
      <c r="G34" s="14">
        <v>5.0696594800000003</v>
      </c>
      <c r="H34" s="16">
        <v>0.27502811999999999</v>
      </c>
      <c r="I34" s="14">
        <v>0</v>
      </c>
      <c r="J34" s="16">
        <v>0</v>
      </c>
      <c r="K34" s="14" t="s">
        <v>51</v>
      </c>
      <c r="L34" s="16" t="s">
        <v>51</v>
      </c>
      <c r="M34" s="14">
        <v>79.153396299999997</v>
      </c>
      <c r="N34" s="16">
        <v>0.40758769</v>
      </c>
      <c r="O34" s="14">
        <v>0</v>
      </c>
      <c r="P34" s="16">
        <v>0</v>
      </c>
      <c r="Q34" s="14">
        <v>0</v>
      </c>
      <c r="R34" s="16">
        <v>0</v>
      </c>
    </row>
    <row r="35" spans="1:18"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row>
    <row r="36" spans="1:18" x14ac:dyDescent="0.25">
      <c r="A36" s="11" t="s">
        <v>79</v>
      </c>
      <c r="B36" s="13">
        <v>6736</v>
      </c>
      <c r="C36" s="14">
        <f>(296/B36*100)</f>
        <v>4.3942992874109263</v>
      </c>
      <c r="D36" s="15">
        <v>6440</v>
      </c>
      <c r="E36" s="14">
        <v>17.905917880000001</v>
      </c>
      <c r="F36" s="16">
        <v>0.35701646999999997</v>
      </c>
      <c r="G36" s="14">
        <v>4.7537385700000003</v>
      </c>
      <c r="H36" s="16">
        <v>0.27536838000000002</v>
      </c>
      <c r="I36" s="14">
        <v>0</v>
      </c>
      <c r="J36" s="16">
        <v>0</v>
      </c>
      <c r="K36" s="14" t="s">
        <v>51</v>
      </c>
      <c r="L36" s="16" t="s">
        <v>51</v>
      </c>
      <c r="M36" s="14">
        <v>77.340343540000006</v>
      </c>
      <c r="N36" s="16">
        <v>0.297593</v>
      </c>
      <c r="O36" s="14">
        <v>0</v>
      </c>
      <c r="P36" s="16">
        <v>0</v>
      </c>
      <c r="Q36" s="14">
        <v>0</v>
      </c>
      <c r="R36" s="16">
        <v>0</v>
      </c>
    </row>
    <row r="37" spans="1:18"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row>
    <row r="38" spans="1:18"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row>
    <row r="39" spans="1:18"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row>
    <row r="40" spans="1:18"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row>
    <row r="41" spans="1:18" x14ac:dyDescent="0.25">
      <c r="A41" s="11" t="s">
        <v>84</v>
      </c>
      <c r="B41" s="13">
        <v>5712</v>
      </c>
      <c r="C41" s="14">
        <f>(195/B41*100)</f>
        <v>3.4138655462184873</v>
      </c>
      <c r="D41" s="15">
        <v>5517</v>
      </c>
      <c r="E41" s="14">
        <v>21.235047819999998</v>
      </c>
      <c r="F41" s="16">
        <v>0.38302553</v>
      </c>
      <c r="G41" s="14">
        <v>2.21244737</v>
      </c>
      <c r="H41" s="16">
        <v>0.20069522000000001</v>
      </c>
      <c r="I41" s="14">
        <v>0</v>
      </c>
      <c r="J41" s="16">
        <v>0</v>
      </c>
      <c r="K41" s="14" t="s">
        <v>51</v>
      </c>
      <c r="L41" s="16" t="s">
        <v>51</v>
      </c>
      <c r="M41" s="14">
        <v>76.552504810000002</v>
      </c>
      <c r="N41" s="16">
        <v>0.36793716999999998</v>
      </c>
      <c r="O41" s="14">
        <v>0</v>
      </c>
      <c r="P41" s="16">
        <v>0</v>
      </c>
      <c r="Q41" s="14">
        <v>0</v>
      </c>
      <c r="R41" s="16">
        <v>0</v>
      </c>
    </row>
    <row r="42" spans="1:18" x14ac:dyDescent="0.25">
      <c r="A42" s="11" t="s">
        <v>85</v>
      </c>
      <c r="B42" s="13">
        <f>IF(COUNT(B7:B41) &gt; 0, AVERAGE(B7:B41), "\u2014")</f>
        <v>8058.4</v>
      </c>
      <c r="C42" s="14">
        <f>IF(COUNT(C7:C41) &gt; 0, AVERAGE(C7:C41), "—")</f>
        <v>6.9329773494490254</v>
      </c>
      <c r="D42" s="15">
        <f>IF(COUNT(D7:D41) &gt; 0, AVERAGE(D7:D41), "—")</f>
        <v>7337.7</v>
      </c>
      <c r="E42" s="14">
        <f>IF(COUNT(E7:E41) &gt; 0, AVERAGE(E7:E41), "—")</f>
        <v>26.578188976999996</v>
      </c>
      <c r="F42" s="16">
        <f>IF(COUNT(F7:F41) &gt; 0, SQRT(SUMSQ(F7:F41)/(COUNT(F7:F41)*COUNT(F7:F41)) ), "—")</f>
        <v>0.13292489917172703</v>
      </c>
      <c r="G42" s="14">
        <f>IF(COUNT(G7:G41) &gt; 0, AVERAGE(G7:G41), "—")</f>
        <v>4.7861956269999997</v>
      </c>
      <c r="H42" s="16">
        <f>IF(COUNT(H7:H41) &gt; 0, SQRT(SUMSQ(H7:H41)/(COUNT(H7:H41)*COUNT(H7:H41)) ), "—")</f>
        <v>9.2763063385659358E-2</v>
      </c>
      <c r="I42" s="14">
        <f>IF(COUNT(I7:I41) &gt; 0, AVERAGE(I7:I41), "—")</f>
        <v>0</v>
      </c>
      <c r="J42" s="16">
        <f>IF(COUNT(J7:J41) &gt; 0, SQRT(SUMSQ(J7:J41)/(COUNT(J7:J41)*COUNT(J7:J41)) ), "—")</f>
        <v>0</v>
      </c>
      <c r="K42" s="14" t="str">
        <f>IF(COUNT(K7:K41) &gt; 0, AVERAGE(K7:K41), "—")</f>
        <v>—</v>
      </c>
      <c r="L42" s="16" t="str">
        <f>IF(COUNT(L7:L41) &gt; 0, SQRT(SUMSQ(L7:L41)/(COUNT(L7:L41)*COUNT(L7:L41)) ), "—")</f>
        <v>—</v>
      </c>
      <c r="M42" s="14">
        <f>IF(COUNT(M7:M41) &gt; 0, AVERAGE(M7:M41), "—")</f>
        <v>68.635615394000013</v>
      </c>
      <c r="N42" s="16">
        <f>IF(COUNT(N7:N41) &gt; 0, SQRT(SUMSQ(N7:N41)/(COUNT(N7:N41)*COUNT(N7:N41)) ), "—")</f>
        <v>0.11681224203264537</v>
      </c>
      <c r="O42" s="14">
        <f>IF(COUNT(O7:O41) &gt; 0, AVERAGE(O7:O41), "—")</f>
        <v>0</v>
      </c>
      <c r="P42" s="16">
        <f>IF(COUNT(P7:P41) &gt; 0, SQRT(SUMSQ(P7:P41)/(COUNT(P7:P41)*COUNT(P7:P41)) ), "—")</f>
        <v>0</v>
      </c>
      <c r="Q42" s="14">
        <f>IF(COUNT(Q7:Q41) &gt; 0, AVERAGE(Q7:Q41), "—")</f>
        <v>0</v>
      </c>
      <c r="R42" s="16">
        <f>IF(COUNT(R7:R41) &gt; 0, SQRT(SUMSQ(R7:R41)/(COUNT(R7:R41)*COUNT(R7:R41)) ), "—")</f>
        <v>0</v>
      </c>
    </row>
    <row r="43" spans="1:18" x14ac:dyDescent="0.25">
      <c r="A43" s="9" t="s">
        <v>86</v>
      </c>
      <c r="B43" s="10"/>
      <c r="C43" s="10"/>
      <c r="D43" s="11"/>
      <c r="E43" s="10"/>
      <c r="F43" s="11"/>
      <c r="G43" s="10"/>
      <c r="H43" s="11"/>
      <c r="I43" s="10"/>
      <c r="J43" s="11"/>
      <c r="K43" s="10"/>
      <c r="L43" s="11"/>
      <c r="M43" s="10"/>
      <c r="N43" s="11"/>
      <c r="O43" s="10"/>
      <c r="P43" s="11"/>
      <c r="Q43" s="10"/>
      <c r="R43" s="12"/>
    </row>
    <row r="44" spans="1:18"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row>
    <row r="45" spans="1:18"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row>
    <row r="46" spans="1:18" x14ac:dyDescent="0.25">
      <c r="A46" s="11" t="s">
        <v>89</v>
      </c>
      <c r="B46" s="13">
        <v>23141</v>
      </c>
      <c r="C46" s="14">
        <f>(4263/B46*100)</f>
        <v>18.421848666868328</v>
      </c>
      <c r="D46" s="15">
        <v>18878</v>
      </c>
      <c r="E46" s="14">
        <v>6.2353039700000004</v>
      </c>
      <c r="F46" s="16">
        <v>0.30025450999999997</v>
      </c>
      <c r="G46" s="14">
        <v>4.39506452</v>
      </c>
      <c r="H46" s="16">
        <v>0.2134974</v>
      </c>
      <c r="I46" s="14">
        <v>0</v>
      </c>
      <c r="J46" s="16">
        <v>0</v>
      </c>
      <c r="K46" s="14" t="s">
        <v>51</v>
      </c>
      <c r="L46" s="16" t="s">
        <v>51</v>
      </c>
      <c r="M46" s="14">
        <v>89.369631510000005</v>
      </c>
      <c r="N46" s="16">
        <v>0.36580230000000002</v>
      </c>
      <c r="O46" s="14">
        <v>0</v>
      </c>
      <c r="P46" s="16">
        <v>0</v>
      </c>
      <c r="Q46" s="14">
        <v>0</v>
      </c>
      <c r="R46" s="16">
        <v>0</v>
      </c>
    </row>
    <row r="47" spans="1:18"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row>
    <row r="48" spans="1:18" x14ac:dyDescent="0.25">
      <c r="A48" s="11" t="s">
        <v>91</v>
      </c>
      <c r="B48" s="13">
        <v>9841</v>
      </c>
      <c r="C48" s="14">
        <f>(204/B48*100)</f>
        <v>2.0729600650340414</v>
      </c>
      <c r="D48" s="15">
        <v>9637</v>
      </c>
      <c r="E48" s="14">
        <v>16.333576959999998</v>
      </c>
      <c r="F48" s="16">
        <v>0.33961658</v>
      </c>
      <c r="G48" s="14">
        <v>7.5859442599999998</v>
      </c>
      <c r="H48" s="16">
        <v>0.34980445999999998</v>
      </c>
      <c r="I48" s="14">
        <v>0</v>
      </c>
      <c r="J48" s="16">
        <v>0</v>
      </c>
      <c r="K48" s="14" t="s">
        <v>51</v>
      </c>
      <c r="L48" s="16" t="s">
        <v>51</v>
      </c>
      <c r="M48" s="14">
        <v>76.080478780000007</v>
      </c>
      <c r="N48" s="16">
        <v>0.33490568999999998</v>
      </c>
      <c r="O48" s="14">
        <v>0</v>
      </c>
      <c r="P48" s="16">
        <v>0</v>
      </c>
      <c r="Q48" s="14">
        <v>0</v>
      </c>
      <c r="R48" s="16">
        <v>0</v>
      </c>
    </row>
    <row r="49" spans="1:18"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row>
    <row r="50" spans="1:18"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row>
    <row r="51" spans="1:18"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row>
    <row r="52" spans="1:18"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row>
    <row r="53" spans="1:18"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row>
    <row r="54" spans="1:18"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row>
    <row r="55" spans="1:18"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row>
    <row r="56" spans="1:18"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row>
    <row r="57" spans="1:18"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row>
    <row r="58" spans="1:18"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row>
    <row r="59" spans="1:18"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row>
    <row r="60" spans="1:18"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row>
    <row r="61" spans="1:18" x14ac:dyDescent="0.25">
      <c r="A61" s="11" t="s">
        <v>104</v>
      </c>
      <c r="B61" s="13">
        <v>6525</v>
      </c>
      <c r="C61" s="14">
        <f>(233/B61*100)</f>
        <v>3.5708812260536398</v>
      </c>
      <c r="D61" s="15">
        <v>6292</v>
      </c>
      <c r="E61" s="14">
        <v>20.78366222</v>
      </c>
      <c r="F61" s="16">
        <v>0.45251417999999999</v>
      </c>
      <c r="G61" s="14">
        <v>3.1991727499999998</v>
      </c>
      <c r="H61" s="16">
        <v>0.24774001000000001</v>
      </c>
      <c r="I61" s="14">
        <v>0</v>
      </c>
      <c r="J61" s="16">
        <v>0</v>
      </c>
      <c r="K61" s="14" t="s">
        <v>51</v>
      </c>
      <c r="L61" s="16" t="s">
        <v>51</v>
      </c>
      <c r="M61" s="14">
        <v>76.017165030000001</v>
      </c>
      <c r="N61" s="16">
        <v>0.39273441999999997</v>
      </c>
      <c r="O61" s="14">
        <v>0</v>
      </c>
      <c r="P61" s="16">
        <v>0</v>
      </c>
      <c r="Q61" s="14">
        <v>0</v>
      </c>
      <c r="R61" s="16">
        <v>0</v>
      </c>
    </row>
    <row r="62" spans="1:18"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row>
    <row r="63" spans="1:18"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row>
    <row r="64" spans="1:18"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row>
    <row r="65" spans="1:18"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row>
    <row r="66" spans="1:18"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row>
    <row r="67" spans="1:18" x14ac:dyDescent="0.25">
      <c r="A67" s="11" t="s">
        <v>110</v>
      </c>
      <c r="B67" s="13">
        <v>6971</v>
      </c>
      <c r="C67" s="14">
        <f>(882/B67*100)</f>
        <v>12.652417156792426</v>
      </c>
      <c r="D67" s="15">
        <v>6089</v>
      </c>
      <c r="E67" s="14">
        <v>9.1135444900000007</v>
      </c>
      <c r="F67" s="16">
        <v>0.44927982</v>
      </c>
      <c r="G67" s="14">
        <v>6.0793471099999996</v>
      </c>
      <c r="H67" s="16">
        <v>0.33982517000000001</v>
      </c>
      <c r="I67" s="14">
        <v>0</v>
      </c>
      <c r="J67" s="16">
        <v>0</v>
      </c>
      <c r="K67" s="14" t="s">
        <v>51</v>
      </c>
      <c r="L67" s="16" t="s">
        <v>51</v>
      </c>
      <c r="M67" s="14">
        <v>84.807108409999998</v>
      </c>
      <c r="N67" s="16">
        <v>0.56223540999999999</v>
      </c>
      <c r="O67" s="14">
        <v>0</v>
      </c>
      <c r="P67" s="16">
        <v>0</v>
      </c>
      <c r="Q67" s="14">
        <v>0</v>
      </c>
      <c r="R67" s="16">
        <v>0</v>
      </c>
    </row>
    <row r="68" spans="1:18"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row>
    <row r="69" spans="1:18"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row>
    <row r="70" spans="1:18" x14ac:dyDescent="0.25">
      <c r="A70" s="11" t="s">
        <v>113</v>
      </c>
      <c r="B70" s="13">
        <v>6036</v>
      </c>
      <c r="C70" s="14">
        <f>(456/B70*100)</f>
        <v>7.5546719681908545</v>
      </c>
      <c r="D70" s="15">
        <v>5580</v>
      </c>
      <c r="E70" s="14">
        <v>17.10475907</v>
      </c>
      <c r="F70" s="16">
        <v>0.56943677999999998</v>
      </c>
      <c r="G70" s="14">
        <v>2.4220253</v>
      </c>
      <c r="H70" s="16">
        <v>0.22591476999999999</v>
      </c>
      <c r="I70" s="14">
        <v>0</v>
      </c>
      <c r="J70" s="16">
        <v>0</v>
      </c>
      <c r="K70" s="14" t="s">
        <v>51</v>
      </c>
      <c r="L70" s="16" t="s">
        <v>51</v>
      </c>
      <c r="M70" s="14">
        <v>80.473215640000006</v>
      </c>
      <c r="N70" s="16">
        <v>0.58331206999999996</v>
      </c>
      <c r="O70" s="14">
        <v>0</v>
      </c>
      <c r="P70" s="16">
        <v>0</v>
      </c>
      <c r="Q70" s="14">
        <v>0</v>
      </c>
      <c r="R70" s="16">
        <v>0</v>
      </c>
    </row>
    <row r="71" spans="1:18"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row>
    <row r="72" spans="1:18"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row>
    <row r="73" spans="1:18"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row>
    <row r="74" spans="1:18"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row>
    <row r="75" spans="1:18"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row>
    <row r="76" spans="1:18"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row>
    <row r="77" spans="1:18"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row>
    <row r="78" spans="1:18"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row>
    <row r="79" spans="1:18"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row>
    <row r="80" spans="1:18"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row>
    <row r="81" spans="1:18"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row>
    <row r="82" spans="1:18"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row>
    <row r="83" spans="1:18" x14ac:dyDescent="0.25">
      <c r="A83" s="3" t="s">
        <v>126</v>
      </c>
    </row>
    <row r="84" spans="1:18" x14ac:dyDescent="0.25">
      <c r="A84" s="26" t="s">
        <v>127</v>
      </c>
      <c r="B84" s="24"/>
      <c r="C84" s="24"/>
      <c r="D84" s="24"/>
      <c r="E84" s="24"/>
      <c r="F84" s="24"/>
      <c r="G84" s="24"/>
      <c r="H84" s="24"/>
      <c r="I84" s="24"/>
      <c r="J84" s="24"/>
      <c r="K84" s="24"/>
      <c r="L84" s="24"/>
      <c r="M84" s="24"/>
      <c r="N84" s="24"/>
      <c r="O84" s="24"/>
      <c r="P84" s="24"/>
      <c r="Q84" s="24"/>
      <c r="R84" s="24"/>
    </row>
    <row r="85" spans="1:18" x14ac:dyDescent="0.25">
      <c r="A85" s="26" t="s">
        <v>128</v>
      </c>
      <c r="B85" s="24"/>
      <c r="C85" s="24"/>
      <c r="D85" s="24"/>
      <c r="E85" s="24"/>
      <c r="F85" s="24"/>
      <c r="G85" s="24"/>
      <c r="H85" s="24"/>
      <c r="I85" s="24"/>
      <c r="J85" s="24"/>
      <c r="K85" s="24"/>
      <c r="L85" s="24"/>
      <c r="M85" s="24"/>
      <c r="N85" s="24"/>
      <c r="O85" s="24"/>
      <c r="P85" s="24"/>
      <c r="Q85" s="24"/>
      <c r="R85" s="24"/>
    </row>
    <row r="86" spans="1:18" ht="30" customHeight="1" x14ac:dyDescent="0.25">
      <c r="A86" s="26" t="s">
        <v>129</v>
      </c>
      <c r="B86" s="24"/>
      <c r="C86" s="24"/>
      <c r="D86" s="24"/>
      <c r="E86" s="24"/>
      <c r="F86" s="24"/>
      <c r="G86" s="24"/>
      <c r="H86" s="24"/>
      <c r="I86" s="24"/>
      <c r="J86" s="24"/>
      <c r="K86" s="24"/>
      <c r="L86" s="24"/>
      <c r="M86" s="24"/>
      <c r="N86" s="24"/>
      <c r="O86" s="24"/>
      <c r="P86" s="24"/>
      <c r="Q86" s="24"/>
      <c r="R86" s="24"/>
    </row>
    <row r="87" spans="1:18" ht="30" customHeight="1" x14ac:dyDescent="0.25">
      <c r="A87" s="26" t="s">
        <v>125</v>
      </c>
      <c r="B87" s="24"/>
      <c r="C87" s="24"/>
      <c r="D87" s="24"/>
      <c r="E87" s="24"/>
      <c r="F87" s="24"/>
      <c r="G87" s="24"/>
      <c r="H87" s="24"/>
      <c r="I87" s="24"/>
      <c r="J87" s="24"/>
      <c r="K87" s="24"/>
      <c r="L87" s="24"/>
      <c r="M87" s="24"/>
      <c r="N87" s="24"/>
      <c r="O87" s="24"/>
      <c r="P87" s="24"/>
      <c r="Q87" s="24"/>
      <c r="R87" s="24"/>
    </row>
    <row r="88" spans="1:18" ht="30" customHeight="1" x14ac:dyDescent="0.25">
      <c r="A88" s="26" t="s">
        <v>130</v>
      </c>
      <c r="B88" s="24"/>
      <c r="C88" s="24"/>
      <c r="D88" s="24"/>
      <c r="E88" s="24"/>
      <c r="F88" s="24"/>
      <c r="G88" s="24"/>
      <c r="H88" s="24"/>
      <c r="I88" s="24"/>
      <c r="J88" s="24"/>
      <c r="K88" s="24"/>
      <c r="L88" s="24"/>
      <c r="M88" s="24"/>
      <c r="N88" s="24"/>
      <c r="O88" s="24"/>
      <c r="P88" s="24"/>
      <c r="Q88" s="24"/>
      <c r="R88" s="24"/>
    </row>
    <row r="89" spans="1:18" ht="30" customHeight="1" x14ac:dyDescent="0.25">
      <c r="A89" s="26" t="s">
        <v>131</v>
      </c>
      <c r="B89" s="24"/>
      <c r="C89" s="24"/>
      <c r="D89" s="24"/>
      <c r="E89" s="24"/>
      <c r="F89" s="24"/>
      <c r="G89" s="24"/>
      <c r="H89" s="24"/>
      <c r="I89" s="24"/>
      <c r="J89" s="24"/>
      <c r="K89" s="24"/>
      <c r="L89" s="24"/>
      <c r="M89" s="24"/>
      <c r="N89" s="24"/>
      <c r="O89" s="24"/>
      <c r="P89" s="24"/>
      <c r="Q89" s="24"/>
      <c r="R89" s="24"/>
    </row>
    <row r="90" spans="1:18" ht="30" customHeight="1" x14ac:dyDescent="0.25">
      <c r="A90" s="26" t="s">
        <v>132</v>
      </c>
      <c r="B90" s="24"/>
      <c r="C90" s="24"/>
      <c r="D90" s="24"/>
      <c r="E90" s="24"/>
      <c r="F90" s="24"/>
      <c r="G90" s="24"/>
      <c r="H90" s="24"/>
      <c r="I90" s="24"/>
      <c r="J90" s="24"/>
      <c r="K90" s="24"/>
      <c r="L90" s="24"/>
      <c r="M90" s="24"/>
      <c r="N90" s="24"/>
      <c r="O90" s="24"/>
      <c r="P90" s="24"/>
      <c r="Q90" s="24"/>
      <c r="R90" s="24"/>
    </row>
    <row r="91" spans="1:18" ht="30" customHeight="1" x14ac:dyDescent="0.25">
      <c r="A91" s="26" t="s">
        <v>133</v>
      </c>
      <c r="B91" s="24"/>
      <c r="C91" s="24"/>
      <c r="D91" s="24"/>
      <c r="E91" s="24"/>
      <c r="F91" s="24"/>
      <c r="G91" s="24"/>
      <c r="H91" s="24"/>
      <c r="I91" s="24"/>
      <c r="J91" s="24"/>
      <c r="K91" s="24"/>
      <c r="L91" s="24"/>
      <c r="M91" s="24"/>
      <c r="N91" s="24"/>
      <c r="O91" s="24"/>
      <c r="P91" s="24"/>
      <c r="Q91" s="24"/>
      <c r="R91" s="24"/>
    </row>
    <row r="92" spans="1:18" ht="30" customHeight="1" x14ac:dyDescent="0.25">
      <c r="A92" s="26" t="s">
        <v>134</v>
      </c>
      <c r="B92" s="24"/>
      <c r="C92" s="24"/>
      <c r="D92" s="24"/>
      <c r="E92" s="24"/>
      <c r="F92" s="24"/>
      <c r="G92" s="24"/>
      <c r="H92" s="24"/>
      <c r="I92" s="24"/>
      <c r="J92" s="24"/>
      <c r="K92" s="24"/>
      <c r="L92" s="24"/>
      <c r="M92" s="24"/>
      <c r="N92" s="24"/>
      <c r="O92" s="24"/>
      <c r="P92" s="24"/>
      <c r="Q92" s="24"/>
      <c r="R92" s="24"/>
    </row>
    <row r="93" spans="1:18" ht="30" customHeight="1" x14ac:dyDescent="0.25">
      <c r="A93" s="26" t="s">
        <v>135</v>
      </c>
      <c r="B93" s="24"/>
      <c r="C93" s="24"/>
      <c r="D93" s="24"/>
      <c r="E93" s="24"/>
      <c r="F93" s="24"/>
      <c r="G93" s="24"/>
      <c r="H93" s="24"/>
      <c r="I93" s="24"/>
      <c r="J93" s="24"/>
      <c r="K93" s="24"/>
      <c r="L93" s="24"/>
      <c r="M93" s="24"/>
      <c r="N93" s="24"/>
      <c r="O93" s="24"/>
      <c r="P93" s="24"/>
      <c r="Q93" s="24"/>
      <c r="R93" s="24"/>
    </row>
    <row r="94" spans="1:18" ht="30" customHeight="1" x14ac:dyDescent="0.25">
      <c r="A94" s="26" t="s">
        <v>136</v>
      </c>
      <c r="B94" s="24"/>
      <c r="C94" s="24"/>
      <c r="D94" s="24"/>
      <c r="E94" s="24"/>
      <c r="F94" s="24"/>
      <c r="G94" s="24"/>
      <c r="H94" s="24"/>
      <c r="I94" s="24"/>
      <c r="J94" s="24"/>
      <c r="K94" s="24"/>
      <c r="L94" s="24"/>
      <c r="M94" s="24"/>
      <c r="N94" s="24"/>
      <c r="O94" s="24"/>
      <c r="P94" s="24"/>
      <c r="Q94" s="24"/>
      <c r="R94" s="24"/>
    </row>
    <row r="95" spans="1:18" ht="30" customHeight="1" x14ac:dyDescent="0.25">
      <c r="A95" s="26" t="s">
        <v>137</v>
      </c>
      <c r="B95" s="24"/>
      <c r="C95" s="24"/>
      <c r="D95" s="24"/>
      <c r="E95" s="24"/>
      <c r="F95" s="24"/>
      <c r="G95" s="24"/>
      <c r="H95" s="24"/>
      <c r="I95" s="24"/>
      <c r="J95" s="24"/>
      <c r="K95" s="24"/>
      <c r="L95" s="24"/>
      <c r="M95" s="24"/>
      <c r="N95" s="24"/>
      <c r="O95" s="24"/>
      <c r="P95" s="24"/>
      <c r="Q95" s="24"/>
      <c r="R95" s="24"/>
    </row>
    <row r="96" spans="1:18" ht="30" customHeight="1" x14ac:dyDescent="0.25">
      <c r="A96" s="26" t="s">
        <v>138</v>
      </c>
      <c r="B96" s="24"/>
      <c r="C96" s="24"/>
      <c r="D96" s="24"/>
      <c r="E96" s="24"/>
      <c r="F96" s="24"/>
      <c r="G96" s="24"/>
      <c r="H96" s="24"/>
      <c r="I96" s="24"/>
      <c r="J96" s="24"/>
      <c r="K96" s="24"/>
      <c r="L96" s="24"/>
      <c r="M96" s="24"/>
      <c r="N96" s="24"/>
      <c r="O96" s="24"/>
      <c r="P96" s="24"/>
      <c r="Q96" s="24"/>
      <c r="R96" s="24"/>
    </row>
    <row r="97" spans="1:1" ht="30" customHeight="1" x14ac:dyDescent="0.25">
      <c r="A97" s="27" t="s">
        <v>171</v>
      </c>
    </row>
  </sheetData>
  <mergeCells count="22">
    <mergeCell ref="A95:R95"/>
    <mergeCell ref="A96:R96"/>
    <mergeCell ref="A90:R90"/>
    <mergeCell ref="A91:R91"/>
    <mergeCell ref="A92:R92"/>
    <mergeCell ref="A93:R93"/>
    <mergeCell ref="A94:R94"/>
    <mergeCell ref="A85:R85"/>
    <mergeCell ref="A86:R86"/>
    <mergeCell ref="A87:R87"/>
    <mergeCell ref="A88:R88"/>
    <mergeCell ref="A89:R89"/>
    <mergeCell ref="O4:P4"/>
    <mergeCell ref="Q4:R4"/>
    <mergeCell ref="A1:R1"/>
    <mergeCell ref="A2:R2"/>
    <mergeCell ref="A84:R84"/>
    <mergeCell ref="E4:F4"/>
    <mergeCell ref="G4:H4"/>
    <mergeCell ref="I4:J4"/>
    <mergeCell ref="K4:L4"/>
    <mergeCell ref="M4:N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tabSelected="1"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18" x14ac:dyDescent="0.25">
      <c r="A1" s="23" t="s">
        <v>33</v>
      </c>
      <c r="B1" s="24"/>
      <c r="C1" s="24"/>
      <c r="D1" s="24"/>
      <c r="E1" s="24"/>
      <c r="F1" s="24"/>
      <c r="G1" s="24"/>
      <c r="H1" s="24"/>
      <c r="I1" s="24"/>
      <c r="J1" s="24"/>
      <c r="K1" s="24"/>
      <c r="L1" s="24"/>
      <c r="M1" s="24"/>
      <c r="N1" s="24"/>
      <c r="O1" s="24"/>
      <c r="P1" s="24"/>
      <c r="Q1" s="24"/>
      <c r="R1" s="24"/>
    </row>
    <row r="2" spans="1:18" x14ac:dyDescent="0.25">
      <c r="A2" s="25" t="s">
        <v>159</v>
      </c>
      <c r="B2" s="24"/>
      <c r="C2" s="24"/>
      <c r="D2" s="24"/>
      <c r="E2" s="24"/>
      <c r="F2" s="24"/>
      <c r="G2" s="24"/>
      <c r="H2" s="24"/>
      <c r="I2" s="24"/>
      <c r="J2" s="24"/>
      <c r="K2" s="24"/>
      <c r="L2" s="24"/>
      <c r="M2" s="24"/>
      <c r="N2" s="24"/>
      <c r="O2" s="24"/>
      <c r="P2" s="24"/>
      <c r="Q2" s="24"/>
      <c r="R2" s="24"/>
    </row>
    <row r="4" spans="1:18" ht="30" customHeight="1" x14ac:dyDescent="0.25">
      <c r="A4" s="4"/>
      <c r="B4" s="5" t="s">
        <v>35</v>
      </c>
      <c r="C4" s="5" t="s">
        <v>36</v>
      </c>
      <c r="D4" s="6" t="s">
        <v>35</v>
      </c>
      <c r="E4" s="21" t="s">
        <v>37</v>
      </c>
      <c r="F4" s="22"/>
      <c r="G4" s="21" t="s">
        <v>38</v>
      </c>
      <c r="H4" s="22"/>
      <c r="I4" s="21" t="s">
        <v>39</v>
      </c>
      <c r="J4" s="22"/>
      <c r="K4" s="21" t="s">
        <v>40</v>
      </c>
      <c r="L4" s="22"/>
      <c r="M4" s="21" t="s">
        <v>41</v>
      </c>
      <c r="N4" s="22"/>
      <c r="O4" s="21" t="s">
        <v>42</v>
      </c>
      <c r="P4" s="22"/>
      <c r="Q4" s="21" t="s">
        <v>43</v>
      </c>
      <c r="R4" s="22"/>
    </row>
    <row r="5" spans="1:18"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row>
    <row r="6" spans="1:18" x14ac:dyDescent="0.25">
      <c r="A6" s="9" t="s">
        <v>49</v>
      </c>
      <c r="B6" s="10"/>
      <c r="C6" s="10"/>
      <c r="D6" s="11"/>
      <c r="E6" s="10"/>
      <c r="F6" s="11"/>
      <c r="G6" s="10"/>
      <c r="H6" s="11"/>
      <c r="I6" s="10"/>
      <c r="J6" s="11"/>
      <c r="K6" s="10"/>
      <c r="L6" s="11"/>
      <c r="M6" s="10"/>
      <c r="N6" s="11"/>
      <c r="O6" s="10"/>
      <c r="P6" s="11"/>
      <c r="Q6" s="10"/>
      <c r="R6" s="12"/>
    </row>
    <row r="7" spans="1:18" x14ac:dyDescent="0.25">
      <c r="A7" s="11" t="s">
        <v>50</v>
      </c>
      <c r="B7" s="13">
        <v>14530</v>
      </c>
      <c r="C7" s="14">
        <f>(4532/B7*100)</f>
        <v>31.190640055058498</v>
      </c>
      <c r="D7" s="15">
        <v>9998</v>
      </c>
      <c r="E7" s="14">
        <v>36.575858510000003</v>
      </c>
      <c r="F7" s="16">
        <v>0.63898853</v>
      </c>
      <c r="G7" s="14">
        <v>63.424141489999997</v>
      </c>
      <c r="H7" s="16">
        <v>0.63898853</v>
      </c>
      <c r="I7" s="14">
        <v>0</v>
      </c>
      <c r="J7" s="16">
        <v>0</v>
      </c>
      <c r="K7" s="14" t="s">
        <v>51</v>
      </c>
      <c r="L7" s="16" t="s">
        <v>51</v>
      </c>
      <c r="M7" s="14">
        <v>0</v>
      </c>
      <c r="N7" s="16">
        <v>0</v>
      </c>
      <c r="O7" s="14">
        <v>0</v>
      </c>
      <c r="P7" s="16">
        <v>0</v>
      </c>
      <c r="Q7" s="14">
        <v>0</v>
      </c>
      <c r="R7" s="16">
        <v>0</v>
      </c>
    </row>
    <row r="8" spans="1:18"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row>
    <row r="9" spans="1:18" x14ac:dyDescent="0.25">
      <c r="A9" s="11" t="s">
        <v>172</v>
      </c>
      <c r="B9" s="13">
        <v>5675</v>
      </c>
      <c r="C9" s="14">
        <f>(420/B9*100)</f>
        <v>7.4008810572687223</v>
      </c>
      <c r="D9" s="15">
        <v>5255</v>
      </c>
      <c r="E9" s="14">
        <v>5.7873541099999999</v>
      </c>
      <c r="F9" s="16">
        <v>0.33226653</v>
      </c>
      <c r="G9" s="14">
        <v>13.041556140000001</v>
      </c>
      <c r="H9" s="16">
        <v>0.49277535</v>
      </c>
      <c r="I9" s="14">
        <v>0</v>
      </c>
      <c r="J9" s="16">
        <v>0</v>
      </c>
      <c r="K9" s="14" t="s">
        <v>51</v>
      </c>
      <c r="L9" s="16" t="s">
        <v>51</v>
      </c>
      <c r="M9" s="14">
        <v>81.171089760000001</v>
      </c>
      <c r="N9" s="16">
        <v>0.55618259000000003</v>
      </c>
      <c r="O9" s="14">
        <v>0</v>
      </c>
      <c r="P9" s="16">
        <v>0</v>
      </c>
      <c r="Q9" s="14">
        <v>0</v>
      </c>
      <c r="R9" s="16">
        <v>0</v>
      </c>
    </row>
    <row r="10" spans="1:18" x14ac:dyDescent="0.25">
      <c r="A10" s="11" t="s">
        <v>173</v>
      </c>
      <c r="B10" s="13">
        <v>13082</v>
      </c>
      <c r="C10" s="14">
        <f>(471/B10*100)</f>
        <v>3.6003669163736429</v>
      </c>
      <c r="D10" s="15">
        <v>12611</v>
      </c>
      <c r="E10" s="14">
        <v>7.4942603200000004</v>
      </c>
      <c r="F10" s="16">
        <v>0.34524458000000002</v>
      </c>
      <c r="G10" s="14">
        <v>16.12851178</v>
      </c>
      <c r="H10" s="16">
        <v>0.38304152000000002</v>
      </c>
      <c r="I10" s="14">
        <v>0</v>
      </c>
      <c r="J10" s="16">
        <v>0</v>
      </c>
      <c r="K10" s="14" t="s">
        <v>51</v>
      </c>
      <c r="L10" s="16" t="s">
        <v>51</v>
      </c>
      <c r="M10" s="14">
        <v>76.377227899999994</v>
      </c>
      <c r="N10" s="16">
        <v>0.37597766999999999</v>
      </c>
      <c r="O10" s="14">
        <v>0</v>
      </c>
      <c r="P10" s="16">
        <v>0</v>
      </c>
      <c r="Q10" s="14">
        <v>0</v>
      </c>
      <c r="R10" s="16">
        <v>0</v>
      </c>
    </row>
    <row r="11" spans="1:18" x14ac:dyDescent="0.25">
      <c r="A11" s="11" t="s">
        <v>54</v>
      </c>
      <c r="B11" s="13">
        <v>7053</v>
      </c>
      <c r="C11" s="14">
        <f>(355/B11*100)</f>
        <v>5.033319154969516</v>
      </c>
      <c r="D11" s="15">
        <v>6698</v>
      </c>
      <c r="E11" s="14">
        <v>7.4464883400000002</v>
      </c>
      <c r="F11" s="16">
        <v>0.37698767</v>
      </c>
      <c r="G11" s="14">
        <v>13.94564314</v>
      </c>
      <c r="H11" s="16">
        <v>0.40328621999999997</v>
      </c>
      <c r="I11" s="14">
        <v>0</v>
      </c>
      <c r="J11" s="16">
        <v>0</v>
      </c>
      <c r="K11" s="14" t="s">
        <v>51</v>
      </c>
      <c r="L11" s="16" t="s">
        <v>51</v>
      </c>
      <c r="M11" s="14">
        <v>78.607868530000005</v>
      </c>
      <c r="N11" s="16">
        <v>0.40609050000000002</v>
      </c>
      <c r="O11" s="14">
        <v>0</v>
      </c>
      <c r="P11" s="16">
        <v>0</v>
      </c>
      <c r="Q11" s="14">
        <v>0</v>
      </c>
      <c r="R11" s="16">
        <v>0</v>
      </c>
    </row>
    <row r="12" spans="1:18"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row>
    <row r="13" spans="1:18"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row>
    <row r="14" spans="1:18"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row>
    <row r="15" spans="1:18"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row>
    <row r="16" spans="1:18"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row>
    <row r="17" spans="1:18"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row>
    <row r="18" spans="1:18"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row>
    <row r="19" spans="1:18"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row>
    <row r="20" spans="1:18"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row>
    <row r="21" spans="1:18"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row>
    <row r="22" spans="1:18"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row>
    <row r="23" spans="1:18" x14ac:dyDescent="0.25">
      <c r="A23" s="11" t="s">
        <v>66</v>
      </c>
      <c r="B23" s="13">
        <v>11583</v>
      </c>
      <c r="C23" s="14">
        <f>(825/B23*100)</f>
        <v>7.1225071225071224</v>
      </c>
      <c r="D23" s="15">
        <v>10758</v>
      </c>
      <c r="E23" s="14">
        <v>4.0913257999999999</v>
      </c>
      <c r="F23" s="16">
        <v>0.26701863999999997</v>
      </c>
      <c r="G23" s="14">
        <v>16.729136960000002</v>
      </c>
      <c r="H23" s="16">
        <v>0.39334796</v>
      </c>
      <c r="I23" s="14">
        <v>0</v>
      </c>
      <c r="J23" s="16">
        <v>0</v>
      </c>
      <c r="K23" s="14" t="s">
        <v>51</v>
      </c>
      <c r="L23" s="16" t="s">
        <v>51</v>
      </c>
      <c r="M23" s="14">
        <v>79.179537240000002</v>
      </c>
      <c r="N23" s="16">
        <v>0.35937351000000001</v>
      </c>
      <c r="O23" s="14">
        <v>0</v>
      </c>
      <c r="P23" s="16">
        <v>0</v>
      </c>
      <c r="Q23" s="14">
        <v>0</v>
      </c>
      <c r="R23" s="16">
        <v>0</v>
      </c>
    </row>
    <row r="24" spans="1:18"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row>
    <row r="25" spans="1:18"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row>
    <row r="26" spans="1:18"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row>
    <row r="27" spans="1:18"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row>
    <row r="28" spans="1:18"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row>
    <row r="29" spans="1:18" x14ac:dyDescent="0.25">
      <c r="A29" s="11" t="s">
        <v>72</v>
      </c>
      <c r="B29" s="13">
        <v>5385</v>
      </c>
      <c r="C29" s="14">
        <f>(103/B29*100)</f>
        <v>1.9127205199628601</v>
      </c>
      <c r="D29" s="15">
        <v>5282</v>
      </c>
      <c r="E29" s="14">
        <v>8.0379059799999997</v>
      </c>
      <c r="F29" s="16">
        <v>0.35505664999999997</v>
      </c>
      <c r="G29" s="14">
        <v>15.922702559999999</v>
      </c>
      <c r="H29" s="16">
        <v>0.41598625</v>
      </c>
      <c r="I29" s="14">
        <v>0</v>
      </c>
      <c r="J29" s="16">
        <v>0</v>
      </c>
      <c r="K29" s="14" t="s">
        <v>51</v>
      </c>
      <c r="L29" s="16" t="s">
        <v>51</v>
      </c>
      <c r="M29" s="14">
        <v>76.039391449999997</v>
      </c>
      <c r="N29" s="16">
        <v>0.30671554000000001</v>
      </c>
      <c r="O29" s="14">
        <v>0</v>
      </c>
      <c r="P29" s="16">
        <v>0</v>
      </c>
      <c r="Q29" s="14">
        <v>0</v>
      </c>
      <c r="R29" s="16">
        <v>0</v>
      </c>
    </row>
    <row r="30" spans="1:18"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row>
    <row r="31" spans="1:18"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row>
    <row r="32" spans="1:18" x14ac:dyDescent="0.25">
      <c r="A32" s="11" t="s">
        <v>75</v>
      </c>
      <c r="B32" s="13">
        <v>4478</v>
      </c>
      <c r="C32" s="14">
        <f>(233/B32*100)</f>
        <v>5.2032157213041534</v>
      </c>
      <c r="D32" s="15">
        <v>4245</v>
      </c>
      <c r="E32" s="14">
        <v>14.380706160000001</v>
      </c>
      <c r="F32" s="16">
        <v>0.53444329000000002</v>
      </c>
      <c r="G32" s="14">
        <v>21.129416460000002</v>
      </c>
      <c r="H32" s="16">
        <v>0.54778327999999998</v>
      </c>
      <c r="I32" s="14">
        <v>0</v>
      </c>
      <c r="J32" s="16">
        <v>0</v>
      </c>
      <c r="K32" s="14" t="s">
        <v>51</v>
      </c>
      <c r="L32" s="16" t="s">
        <v>51</v>
      </c>
      <c r="M32" s="14">
        <v>64.489877370000002</v>
      </c>
      <c r="N32" s="16">
        <v>0.39949880999999998</v>
      </c>
      <c r="O32" s="14">
        <v>0</v>
      </c>
      <c r="P32" s="16">
        <v>0</v>
      </c>
      <c r="Q32" s="14">
        <v>0</v>
      </c>
      <c r="R32" s="16">
        <v>0</v>
      </c>
    </row>
    <row r="33" spans="1:18"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row>
    <row r="34" spans="1:18" x14ac:dyDescent="0.25">
      <c r="A34" s="11" t="s">
        <v>77</v>
      </c>
      <c r="B34" s="13">
        <v>6350</v>
      </c>
      <c r="C34" s="14">
        <f>(422/B34*100)</f>
        <v>6.6456692913385824</v>
      </c>
      <c r="D34" s="15">
        <v>5928</v>
      </c>
      <c r="E34" s="14">
        <v>7.2641523299999999</v>
      </c>
      <c r="F34" s="16">
        <v>0.32093680000000002</v>
      </c>
      <c r="G34" s="14">
        <v>12.899806959999999</v>
      </c>
      <c r="H34" s="16">
        <v>0.39709126</v>
      </c>
      <c r="I34" s="14">
        <v>0</v>
      </c>
      <c r="J34" s="16">
        <v>0</v>
      </c>
      <c r="K34" s="14" t="s">
        <v>51</v>
      </c>
      <c r="L34" s="16" t="s">
        <v>51</v>
      </c>
      <c r="M34" s="14">
        <v>79.836040710000006</v>
      </c>
      <c r="N34" s="16">
        <v>0.42215787999999999</v>
      </c>
      <c r="O34" s="14">
        <v>0</v>
      </c>
      <c r="P34" s="16">
        <v>0</v>
      </c>
      <c r="Q34" s="14">
        <v>0</v>
      </c>
      <c r="R34" s="16">
        <v>0</v>
      </c>
    </row>
    <row r="35" spans="1:18"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row>
    <row r="36" spans="1:18" x14ac:dyDescent="0.25">
      <c r="A36" s="11" t="s">
        <v>79</v>
      </c>
      <c r="B36" s="13">
        <v>6736</v>
      </c>
      <c r="C36" s="14">
        <f>(346/B36*100)</f>
        <v>5.1365795724465553</v>
      </c>
      <c r="D36" s="15">
        <v>6390</v>
      </c>
      <c r="E36" s="14">
        <v>5.0983744700000004</v>
      </c>
      <c r="F36" s="16">
        <v>0.25236626000000001</v>
      </c>
      <c r="G36" s="14">
        <v>16.950068290000001</v>
      </c>
      <c r="H36" s="16">
        <v>0.33315098999999998</v>
      </c>
      <c r="I36" s="14">
        <v>0</v>
      </c>
      <c r="J36" s="16">
        <v>0</v>
      </c>
      <c r="K36" s="14" t="s">
        <v>51</v>
      </c>
      <c r="L36" s="16" t="s">
        <v>51</v>
      </c>
      <c r="M36" s="14">
        <v>77.951557230000006</v>
      </c>
      <c r="N36" s="16">
        <v>0.31895451000000002</v>
      </c>
      <c r="O36" s="14">
        <v>0</v>
      </c>
      <c r="P36" s="16">
        <v>0</v>
      </c>
      <c r="Q36" s="14">
        <v>0</v>
      </c>
      <c r="R36" s="16">
        <v>0</v>
      </c>
    </row>
    <row r="37" spans="1:18"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row>
    <row r="38" spans="1:18"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row>
    <row r="39" spans="1:18"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row>
    <row r="40" spans="1:18"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row>
    <row r="41" spans="1:18" x14ac:dyDescent="0.25">
      <c r="A41" s="11" t="s">
        <v>84</v>
      </c>
      <c r="B41" s="13">
        <v>5712</v>
      </c>
      <c r="C41" s="14">
        <f>(229/B41*100)</f>
        <v>4.0091036414565826</v>
      </c>
      <c r="D41" s="15">
        <v>5483</v>
      </c>
      <c r="E41" s="14">
        <v>8.9676553099999996</v>
      </c>
      <c r="F41" s="16">
        <v>0.36085729</v>
      </c>
      <c r="G41" s="14">
        <v>14.014111890000001</v>
      </c>
      <c r="H41" s="16">
        <v>0.42168947000000001</v>
      </c>
      <c r="I41" s="14">
        <v>0</v>
      </c>
      <c r="J41" s="16">
        <v>0</v>
      </c>
      <c r="K41" s="14" t="s">
        <v>51</v>
      </c>
      <c r="L41" s="16" t="s">
        <v>51</v>
      </c>
      <c r="M41" s="14">
        <v>77.018232800000007</v>
      </c>
      <c r="N41" s="16">
        <v>0.37792036000000001</v>
      </c>
      <c r="O41" s="14">
        <v>0</v>
      </c>
      <c r="P41" s="16">
        <v>0</v>
      </c>
      <c r="Q41" s="14">
        <v>0</v>
      </c>
      <c r="R41" s="16">
        <v>0</v>
      </c>
    </row>
    <row r="42" spans="1:18" x14ac:dyDescent="0.25">
      <c r="A42" s="11" t="s">
        <v>85</v>
      </c>
      <c r="B42" s="13">
        <f>IF(COUNT(B7:B41) &gt; 0, AVERAGE(B7:B41), "\u2014")</f>
        <v>8058.4</v>
      </c>
      <c r="C42" s="14">
        <f>IF(COUNT(C7:C41) &gt; 0, AVERAGE(C7:C41), "—")</f>
        <v>7.7255003052686231</v>
      </c>
      <c r="D42" s="15">
        <f>IF(COUNT(D7:D41) &gt; 0, AVERAGE(D7:D41), "—")</f>
        <v>7264.8</v>
      </c>
      <c r="E42" s="14">
        <f>IF(COUNT(E7:E41) &gt; 0, AVERAGE(E7:E41), "—")</f>
        <v>10.514408133</v>
      </c>
      <c r="F42" s="16">
        <f>IF(COUNT(F7:F41) &gt; 0, SQRT(SUMSQ(F7:F41)/(COUNT(F7:F41)*COUNT(F7:F41)) ), "—")</f>
        <v>0.12489683195944863</v>
      </c>
      <c r="G42" s="14">
        <f>IF(COUNT(G7:G41) &gt; 0, AVERAGE(G7:G41), "—")</f>
        <v>20.418509567000001</v>
      </c>
      <c r="H42" s="16">
        <f>IF(COUNT(H7:H41) &gt; 0, SQRT(SUMSQ(H7:H41)/(COUNT(H7:H41)*COUNT(H7:H41)) ), "—")</f>
        <v>0.14264716008434986</v>
      </c>
      <c r="I42" s="14">
        <f>IF(COUNT(I7:I41) &gt; 0, AVERAGE(I7:I41), "—")</f>
        <v>0</v>
      </c>
      <c r="J42" s="16">
        <f>IF(COUNT(J7:J41) &gt; 0, SQRT(SUMSQ(J7:J41)/(COUNT(J7:J41)*COUNT(J7:J41)) ), "—")</f>
        <v>0</v>
      </c>
      <c r="K42" s="14" t="str">
        <f>IF(COUNT(K7:K41) &gt; 0, AVERAGE(K7:K41), "—")</f>
        <v>—</v>
      </c>
      <c r="L42" s="16" t="str">
        <f>IF(COUNT(L7:L41) &gt; 0, SQRT(SUMSQ(L7:L41)/(COUNT(L7:L41)*COUNT(L7:L41)) ), "—")</f>
        <v>—</v>
      </c>
      <c r="M42" s="14">
        <f>IF(COUNT(M7:M41) &gt; 0, AVERAGE(M7:M41), "—")</f>
        <v>69.067082299000006</v>
      </c>
      <c r="N42" s="16">
        <f>IF(COUNT(N7:N41) &gt; 0, SQRT(SUMSQ(N7:N41)/(COUNT(N7:N41)*COUNT(N7:N41)) ), "—")</f>
        <v>0.11921425547746289</v>
      </c>
      <c r="O42" s="14">
        <f>IF(COUNT(O7:O41) &gt; 0, AVERAGE(O7:O41), "—")</f>
        <v>0</v>
      </c>
      <c r="P42" s="16">
        <f>IF(COUNT(P7:P41) &gt; 0, SQRT(SUMSQ(P7:P41)/(COUNT(P7:P41)*COUNT(P7:P41)) ), "—")</f>
        <v>0</v>
      </c>
      <c r="Q42" s="14">
        <f>IF(COUNT(Q7:Q41) &gt; 0, AVERAGE(Q7:Q41), "—")</f>
        <v>0</v>
      </c>
      <c r="R42" s="16">
        <f>IF(COUNT(R7:R41) &gt; 0, SQRT(SUMSQ(R7:R41)/(COUNT(R7:R41)*COUNT(R7:R41)) ), "—")</f>
        <v>0</v>
      </c>
    </row>
    <row r="43" spans="1:18" x14ac:dyDescent="0.25">
      <c r="A43" s="9" t="s">
        <v>86</v>
      </c>
      <c r="B43" s="10"/>
      <c r="C43" s="10"/>
      <c r="D43" s="11"/>
      <c r="E43" s="10"/>
      <c r="F43" s="11"/>
      <c r="G43" s="10"/>
      <c r="H43" s="11"/>
      <c r="I43" s="10"/>
      <c r="J43" s="11"/>
      <c r="K43" s="10"/>
      <c r="L43" s="11"/>
      <c r="M43" s="10"/>
      <c r="N43" s="11"/>
      <c r="O43" s="10"/>
      <c r="P43" s="11"/>
      <c r="Q43" s="10"/>
      <c r="R43" s="12"/>
    </row>
    <row r="44" spans="1:18"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row>
    <row r="45" spans="1:18"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row>
    <row r="46" spans="1:18" x14ac:dyDescent="0.25">
      <c r="A46" s="11" t="s">
        <v>89</v>
      </c>
      <c r="B46" s="13">
        <v>23141</v>
      </c>
      <c r="C46" s="14">
        <f>(4321/B46*100)</f>
        <v>18.672486063696468</v>
      </c>
      <c r="D46" s="15">
        <v>18820</v>
      </c>
      <c r="E46" s="14">
        <v>2.4601802300000002</v>
      </c>
      <c r="F46" s="16">
        <v>0.14498966999999999</v>
      </c>
      <c r="G46" s="14">
        <v>7.8529785700000003</v>
      </c>
      <c r="H46" s="16">
        <v>0.34766440999999998</v>
      </c>
      <c r="I46" s="14">
        <v>0</v>
      </c>
      <c r="J46" s="16">
        <v>0</v>
      </c>
      <c r="K46" s="14" t="s">
        <v>51</v>
      </c>
      <c r="L46" s="16" t="s">
        <v>51</v>
      </c>
      <c r="M46" s="14">
        <v>89.686841200000003</v>
      </c>
      <c r="N46" s="16">
        <v>0.35943961000000002</v>
      </c>
      <c r="O46" s="14">
        <v>0</v>
      </c>
      <c r="P46" s="16">
        <v>0</v>
      </c>
      <c r="Q46" s="14">
        <v>0</v>
      </c>
      <c r="R46" s="16">
        <v>0</v>
      </c>
    </row>
    <row r="47" spans="1:18"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row>
    <row r="48" spans="1:18" x14ac:dyDescent="0.25">
      <c r="A48" s="11" t="s">
        <v>91</v>
      </c>
      <c r="B48" s="13">
        <v>9841</v>
      </c>
      <c r="C48" s="14">
        <f>(238/B48*100)</f>
        <v>2.4184534092063816</v>
      </c>
      <c r="D48" s="15">
        <v>9603</v>
      </c>
      <c r="E48" s="14">
        <v>6.6139244100000001</v>
      </c>
      <c r="F48" s="16">
        <v>0.29909773000000001</v>
      </c>
      <c r="G48" s="14">
        <v>17.028219849999999</v>
      </c>
      <c r="H48" s="16">
        <v>0.34606056000000002</v>
      </c>
      <c r="I48" s="14">
        <v>0</v>
      </c>
      <c r="J48" s="16">
        <v>0</v>
      </c>
      <c r="K48" s="14" t="s">
        <v>51</v>
      </c>
      <c r="L48" s="16" t="s">
        <v>51</v>
      </c>
      <c r="M48" s="14">
        <v>76.357855740000005</v>
      </c>
      <c r="N48" s="16">
        <v>0.34585658000000002</v>
      </c>
      <c r="O48" s="14">
        <v>0</v>
      </c>
      <c r="P48" s="16">
        <v>0</v>
      </c>
      <c r="Q48" s="14">
        <v>0</v>
      </c>
      <c r="R48" s="16">
        <v>0</v>
      </c>
    </row>
    <row r="49" spans="1:18"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row>
    <row r="50" spans="1:18"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row>
    <row r="51" spans="1:18"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row>
    <row r="52" spans="1:18"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row>
    <row r="53" spans="1:18"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row>
    <row r="54" spans="1:18"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row>
    <row r="55" spans="1:18"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row>
    <row r="56" spans="1:18"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row>
    <row r="57" spans="1:18"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row>
    <row r="58" spans="1:18"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row>
    <row r="59" spans="1:18"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row>
    <row r="60" spans="1:18"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row>
    <row r="61" spans="1:18" x14ac:dyDescent="0.25">
      <c r="A61" s="11" t="s">
        <v>104</v>
      </c>
      <c r="B61" s="13">
        <v>6525</v>
      </c>
      <c r="C61" s="14">
        <f>(268/B61*100)</f>
        <v>4.1072796934865901</v>
      </c>
      <c r="D61" s="15">
        <v>6257</v>
      </c>
      <c r="E61" s="14">
        <v>11.19324005</v>
      </c>
      <c r="F61" s="16">
        <v>0.43797530000000001</v>
      </c>
      <c r="G61" s="14">
        <v>12.353292679999999</v>
      </c>
      <c r="H61" s="16">
        <v>0.45763185000000001</v>
      </c>
      <c r="I61" s="14">
        <v>0</v>
      </c>
      <c r="J61" s="16">
        <v>0</v>
      </c>
      <c r="K61" s="14" t="s">
        <v>51</v>
      </c>
      <c r="L61" s="16" t="s">
        <v>51</v>
      </c>
      <c r="M61" s="14">
        <v>76.453467259999996</v>
      </c>
      <c r="N61" s="16">
        <v>0.39426583999999998</v>
      </c>
      <c r="O61" s="14">
        <v>0</v>
      </c>
      <c r="P61" s="16">
        <v>0</v>
      </c>
      <c r="Q61" s="14">
        <v>0</v>
      </c>
      <c r="R61" s="16">
        <v>0</v>
      </c>
    </row>
    <row r="62" spans="1:18"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row>
    <row r="63" spans="1:18"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row>
    <row r="64" spans="1:18"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row>
    <row r="65" spans="1:18"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row>
    <row r="66" spans="1:18"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row>
    <row r="67" spans="1:18" x14ac:dyDescent="0.25">
      <c r="A67" s="11" t="s">
        <v>110</v>
      </c>
      <c r="B67" s="13">
        <v>6971</v>
      </c>
      <c r="C67" s="14">
        <f>(904/B67*100)</f>
        <v>12.968010328503802</v>
      </c>
      <c r="D67" s="15">
        <v>6067</v>
      </c>
      <c r="E67" s="14">
        <v>5.4251198599999997</v>
      </c>
      <c r="F67" s="16">
        <v>0.30112714000000002</v>
      </c>
      <c r="G67" s="14">
        <v>9.4726876200000003</v>
      </c>
      <c r="H67" s="16">
        <v>0.43467346000000001</v>
      </c>
      <c r="I67" s="14">
        <v>0</v>
      </c>
      <c r="J67" s="16">
        <v>0</v>
      </c>
      <c r="K67" s="14" t="s">
        <v>51</v>
      </c>
      <c r="L67" s="16" t="s">
        <v>51</v>
      </c>
      <c r="M67" s="14">
        <v>85.102192529999996</v>
      </c>
      <c r="N67" s="16">
        <v>0.55434996999999997</v>
      </c>
      <c r="O67" s="14">
        <v>0</v>
      </c>
      <c r="P67" s="16">
        <v>0</v>
      </c>
      <c r="Q67" s="14">
        <v>0</v>
      </c>
      <c r="R67" s="16">
        <v>0</v>
      </c>
    </row>
    <row r="68" spans="1:18"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row>
    <row r="69" spans="1:18"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row>
    <row r="70" spans="1:18" x14ac:dyDescent="0.25">
      <c r="A70" s="11" t="s">
        <v>113</v>
      </c>
      <c r="B70" s="13">
        <v>6036</v>
      </c>
      <c r="C70" s="14">
        <f>(471/B70*100)</f>
        <v>7.8031809145129225</v>
      </c>
      <c r="D70" s="15">
        <v>5565</v>
      </c>
      <c r="E70" s="14">
        <v>5.6024971499999996</v>
      </c>
      <c r="F70" s="16">
        <v>0.31196602000000001</v>
      </c>
      <c r="G70" s="14">
        <v>13.769778990000001</v>
      </c>
      <c r="H70" s="16">
        <v>0.49609203000000002</v>
      </c>
      <c r="I70" s="14">
        <v>0</v>
      </c>
      <c r="J70" s="16">
        <v>0</v>
      </c>
      <c r="K70" s="14" t="s">
        <v>51</v>
      </c>
      <c r="L70" s="16" t="s">
        <v>51</v>
      </c>
      <c r="M70" s="14">
        <v>80.627723849999995</v>
      </c>
      <c r="N70" s="16">
        <v>0.59282312000000004</v>
      </c>
      <c r="O70" s="14">
        <v>0</v>
      </c>
      <c r="P70" s="16">
        <v>0</v>
      </c>
      <c r="Q70" s="14">
        <v>0</v>
      </c>
      <c r="R70" s="16">
        <v>0</v>
      </c>
    </row>
    <row r="71" spans="1:18"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row>
    <row r="72" spans="1:18"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row>
    <row r="73" spans="1:18"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row>
    <row r="74" spans="1:18"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row>
    <row r="75" spans="1:18"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row>
    <row r="76" spans="1:18"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row>
    <row r="77" spans="1:18"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row>
    <row r="78" spans="1:18"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row>
    <row r="79" spans="1:18"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row>
    <row r="80" spans="1:18"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row>
    <row r="81" spans="1:18"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row>
    <row r="82" spans="1:18"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row>
    <row r="83" spans="1:18" x14ac:dyDescent="0.25">
      <c r="A83" s="3" t="s">
        <v>126</v>
      </c>
    </row>
    <row r="84" spans="1:18" x14ac:dyDescent="0.25">
      <c r="A84" s="26" t="s">
        <v>127</v>
      </c>
      <c r="B84" s="24"/>
      <c r="C84" s="24"/>
      <c r="D84" s="24"/>
      <c r="E84" s="24"/>
      <c r="F84" s="24"/>
      <c r="G84" s="24"/>
      <c r="H84" s="24"/>
      <c r="I84" s="24"/>
      <c r="J84" s="24"/>
      <c r="K84" s="24"/>
      <c r="L84" s="24"/>
      <c r="M84" s="24"/>
      <c r="N84" s="24"/>
      <c r="O84" s="24"/>
      <c r="P84" s="24"/>
      <c r="Q84" s="24"/>
      <c r="R84" s="24"/>
    </row>
    <row r="85" spans="1:18" x14ac:dyDescent="0.25">
      <c r="A85" s="26" t="s">
        <v>128</v>
      </c>
      <c r="B85" s="24"/>
      <c r="C85" s="24"/>
      <c r="D85" s="24"/>
      <c r="E85" s="24"/>
      <c r="F85" s="24"/>
      <c r="G85" s="24"/>
      <c r="H85" s="24"/>
      <c r="I85" s="24"/>
      <c r="J85" s="24"/>
      <c r="K85" s="24"/>
      <c r="L85" s="24"/>
      <c r="M85" s="24"/>
      <c r="N85" s="24"/>
      <c r="O85" s="24"/>
      <c r="P85" s="24"/>
      <c r="Q85" s="24"/>
      <c r="R85" s="24"/>
    </row>
    <row r="86" spans="1:18" ht="30" customHeight="1" x14ac:dyDescent="0.25">
      <c r="A86" s="26" t="s">
        <v>129</v>
      </c>
      <c r="B86" s="24"/>
      <c r="C86" s="24"/>
      <c r="D86" s="24"/>
      <c r="E86" s="24"/>
      <c r="F86" s="24"/>
      <c r="G86" s="24"/>
      <c r="H86" s="24"/>
      <c r="I86" s="24"/>
      <c r="J86" s="24"/>
      <c r="K86" s="24"/>
      <c r="L86" s="24"/>
      <c r="M86" s="24"/>
      <c r="N86" s="24"/>
      <c r="O86" s="24"/>
      <c r="P86" s="24"/>
      <c r="Q86" s="24"/>
      <c r="R86" s="24"/>
    </row>
    <row r="87" spans="1:18" ht="30" customHeight="1" x14ac:dyDescent="0.25">
      <c r="A87" s="26" t="s">
        <v>125</v>
      </c>
      <c r="B87" s="24"/>
      <c r="C87" s="24"/>
      <c r="D87" s="24"/>
      <c r="E87" s="24"/>
      <c r="F87" s="24"/>
      <c r="G87" s="24"/>
      <c r="H87" s="24"/>
      <c r="I87" s="24"/>
      <c r="J87" s="24"/>
      <c r="K87" s="24"/>
      <c r="L87" s="24"/>
      <c r="M87" s="24"/>
      <c r="N87" s="24"/>
      <c r="O87" s="24"/>
      <c r="P87" s="24"/>
      <c r="Q87" s="24"/>
      <c r="R87" s="24"/>
    </row>
    <row r="88" spans="1:18" ht="30" customHeight="1" x14ac:dyDescent="0.25">
      <c r="A88" s="26" t="s">
        <v>130</v>
      </c>
      <c r="B88" s="24"/>
      <c r="C88" s="24"/>
      <c r="D88" s="24"/>
      <c r="E88" s="24"/>
      <c r="F88" s="24"/>
      <c r="G88" s="24"/>
      <c r="H88" s="24"/>
      <c r="I88" s="24"/>
      <c r="J88" s="24"/>
      <c r="K88" s="24"/>
      <c r="L88" s="24"/>
      <c r="M88" s="24"/>
      <c r="N88" s="24"/>
      <c r="O88" s="24"/>
      <c r="P88" s="24"/>
      <c r="Q88" s="24"/>
      <c r="R88" s="24"/>
    </row>
    <row r="89" spans="1:18" ht="30" customHeight="1" x14ac:dyDescent="0.25">
      <c r="A89" s="26" t="s">
        <v>131</v>
      </c>
      <c r="B89" s="24"/>
      <c r="C89" s="24"/>
      <c r="D89" s="24"/>
      <c r="E89" s="24"/>
      <c r="F89" s="24"/>
      <c r="G89" s="24"/>
      <c r="H89" s="24"/>
      <c r="I89" s="24"/>
      <c r="J89" s="24"/>
      <c r="K89" s="24"/>
      <c r="L89" s="24"/>
      <c r="M89" s="24"/>
      <c r="N89" s="24"/>
      <c r="O89" s="24"/>
      <c r="P89" s="24"/>
      <c r="Q89" s="24"/>
      <c r="R89" s="24"/>
    </row>
    <row r="90" spans="1:18" ht="30" customHeight="1" x14ac:dyDescent="0.25">
      <c r="A90" s="26" t="s">
        <v>132</v>
      </c>
      <c r="B90" s="24"/>
      <c r="C90" s="24"/>
      <c r="D90" s="24"/>
      <c r="E90" s="24"/>
      <c r="F90" s="24"/>
      <c r="G90" s="24"/>
      <c r="H90" s="24"/>
      <c r="I90" s="24"/>
      <c r="J90" s="24"/>
      <c r="K90" s="24"/>
      <c r="L90" s="24"/>
      <c r="M90" s="24"/>
      <c r="N90" s="24"/>
      <c r="O90" s="24"/>
      <c r="P90" s="24"/>
      <c r="Q90" s="24"/>
      <c r="R90" s="24"/>
    </row>
    <row r="91" spans="1:18" ht="30" customHeight="1" x14ac:dyDescent="0.25">
      <c r="A91" s="26" t="s">
        <v>133</v>
      </c>
      <c r="B91" s="24"/>
      <c r="C91" s="24"/>
      <c r="D91" s="24"/>
      <c r="E91" s="24"/>
      <c r="F91" s="24"/>
      <c r="G91" s="24"/>
      <c r="H91" s="24"/>
      <c r="I91" s="24"/>
      <c r="J91" s="24"/>
      <c r="K91" s="24"/>
      <c r="L91" s="24"/>
      <c r="M91" s="24"/>
      <c r="N91" s="24"/>
      <c r="O91" s="24"/>
      <c r="P91" s="24"/>
      <c r="Q91" s="24"/>
      <c r="R91" s="24"/>
    </row>
    <row r="92" spans="1:18" ht="30" customHeight="1" x14ac:dyDescent="0.25">
      <c r="A92" s="26" t="s">
        <v>134</v>
      </c>
      <c r="B92" s="24"/>
      <c r="C92" s="24"/>
      <c r="D92" s="24"/>
      <c r="E92" s="24"/>
      <c r="F92" s="24"/>
      <c r="G92" s="24"/>
      <c r="H92" s="24"/>
      <c r="I92" s="24"/>
      <c r="J92" s="24"/>
      <c r="K92" s="24"/>
      <c r="L92" s="24"/>
      <c r="M92" s="24"/>
      <c r="N92" s="24"/>
      <c r="O92" s="24"/>
      <c r="P92" s="24"/>
      <c r="Q92" s="24"/>
      <c r="R92" s="24"/>
    </row>
    <row r="93" spans="1:18" ht="30" customHeight="1" x14ac:dyDescent="0.25">
      <c r="A93" s="26" t="s">
        <v>135</v>
      </c>
      <c r="B93" s="24"/>
      <c r="C93" s="24"/>
      <c r="D93" s="24"/>
      <c r="E93" s="24"/>
      <c r="F93" s="24"/>
      <c r="G93" s="24"/>
      <c r="H93" s="24"/>
      <c r="I93" s="24"/>
      <c r="J93" s="24"/>
      <c r="K93" s="24"/>
      <c r="L93" s="24"/>
      <c r="M93" s="24"/>
      <c r="N93" s="24"/>
      <c r="O93" s="24"/>
      <c r="P93" s="24"/>
      <c r="Q93" s="24"/>
      <c r="R93" s="24"/>
    </row>
    <row r="94" spans="1:18" ht="30" customHeight="1" x14ac:dyDescent="0.25">
      <c r="A94" s="26" t="s">
        <v>136</v>
      </c>
      <c r="B94" s="24"/>
      <c r="C94" s="24"/>
      <c r="D94" s="24"/>
      <c r="E94" s="24"/>
      <c r="F94" s="24"/>
      <c r="G94" s="24"/>
      <c r="H94" s="24"/>
      <c r="I94" s="24"/>
      <c r="J94" s="24"/>
      <c r="K94" s="24"/>
      <c r="L94" s="24"/>
      <c r="M94" s="24"/>
      <c r="N94" s="24"/>
      <c r="O94" s="24"/>
      <c r="P94" s="24"/>
      <c r="Q94" s="24"/>
      <c r="R94" s="24"/>
    </row>
    <row r="95" spans="1:18" ht="30" customHeight="1" x14ac:dyDescent="0.25">
      <c r="A95" s="26" t="s">
        <v>137</v>
      </c>
      <c r="B95" s="24"/>
      <c r="C95" s="24"/>
      <c r="D95" s="24"/>
      <c r="E95" s="24"/>
      <c r="F95" s="24"/>
      <c r="G95" s="24"/>
      <c r="H95" s="24"/>
      <c r="I95" s="24"/>
      <c r="J95" s="24"/>
      <c r="K95" s="24"/>
      <c r="L95" s="24"/>
      <c r="M95" s="24"/>
      <c r="N95" s="24"/>
      <c r="O95" s="24"/>
      <c r="P95" s="24"/>
      <c r="Q95" s="24"/>
      <c r="R95" s="24"/>
    </row>
    <row r="96" spans="1:18" ht="30" customHeight="1" x14ac:dyDescent="0.25">
      <c r="A96" s="26" t="s">
        <v>138</v>
      </c>
      <c r="B96" s="24"/>
      <c r="C96" s="24"/>
      <c r="D96" s="24"/>
      <c r="E96" s="24"/>
      <c r="F96" s="24"/>
      <c r="G96" s="24"/>
      <c r="H96" s="24"/>
      <c r="I96" s="24"/>
      <c r="J96" s="24"/>
      <c r="K96" s="24"/>
      <c r="L96" s="24"/>
      <c r="M96" s="24"/>
      <c r="N96" s="24"/>
      <c r="O96" s="24"/>
      <c r="P96" s="24"/>
      <c r="Q96" s="24"/>
      <c r="R96" s="24"/>
    </row>
    <row r="97" spans="1:1" ht="30" customHeight="1" x14ac:dyDescent="0.25">
      <c r="A97" s="27" t="s">
        <v>171</v>
      </c>
    </row>
  </sheetData>
  <mergeCells count="22">
    <mergeCell ref="A95:R95"/>
    <mergeCell ref="A96:R96"/>
    <mergeCell ref="A90:R90"/>
    <mergeCell ref="A91:R91"/>
    <mergeCell ref="A92:R92"/>
    <mergeCell ref="A93:R93"/>
    <mergeCell ref="A94:R94"/>
    <mergeCell ref="A85:R85"/>
    <mergeCell ref="A86:R86"/>
    <mergeCell ref="A87:R87"/>
    <mergeCell ref="A88:R88"/>
    <mergeCell ref="A89:R89"/>
    <mergeCell ref="O4:P4"/>
    <mergeCell ref="Q4:R4"/>
    <mergeCell ref="A1:R1"/>
    <mergeCell ref="A2:R2"/>
    <mergeCell ref="A84:R84"/>
    <mergeCell ref="E4:F4"/>
    <mergeCell ref="G4:H4"/>
    <mergeCell ref="I4:J4"/>
    <mergeCell ref="K4:L4"/>
    <mergeCell ref="M4:N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tabSelected="1"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26" x14ac:dyDescent="0.25">
      <c r="A1" s="23" t="s">
        <v>33</v>
      </c>
      <c r="B1" s="24"/>
      <c r="C1" s="24"/>
      <c r="D1" s="24"/>
      <c r="E1" s="24"/>
      <c r="F1" s="24"/>
      <c r="G1" s="24"/>
      <c r="H1" s="24"/>
      <c r="I1" s="24"/>
      <c r="J1" s="24"/>
      <c r="K1" s="24"/>
      <c r="L1" s="24"/>
      <c r="M1" s="24"/>
      <c r="N1" s="24"/>
      <c r="O1" s="24"/>
      <c r="P1" s="24"/>
      <c r="Q1" s="24"/>
      <c r="R1" s="24"/>
      <c r="S1" s="24"/>
      <c r="T1" s="24"/>
      <c r="U1" s="24"/>
      <c r="V1" s="24"/>
      <c r="W1" s="24"/>
      <c r="X1" s="24"/>
      <c r="Y1" s="24"/>
      <c r="Z1" s="24"/>
    </row>
    <row r="2" spans="1:26" x14ac:dyDescent="0.25">
      <c r="A2" s="25" t="s">
        <v>160</v>
      </c>
      <c r="B2" s="24"/>
      <c r="C2" s="24"/>
      <c r="D2" s="24"/>
      <c r="E2" s="24"/>
      <c r="F2" s="24"/>
      <c r="G2" s="24"/>
      <c r="H2" s="24"/>
      <c r="I2" s="24"/>
      <c r="J2" s="24"/>
      <c r="K2" s="24"/>
      <c r="L2" s="24"/>
      <c r="M2" s="24"/>
      <c r="N2" s="24"/>
      <c r="O2" s="24"/>
      <c r="P2" s="24"/>
      <c r="Q2" s="24"/>
      <c r="R2" s="24"/>
      <c r="S2" s="24"/>
      <c r="T2" s="24"/>
      <c r="U2" s="24"/>
      <c r="V2" s="24"/>
      <c r="W2" s="24"/>
      <c r="X2" s="24"/>
      <c r="Y2" s="24"/>
      <c r="Z2" s="24"/>
    </row>
    <row r="4" spans="1:26" ht="30" customHeight="1" x14ac:dyDescent="0.25">
      <c r="A4" s="4"/>
      <c r="B4" s="5" t="s">
        <v>35</v>
      </c>
      <c r="C4" s="5" t="s">
        <v>36</v>
      </c>
      <c r="D4" s="6" t="s">
        <v>35</v>
      </c>
      <c r="E4" s="21" t="s">
        <v>161</v>
      </c>
      <c r="F4" s="22"/>
      <c r="G4" s="21" t="s">
        <v>162</v>
      </c>
      <c r="H4" s="22"/>
      <c r="I4" s="21" t="s">
        <v>163</v>
      </c>
      <c r="J4" s="22"/>
      <c r="K4" s="21" t="s">
        <v>164</v>
      </c>
      <c r="L4" s="22"/>
      <c r="M4" s="21" t="s">
        <v>165</v>
      </c>
      <c r="N4" s="22"/>
      <c r="O4" s="21" t="s">
        <v>166</v>
      </c>
      <c r="P4" s="22"/>
      <c r="Q4" s="21" t="s">
        <v>39</v>
      </c>
      <c r="R4" s="22"/>
      <c r="S4" s="21" t="s">
        <v>40</v>
      </c>
      <c r="T4" s="22"/>
      <c r="U4" s="21" t="s">
        <v>41</v>
      </c>
      <c r="V4" s="22"/>
      <c r="W4" s="21" t="s">
        <v>42</v>
      </c>
      <c r="X4" s="22"/>
      <c r="Y4" s="21" t="s">
        <v>43</v>
      </c>
      <c r="Z4" s="22"/>
    </row>
    <row r="5" spans="1:26"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c r="S5" s="8" t="s">
        <v>47</v>
      </c>
      <c r="T5" s="7" t="s">
        <v>48</v>
      </c>
      <c r="U5" s="8" t="s">
        <v>47</v>
      </c>
      <c r="V5" s="7" t="s">
        <v>48</v>
      </c>
      <c r="W5" s="8" t="s">
        <v>47</v>
      </c>
      <c r="X5" s="7" t="s">
        <v>48</v>
      </c>
      <c r="Y5" s="8" t="s">
        <v>47</v>
      </c>
      <c r="Z5" s="7" t="s">
        <v>48</v>
      </c>
    </row>
    <row r="6" spans="1:26" x14ac:dyDescent="0.25">
      <c r="A6" s="9" t="s">
        <v>49</v>
      </c>
      <c r="B6" s="10"/>
      <c r="C6" s="10"/>
      <c r="D6" s="11"/>
      <c r="E6" s="10"/>
      <c r="F6" s="11"/>
      <c r="G6" s="10"/>
      <c r="H6" s="11"/>
      <c r="I6" s="10"/>
      <c r="J6" s="11"/>
      <c r="K6" s="10"/>
      <c r="L6" s="11"/>
      <c r="M6" s="10"/>
      <c r="N6" s="11"/>
      <c r="O6" s="10"/>
      <c r="P6" s="11"/>
      <c r="Q6" s="10"/>
      <c r="R6" s="11"/>
      <c r="S6" s="10"/>
      <c r="T6" s="11"/>
      <c r="U6" s="10"/>
      <c r="V6" s="11"/>
      <c r="W6" s="10"/>
      <c r="X6" s="11"/>
      <c r="Y6" s="10"/>
      <c r="Z6" s="12"/>
    </row>
    <row r="7" spans="1:26" x14ac:dyDescent="0.25">
      <c r="A7" s="11" t="s">
        <v>50</v>
      </c>
      <c r="B7" s="13">
        <v>14530</v>
      </c>
      <c r="C7" s="14">
        <f>(3654/B7*100)</f>
        <v>25.147969717825191</v>
      </c>
      <c r="D7" s="15">
        <v>10876</v>
      </c>
      <c r="E7" s="14">
        <v>24.617504180000001</v>
      </c>
      <c r="F7" s="16">
        <v>0.51705009000000002</v>
      </c>
      <c r="G7" s="14">
        <v>32.28277714</v>
      </c>
      <c r="H7" s="16">
        <v>0.56654245000000003</v>
      </c>
      <c r="I7" s="14">
        <v>15.969196670000001</v>
      </c>
      <c r="J7" s="16">
        <v>0.46041475999999998</v>
      </c>
      <c r="K7" s="14">
        <v>17.307138909999999</v>
      </c>
      <c r="L7" s="16">
        <v>0.42361289000000002</v>
      </c>
      <c r="M7" s="14">
        <v>3.8762366400000001</v>
      </c>
      <c r="N7" s="16">
        <v>0.22818272000000001</v>
      </c>
      <c r="O7" s="14">
        <v>5.9471464699999999</v>
      </c>
      <c r="P7" s="16">
        <v>0.26904324000000002</v>
      </c>
      <c r="Q7" s="14">
        <v>0</v>
      </c>
      <c r="R7" s="16">
        <v>0</v>
      </c>
      <c r="S7" s="14" t="s">
        <v>51</v>
      </c>
      <c r="T7" s="16" t="s">
        <v>51</v>
      </c>
      <c r="U7" s="14">
        <v>0</v>
      </c>
      <c r="V7" s="16">
        <v>0</v>
      </c>
      <c r="W7" s="14">
        <v>0</v>
      </c>
      <c r="X7" s="16">
        <v>0</v>
      </c>
      <c r="Y7" s="14">
        <v>0</v>
      </c>
      <c r="Z7" s="16">
        <v>0</v>
      </c>
    </row>
    <row r="8" spans="1:26"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c r="S8" s="17" t="s">
        <v>53</v>
      </c>
      <c r="T8" s="18" t="s">
        <v>53</v>
      </c>
      <c r="U8" s="17" t="s">
        <v>53</v>
      </c>
      <c r="V8" s="18" t="s">
        <v>53</v>
      </c>
      <c r="W8" s="17" t="s">
        <v>53</v>
      </c>
      <c r="X8" s="18" t="s">
        <v>53</v>
      </c>
      <c r="Y8" s="17" t="s">
        <v>53</v>
      </c>
      <c r="Z8" s="18" t="s">
        <v>53</v>
      </c>
    </row>
    <row r="9" spans="1:26" x14ac:dyDescent="0.25">
      <c r="A9" s="11" t="s">
        <v>172</v>
      </c>
      <c r="B9" s="13">
        <v>5675</v>
      </c>
      <c r="C9" s="14">
        <f>(376/B9*100)</f>
        <v>6.6255506607929515</v>
      </c>
      <c r="D9" s="15">
        <v>5299</v>
      </c>
      <c r="E9" s="14">
        <v>4.2895663300000004</v>
      </c>
      <c r="F9" s="16">
        <v>0.27858337</v>
      </c>
      <c r="G9" s="14">
        <v>6.0647123900000004</v>
      </c>
      <c r="H9" s="16">
        <v>0.38773980000000002</v>
      </c>
      <c r="I9" s="14">
        <v>2.9487421999999999</v>
      </c>
      <c r="J9" s="16">
        <v>0.18163971000000001</v>
      </c>
      <c r="K9" s="14">
        <v>4.16612998</v>
      </c>
      <c r="L9" s="16">
        <v>0.26153087000000003</v>
      </c>
      <c r="M9" s="14">
        <v>1.5399468700000001</v>
      </c>
      <c r="N9" s="16">
        <v>0.18460546999999999</v>
      </c>
      <c r="O9" s="14">
        <v>0.51769082</v>
      </c>
      <c r="P9" s="16">
        <v>9.9860190000000001E-2</v>
      </c>
      <c r="Q9" s="14">
        <v>0</v>
      </c>
      <c r="R9" s="16">
        <v>0</v>
      </c>
      <c r="S9" s="14" t="s">
        <v>51</v>
      </c>
      <c r="T9" s="16" t="s">
        <v>51</v>
      </c>
      <c r="U9" s="14">
        <v>80.473211410000005</v>
      </c>
      <c r="V9" s="16">
        <v>0.57744121000000004</v>
      </c>
      <c r="W9" s="14">
        <v>0</v>
      </c>
      <c r="X9" s="16">
        <v>0</v>
      </c>
      <c r="Y9" s="14">
        <v>0</v>
      </c>
      <c r="Z9" s="16">
        <v>0</v>
      </c>
    </row>
    <row r="10" spans="1:26" x14ac:dyDescent="0.25">
      <c r="A10" s="11" t="s">
        <v>173</v>
      </c>
      <c r="B10" s="13">
        <v>13082</v>
      </c>
      <c r="C10" s="14">
        <f>(331/B10*100)</f>
        <v>2.530194159914386</v>
      </c>
      <c r="D10" s="15">
        <v>12751</v>
      </c>
      <c r="E10" s="14">
        <v>4.7822894099999997</v>
      </c>
      <c r="F10" s="16">
        <v>0.29801888999999998</v>
      </c>
      <c r="G10" s="14">
        <v>8.0240166399999993</v>
      </c>
      <c r="H10" s="16">
        <v>0.31520636000000002</v>
      </c>
      <c r="I10" s="14">
        <v>4.0882692399999998</v>
      </c>
      <c r="J10" s="16">
        <v>0.25412665000000001</v>
      </c>
      <c r="K10" s="14">
        <v>4.9095642499999999</v>
      </c>
      <c r="L10" s="16">
        <v>0.26309390999999999</v>
      </c>
      <c r="M10" s="14">
        <v>1.0131255299999999</v>
      </c>
      <c r="N10" s="16">
        <v>0.14068264</v>
      </c>
      <c r="O10" s="14">
        <v>1.66442739</v>
      </c>
      <c r="P10" s="16">
        <v>0.16443141</v>
      </c>
      <c r="Q10" s="14">
        <v>0</v>
      </c>
      <c r="R10" s="16">
        <v>0</v>
      </c>
      <c r="S10" s="14" t="s">
        <v>51</v>
      </c>
      <c r="T10" s="16" t="s">
        <v>51</v>
      </c>
      <c r="U10" s="14">
        <v>75.518307539999995</v>
      </c>
      <c r="V10" s="16">
        <v>0.35921678000000001</v>
      </c>
      <c r="W10" s="14">
        <v>0</v>
      </c>
      <c r="X10" s="16">
        <v>0</v>
      </c>
      <c r="Y10" s="14">
        <v>0</v>
      </c>
      <c r="Z10" s="16">
        <v>0</v>
      </c>
    </row>
    <row r="11" spans="1:26" x14ac:dyDescent="0.25">
      <c r="A11" s="11" t="s">
        <v>54</v>
      </c>
      <c r="B11" s="13">
        <v>7053</v>
      </c>
      <c r="C11" s="14">
        <f>(306/B11*100)</f>
        <v>4.3385793279455545</v>
      </c>
      <c r="D11" s="15">
        <v>6747</v>
      </c>
      <c r="E11" s="14">
        <v>4.9084731799999997</v>
      </c>
      <c r="F11" s="16">
        <v>0.27675630000000001</v>
      </c>
      <c r="G11" s="14">
        <v>5.0379429299999998</v>
      </c>
      <c r="H11" s="16">
        <v>0.26489616999999999</v>
      </c>
      <c r="I11" s="14">
        <v>4.9066642399999996</v>
      </c>
      <c r="J11" s="16">
        <v>0.30260595000000001</v>
      </c>
      <c r="K11" s="14">
        <v>5.14352242</v>
      </c>
      <c r="L11" s="16">
        <v>0.27431077999999998</v>
      </c>
      <c r="M11" s="14">
        <v>0.97091611</v>
      </c>
      <c r="N11" s="16">
        <v>0.11804499</v>
      </c>
      <c r="O11" s="14">
        <v>1.0574072000000001</v>
      </c>
      <c r="P11" s="16">
        <v>0.16559303</v>
      </c>
      <c r="Q11" s="14">
        <v>0</v>
      </c>
      <c r="R11" s="16">
        <v>0</v>
      </c>
      <c r="S11" s="14" t="s">
        <v>51</v>
      </c>
      <c r="T11" s="16" t="s">
        <v>51</v>
      </c>
      <c r="U11" s="14">
        <v>77.97507392</v>
      </c>
      <c r="V11" s="16">
        <v>0.40050384999999999</v>
      </c>
      <c r="W11" s="14">
        <v>0</v>
      </c>
      <c r="X11" s="16">
        <v>0</v>
      </c>
      <c r="Y11" s="14">
        <v>0</v>
      </c>
      <c r="Z11" s="16">
        <v>0</v>
      </c>
    </row>
    <row r="12" spans="1:26"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c r="S12" s="17" t="s">
        <v>53</v>
      </c>
      <c r="T12" s="18" t="s">
        <v>53</v>
      </c>
      <c r="U12" s="17" t="s">
        <v>53</v>
      </c>
      <c r="V12" s="18" t="s">
        <v>53</v>
      </c>
      <c r="W12" s="17" t="s">
        <v>53</v>
      </c>
      <c r="X12" s="18" t="s">
        <v>53</v>
      </c>
      <c r="Y12" s="17" t="s">
        <v>53</v>
      </c>
      <c r="Z12" s="18" t="s">
        <v>53</v>
      </c>
    </row>
    <row r="13" spans="1:26"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c r="S13" s="17" t="s">
        <v>53</v>
      </c>
      <c r="T13" s="18" t="s">
        <v>53</v>
      </c>
      <c r="U13" s="17" t="s">
        <v>53</v>
      </c>
      <c r="V13" s="18" t="s">
        <v>53</v>
      </c>
      <c r="W13" s="17" t="s">
        <v>53</v>
      </c>
      <c r="X13" s="18" t="s">
        <v>53</v>
      </c>
      <c r="Y13" s="17" t="s">
        <v>53</v>
      </c>
      <c r="Z13" s="18" t="s">
        <v>53</v>
      </c>
    </row>
    <row r="14" spans="1:26"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c r="S14" s="17" t="s">
        <v>53</v>
      </c>
      <c r="T14" s="18" t="s">
        <v>53</v>
      </c>
      <c r="U14" s="17" t="s">
        <v>53</v>
      </c>
      <c r="V14" s="18" t="s">
        <v>53</v>
      </c>
      <c r="W14" s="17" t="s">
        <v>53</v>
      </c>
      <c r="X14" s="18" t="s">
        <v>53</v>
      </c>
      <c r="Y14" s="17" t="s">
        <v>53</v>
      </c>
      <c r="Z14" s="18" t="s">
        <v>53</v>
      </c>
    </row>
    <row r="15" spans="1:26"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c r="S15" s="17" t="s">
        <v>53</v>
      </c>
      <c r="T15" s="18" t="s">
        <v>53</v>
      </c>
      <c r="U15" s="17" t="s">
        <v>53</v>
      </c>
      <c r="V15" s="18" t="s">
        <v>53</v>
      </c>
      <c r="W15" s="17" t="s">
        <v>53</v>
      </c>
      <c r="X15" s="18" t="s">
        <v>53</v>
      </c>
      <c r="Y15" s="17" t="s">
        <v>53</v>
      </c>
      <c r="Z15" s="18" t="s">
        <v>53</v>
      </c>
    </row>
    <row r="16" spans="1:26"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c r="S16" s="17" t="s">
        <v>53</v>
      </c>
      <c r="T16" s="18" t="s">
        <v>53</v>
      </c>
      <c r="U16" s="17" t="s">
        <v>53</v>
      </c>
      <c r="V16" s="18" t="s">
        <v>53</v>
      </c>
      <c r="W16" s="17" t="s">
        <v>53</v>
      </c>
      <c r="X16" s="18" t="s">
        <v>53</v>
      </c>
      <c r="Y16" s="17" t="s">
        <v>53</v>
      </c>
      <c r="Z16" s="18" t="s">
        <v>53</v>
      </c>
    </row>
    <row r="17" spans="1:26"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c r="S17" s="17" t="s">
        <v>53</v>
      </c>
      <c r="T17" s="18" t="s">
        <v>53</v>
      </c>
      <c r="U17" s="17" t="s">
        <v>53</v>
      </c>
      <c r="V17" s="18" t="s">
        <v>53</v>
      </c>
      <c r="W17" s="17" t="s">
        <v>53</v>
      </c>
      <c r="X17" s="18" t="s">
        <v>53</v>
      </c>
      <c r="Y17" s="17" t="s">
        <v>53</v>
      </c>
      <c r="Z17" s="18" t="s">
        <v>53</v>
      </c>
    </row>
    <row r="18" spans="1:26"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c r="S18" s="17" t="s">
        <v>53</v>
      </c>
      <c r="T18" s="18" t="s">
        <v>53</v>
      </c>
      <c r="U18" s="17" t="s">
        <v>53</v>
      </c>
      <c r="V18" s="18" t="s">
        <v>53</v>
      </c>
      <c r="W18" s="17" t="s">
        <v>53</v>
      </c>
      <c r="X18" s="18" t="s">
        <v>53</v>
      </c>
      <c r="Y18" s="17" t="s">
        <v>53</v>
      </c>
      <c r="Z18" s="18" t="s">
        <v>53</v>
      </c>
    </row>
    <row r="19" spans="1:26"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c r="S19" s="17" t="s">
        <v>53</v>
      </c>
      <c r="T19" s="18" t="s">
        <v>53</v>
      </c>
      <c r="U19" s="17" t="s">
        <v>53</v>
      </c>
      <c r="V19" s="18" t="s">
        <v>53</v>
      </c>
      <c r="W19" s="17" t="s">
        <v>53</v>
      </c>
      <c r="X19" s="18" t="s">
        <v>53</v>
      </c>
      <c r="Y19" s="17" t="s">
        <v>53</v>
      </c>
      <c r="Z19" s="18" t="s">
        <v>53</v>
      </c>
    </row>
    <row r="20" spans="1:26"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c r="S20" s="17" t="s">
        <v>53</v>
      </c>
      <c r="T20" s="18" t="s">
        <v>53</v>
      </c>
      <c r="U20" s="17" t="s">
        <v>53</v>
      </c>
      <c r="V20" s="18" t="s">
        <v>53</v>
      </c>
      <c r="W20" s="17" t="s">
        <v>53</v>
      </c>
      <c r="X20" s="18" t="s">
        <v>53</v>
      </c>
      <c r="Y20" s="17" t="s">
        <v>53</v>
      </c>
      <c r="Z20" s="18" t="s">
        <v>53</v>
      </c>
    </row>
    <row r="21" spans="1:26"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c r="S21" s="17" t="s">
        <v>53</v>
      </c>
      <c r="T21" s="18" t="s">
        <v>53</v>
      </c>
      <c r="U21" s="17" t="s">
        <v>53</v>
      </c>
      <c r="V21" s="18" t="s">
        <v>53</v>
      </c>
      <c r="W21" s="17" t="s">
        <v>53</v>
      </c>
      <c r="X21" s="18" t="s">
        <v>53</v>
      </c>
      <c r="Y21" s="17" t="s">
        <v>53</v>
      </c>
      <c r="Z21" s="18" t="s">
        <v>53</v>
      </c>
    </row>
    <row r="22" spans="1:26"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c r="S22" s="17" t="s">
        <v>53</v>
      </c>
      <c r="T22" s="18" t="s">
        <v>53</v>
      </c>
      <c r="U22" s="17" t="s">
        <v>53</v>
      </c>
      <c r="V22" s="18" t="s">
        <v>53</v>
      </c>
      <c r="W22" s="17" t="s">
        <v>53</v>
      </c>
      <c r="X22" s="18" t="s">
        <v>53</v>
      </c>
      <c r="Y22" s="17" t="s">
        <v>53</v>
      </c>
      <c r="Z22" s="18" t="s">
        <v>53</v>
      </c>
    </row>
    <row r="23" spans="1:26" x14ac:dyDescent="0.25">
      <c r="A23" s="11" t="s">
        <v>66</v>
      </c>
      <c r="B23" s="13">
        <v>11583</v>
      </c>
      <c r="C23" s="14">
        <f>(746/B23*100)</f>
        <v>6.4404731071397743</v>
      </c>
      <c r="D23" s="15">
        <v>10837</v>
      </c>
      <c r="E23" s="14">
        <v>2.5623603199999998</v>
      </c>
      <c r="F23" s="16">
        <v>0.20226126</v>
      </c>
      <c r="G23" s="14">
        <v>6.68606648</v>
      </c>
      <c r="H23" s="16">
        <v>0.26972666000000001</v>
      </c>
      <c r="I23" s="14">
        <v>4.58856748</v>
      </c>
      <c r="J23" s="16">
        <v>0.24155994</v>
      </c>
      <c r="K23" s="14">
        <v>5.7118489300000004</v>
      </c>
      <c r="L23" s="16">
        <v>0.29357266999999998</v>
      </c>
      <c r="M23" s="14">
        <v>0.98040788000000001</v>
      </c>
      <c r="N23" s="16">
        <v>0.13007856000000001</v>
      </c>
      <c r="O23" s="14">
        <v>0.81694005000000003</v>
      </c>
      <c r="P23" s="16">
        <v>0.10716411000000001</v>
      </c>
      <c r="Q23" s="14">
        <v>0</v>
      </c>
      <c r="R23" s="16">
        <v>0</v>
      </c>
      <c r="S23" s="14" t="s">
        <v>51</v>
      </c>
      <c r="T23" s="16" t="s">
        <v>51</v>
      </c>
      <c r="U23" s="14">
        <v>78.653808859999998</v>
      </c>
      <c r="V23" s="16">
        <v>0.34710321999999999</v>
      </c>
      <c r="W23" s="14">
        <v>0</v>
      </c>
      <c r="X23" s="16">
        <v>0</v>
      </c>
      <c r="Y23" s="14">
        <v>0</v>
      </c>
      <c r="Z23" s="16">
        <v>0</v>
      </c>
    </row>
    <row r="24" spans="1:26"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c r="S24" s="17" t="s">
        <v>53</v>
      </c>
      <c r="T24" s="18" t="s">
        <v>53</v>
      </c>
      <c r="U24" s="17" t="s">
        <v>53</v>
      </c>
      <c r="V24" s="18" t="s">
        <v>53</v>
      </c>
      <c r="W24" s="17" t="s">
        <v>53</v>
      </c>
      <c r="X24" s="18" t="s">
        <v>53</v>
      </c>
      <c r="Y24" s="17" t="s">
        <v>53</v>
      </c>
      <c r="Z24" s="18" t="s">
        <v>53</v>
      </c>
    </row>
    <row r="25" spans="1:26"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c r="S25" s="17" t="s">
        <v>53</v>
      </c>
      <c r="T25" s="18" t="s">
        <v>53</v>
      </c>
      <c r="U25" s="17" t="s">
        <v>53</v>
      </c>
      <c r="V25" s="18" t="s">
        <v>53</v>
      </c>
      <c r="W25" s="17" t="s">
        <v>53</v>
      </c>
      <c r="X25" s="18" t="s">
        <v>53</v>
      </c>
      <c r="Y25" s="17" t="s">
        <v>53</v>
      </c>
      <c r="Z25" s="18" t="s">
        <v>53</v>
      </c>
    </row>
    <row r="26" spans="1:26"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c r="S26" s="17" t="s">
        <v>53</v>
      </c>
      <c r="T26" s="18" t="s">
        <v>53</v>
      </c>
      <c r="U26" s="17" t="s">
        <v>53</v>
      </c>
      <c r="V26" s="18" t="s">
        <v>53</v>
      </c>
      <c r="W26" s="17" t="s">
        <v>53</v>
      </c>
      <c r="X26" s="18" t="s">
        <v>53</v>
      </c>
      <c r="Y26" s="17" t="s">
        <v>53</v>
      </c>
      <c r="Z26" s="18" t="s">
        <v>53</v>
      </c>
    </row>
    <row r="27" spans="1:26"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c r="S27" s="17" t="s">
        <v>53</v>
      </c>
      <c r="T27" s="18" t="s">
        <v>53</v>
      </c>
      <c r="U27" s="17" t="s">
        <v>53</v>
      </c>
      <c r="V27" s="18" t="s">
        <v>53</v>
      </c>
      <c r="W27" s="17" t="s">
        <v>53</v>
      </c>
      <c r="X27" s="18" t="s">
        <v>53</v>
      </c>
      <c r="Y27" s="17" t="s">
        <v>53</v>
      </c>
      <c r="Z27" s="18" t="s">
        <v>53</v>
      </c>
    </row>
    <row r="28" spans="1:26"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c r="S28" s="17" t="s">
        <v>53</v>
      </c>
      <c r="T28" s="18" t="s">
        <v>53</v>
      </c>
      <c r="U28" s="17" t="s">
        <v>53</v>
      </c>
      <c r="V28" s="18" t="s">
        <v>53</v>
      </c>
      <c r="W28" s="17" t="s">
        <v>53</v>
      </c>
      <c r="X28" s="18" t="s">
        <v>53</v>
      </c>
      <c r="Y28" s="17" t="s">
        <v>53</v>
      </c>
      <c r="Z28" s="18" t="s">
        <v>53</v>
      </c>
    </row>
    <row r="29" spans="1:26" x14ac:dyDescent="0.25">
      <c r="A29" s="11" t="s">
        <v>72</v>
      </c>
      <c r="B29" s="13">
        <v>5385</v>
      </c>
      <c r="C29" s="14">
        <f>(61/B29*100)</f>
        <v>1.1327762302692663</v>
      </c>
      <c r="D29" s="15">
        <v>5324</v>
      </c>
      <c r="E29" s="14">
        <v>5.8355263800000001</v>
      </c>
      <c r="F29" s="16">
        <v>0.25346984</v>
      </c>
      <c r="G29" s="14">
        <v>8.5550998499999995</v>
      </c>
      <c r="H29" s="16">
        <v>0.36547605999999999</v>
      </c>
      <c r="I29" s="14">
        <v>3.0761070400000001</v>
      </c>
      <c r="J29" s="16">
        <v>0.20823395</v>
      </c>
      <c r="K29" s="14">
        <v>5.0199087899999997</v>
      </c>
      <c r="L29" s="16">
        <v>0.30247201000000001</v>
      </c>
      <c r="M29" s="14">
        <v>1.76347951</v>
      </c>
      <c r="N29" s="16">
        <v>0.18462484000000001</v>
      </c>
      <c r="O29" s="14">
        <v>0.32833916000000002</v>
      </c>
      <c r="P29" s="16">
        <v>7.9330600000000001E-2</v>
      </c>
      <c r="Q29" s="14">
        <v>0</v>
      </c>
      <c r="R29" s="16">
        <v>0</v>
      </c>
      <c r="S29" s="14" t="s">
        <v>51</v>
      </c>
      <c r="T29" s="16" t="s">
        <v>51</v>
      </c>
      <c r="U29" s="14">
        <v>75.421539280000005</v>
      </c>
      <c r="V29" s="16">
        <v>0.31029675000000001</v>
      </c>
      <c r="W29" s="14">
        <v>0</v>
      </c>
      <c r="X29" s="16">
        <v>0</v>
      </c>
      <c r="Y29" s="14">
        <v>0</v>
      </c>
      <c r="Z29" s="16">
        <v>0</v>
      </c>
    </row>
    <row r="30" spans="1:26"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c r="S30" s="17" t="s">
        <v>53</v>
      </c>
      <c r="T30" s="18" t="s">
        <v>53</v>
      </c>
      <c r="U30" s="17" t="s">
        <v>53</v>
      </c>
      <c r="V30" s="18" t="s">
        <v>53</v>
      </c>
      <c r="W30" s="17" t="s">
        <v>53</v>
      </c>
      <c r="X30" s="18" t="s">
        <v>53</v>
      </c>
      <c r="Y30" s="17" t="s">
        <v>53</v>
      </c>
      <c r="Z30" s="18" t="s">
        <v>53</v>
      </c>
    </row>
    <row r="31" spans="1:26"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c r="S31" s="17" t="s">
        <v>53</v>
      </c>
      <c r="T31" s="18" t="s">
        <v>53</v>
      </c>
      <c r="U31" s="17" t="s">
        <v>53</v>
      </c>
      <c r="V31" s="18" t="s">
        <v>53</v>
      </c>
      <c r="W31" s="17" t="s">
        <v>53</v>
      </c>
      <c r="X31" s="18" t="s">
        <v>53</v>
      </c>
      <c r="Y31" s="17" t="s">
        <v>53</v>
      </c>
      <c r="Z31" s="18" t="s">
        <v>53</v>
      </c>
    </row>
    <row r="32" spans="1:26" x14ac:dyDescent="0.25">
      <c r="A32" s="11" t="s">
        <v>75</v>
      </c>
      <c r="B32" s="13">
        <v>4478</v>
      </c>
      <c r="C32" s="14">
        <f>(81/B32*100)</f>
        <v>1.8088432335864226</v>
      </c>
      <c r="D32" s="15">
        <v>4397</v>
      </c>
      <c r="E32" s="14">
        <v>6.8774195599999999</v>
      </c>
      <c r="F32" s="16">
        <v>0.37385427999999998</v>
      </c>
      <c r="G32" s="14">
        <v>7.3896599600000004</v>
      </c>
      <c r="H32" s="16">
        <v>0.37741720000000001</v>
      </c>
      <c r="I32" s="14">
        <v>10.713612919999999</v>
      </c>
      <c r="J32" s="16">
        <v>0.41989218</v>
      </c>
      <c r="K32" s="14">
        <v>8.67046311</v>
      </c>
      <c r="L32" s="16">
        <v>0.43534876</v>
      </c>
      <c r="M32" s="14">
        <v>2.9952520699999998</v>
      </c>
      <c r="N32" s="16">
        <v>0.26373127000000002</v>
      </c>
      <c r="O32" s="14">
        <v>1.03664421</v>
      </c>
      <c r="P32" s="16">
        <v>0.15400530000000001</v>
      </c>
      <c r="Q32" s="14">
        <v>0</v>
      </c>
      <c r="R32" s="16">
        <v>0</v>
      </c>
      <c r="S32" s="14" t="s">
        <v>51</v>
      </c>
      <c r="T32" s="16" t="s">
        <v>51</v>
      </c>
      <c r="U32" s="14">
        <v>62.316948160000003</v>
      </c>
      <c r="V32" s="16">
        <v>0.34468985000000002</v>
      </c>
      <c r="W32" s="14">
        <v>0</v>
      </c>
      <c r="X32" s="16">
        <v>0</v>
      </c>
      <c r="Y32" s="14">
        <v>0</v>
      </c>
      <c r="Z32" s="16">
        <v>0</v>
      </c>
    </row>
    <row r="33" spans="1:26"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c r="S33" s="17" t="s">
        <v>53</v>
      </c>
      <c r="T33" s="18" t="s">
        <v>53</v>
      </c>
      <c r="U33" s="17" t="s">
        <v>53</v>
      </c>
      <c r="V33" s="18" t="s">
        <v>53</v>
      </c>
      <c r="W33" s="17" t="s">
        <v>53</v>
      </c>
      <c r="X33" s="18" t="s">
        <v>53</v>
      </c>
      <c r="Y33" s="17" t="s">
        <v>53</v>
      </c>
      <c r="Z33" s="18" t="s">
        <v>53</v>
      </c>
    </row>
    <row r="34" spans="1:26" x14ac:dyDescent="0.25">
      <c r="A34" s="11" t="s">
        <v>77</v>
      </c>
      <c r="B34" s="13">
        <v>6350</v>
      </c>
      <c r="C34" s="14">
        <f>(276/B34*100)</f>
        <v>4.3464566929133852</v>
      </c>
      <c r="D34" s="15">
        <v>6074</v>
      </c>
      <c r="E34" s="14">
        <v>3.4576987199999998</v>
      </c>
      <c r="F34" s="16">
        <v>0.20805476000000001</v>
      </c>
      <c r="G34" s="14">
        <v>5.1642057799999996</v>
      </c>
      <c r="H34" s="16">
        <v>0.27827450999999997</v>
      </c>
      <c r="I34" s="14">
        <v>5.7107740700000003</v>
      </c>
      <c r="J34" s="16">
        <v>0.29930025999999998</v>
      </c>
      <c r="K34" s="14">
        <v>5.4496754599999999</v>
      </c>
      <c r="L34" s="16">
        <v>0.28541569</v>
      </c>
      <c r="M34" s="14">
        <v>1.5918982399999999</v>
      </c>
      <c r="N34" s="16">
        <v>0.14845738</v>
      </c>
      <c r="O34" s="14">
        <v>0.63845485000000002</v>
      </c>
      <c r="P34" s="16">
        <v>9.2260400000000006E-2</v>
      </c>
      <c r="Q34" s="14">
        <v>0</v>
      </c>
      <c r="R34" s="16">
        <v>0</v>
      </c>
      <c r="S34" s="14" t="s">
        <v>51</v>
      </c>
      <c r="T34" s="16" t="s">
        <v>51</v>
      </c>
      <c r="U34" s="14">
        <v>77.987292870000005</v>
      </c>
      <c r="V34" s="16">
        <v>0.38565392999999998</v>
      </c>
      <c r="W34" s="14">
        <v>0</v>
      </c>
      <c r="X34" s="16">
        <v>0</v>
      </c>
      <c r="Y34" s="14">
        <v>0</v>
      </c>
      <c r="Z34" s="16">
        <v>0</v>
      </c>
    </row>
    <row r="35" spans="1:26"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c r="S35" s="17" t="s">
        <v>53</v>
      </c>
      <c r="T35" s="18" t="s">
        <v>53</v>
      </c>
      <c r="U35" s="17" t="s">
        <v>53</v>
      </c>
      <c r="V35" s="18" t="s">
        <v>53</v>
      </c>
      <c r="W35" s="17" t="s">
        <v>53</v>
      </c>
      <c r="X35" s="18" t="s">
        <v>53</v>
      </c>
      <c r="Y35" s="17" t="s">
        <v>53</v>
      </c>
      <c r="Z35" s="18" t="s">
        <v>53</v>
      </c>
    </row>
    <row r="36" spans="1:26" x14ac:dyDescent="0.25">
      <c r="A36" s="11" t="s">
        <v>79</v>
      </c>
      <c r="B36" s="13">
        <v>6736</v>
      </c>
      <c r="C36" s="14">
        <f>(215/B36*100)</f>
        <v>3.1918052256532068</v>
      </c>
      <c r="D36" s="15">
        <v>6521</v>
      </c>
      <c r="E36" s="14">
        <v>4.3565667599999998</v>
      </c>
      <c r="F36" s="16">
        <v>0.26498943000000003</v>
      </c>
      <c r="G36" s="14">
        <v>7.4221434400000001</v>
      </c>
      <c r="H36" s="16">
        <v>0.28919850000000002</v>
      </c>
      <c r="I36" s="14">
        <v>5.4280511200000001</v>
      </c>
      <c r="J36" s="16">
        <v>0.24599771000000001</v>
      </c>
      <c r="K36" s="14">
        <v>4.5968577499999999</v>
      </c>
      <c r="L36" s="16">
        <v>0.24619661000000001</v>
      </c>
      <c r="M36" s="14">
        <v>1.0471158700000001</v>
      </c>
      <c r="N36" s="16">
        <v>0.13200463000000001</v>
      </c>
      <c r="O36" s="14">
        <v>0.79009896999999996</v>
      </c>
      <c r="P36" s="16">
        <v>0.12204319</v>
      </c>
      <c r="Q36" s="14">
        <v>0</v>
      </c>
      <c r="R36" s="16">
        <v>0</v>
      </c>
      <c r="S36" s="14" t="s">
        <v>51</v>
      </c>
      <c r="T36" s="16" t="s">
        <v>51</v>
      </c>
      <c r="U36" s="14">
        <v>76.359166090000002</v>
      </c>
      <c r="V36" s="16">
        <v>0.29507629000000002</v>
      </c>
      <c r="W36" s="14">
        <v>0</v>
      </c>
      <c r="X36" s="16">
        <v>0</v>
      </c>
      <c r="Y36" s="14">
        <v>0</v>
      </c>
      <c r="Z36" s="16">
        <v>0</v>
      </c>
    </row>
    <row r="37" spans="1:26"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c r="S37" s="17" t="s">
        <v>53</v>
      </c>
      <c r="T37" s="18" t="s">
        <v>53</v>
      </c>
      <c r="U37" s="17" t="s">
        <v>53</v>
      </c>
      <c r="V37" s="18" t="s">
        <v>53</v>
      </c>
      <c r="W37" s="17" t="s">
        <v>53</v>
      </c>
      <c r="X37" s="18" t="s">
        <v>53</v>
      </c>
      <c r="Y37" s="17" t="s">
        <v>53</v>
      </c>
      <c r="Z37" s="18" t="s">
        <v>53</v>
      </c>
    </row>
    <row r="38" spans="1:26"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c r="S38" s="17" t="s">
        <v>53</v>
      </c>
      <c r="T38" s="18" t="s">
        <v>53</v>
      </c>
      <c r="U38" s="17" t="s">
        <v>53</v>
      </c>
      <c r="V38" s="18" t="s">
        <v>53</v>
      </c>
      <c r="W38" s="17" t="s">
        <v>53</v>
      </c>
      <c r="X38" s="18" t="s">
        <v>53</v>
      </c>
      <c r="Y38" s="17" t="s">
        <v>53</v>
      </c>
      <c r="Z38" s="18" t="s">
        <v>53</v>
      </c>
    </row>
    <row r="39" spans="1:26"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c r="S39" s="17" t="s">
        <v>53</v>
      </c>
      <c r="T39" s="18" t="s">
        <v>53</v>
      </c>
      <c r="U39" s="17" t="s">
        <v>53</v>
      </c>
      <c r="V39" s="18" t="s">
        <v>53</v>
      </c>
      <c r="W39" s="17" t="s">
        <v>53</v>
      </c>
      <c r="X39" s="18" t="s">
        <v>53</v>
      </c>
      <c r="Y39" s="17" t="s">
        <v>53</v>
      </c>
      <c r="Z39" s="18" t="s">
        <v>53</v>
      </c>
    </row>
    <row r="40" spans="1:26"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c r="S40" s="17" t="s">
        <v>53</v>
      </c>
      <c r="T40" s="18" t="s">
        <v>53</v>
      </c>
      <c r="U40" s="17" t="s">
        <v>53</v>
      </c>
      <c r="V40" s="18" t="s">
        <v>53</v>
      </c>
      <c r="W40" s="17" t="s">
        <v>53</v>
      </c>
      <c r="X40" s="18" t="s">
        <v>53</v>
      </c>
      <c r="Y40" s="17" t="s">
        <v>53</v>
      </c>
      <c r="Z40" s="18" t="s">
        <v>53</v>
      </c>
    </row>
    <row r="41" spans="1:26" x14ac:dyDescent="0.25">
      <c r="A41" s="11" t="s">
        <v>84</v>
      </c>
      <c r="B41" s="13">
        <v>5712</v>
      </c>
      <c r="C41" s="14">
        <f>(172/B41*100)</f>
        <v>3.011204481792717</v>
      </c>
      <c r="D41" s="15">
        <v>5540</v>
      </c>
      <c r="E41" s="14">
        <v>4.1878844900000001</v>
      </c>
      <c r="F41" s="16">
        <v>0.28719009000000001</v>
      </c>
      <c r="G41" s="14">
        <v>7.5363265200000003</v>
      </c>
      <c r="H41" s="16">
        <v>0.32546479</v>
      </c>
      <c r="I41" s="14">
        <v>4.6090045599999998</v>
      </c>
      <c r="J41" s="16">
        <v>0.27498296999999999</v>
      </c>
      <c r="K41" s="14">
        <v>4.6955414500000003</v>
      </c>
      <c r="L41" s="16">
        <v>0.29675458999999998</v>
      </c>
      <c r="M41" s="14">
        <v>1.0933606600000001</v>
      </c>
      <c r="N41" s="16">
        <v>0.13478661</v>
      </c>
      <c r="O41" s="14">
        <v>1.59662383</v>
      </c>
      <c r="P41" s="16">
        <v>0.16572830999999999</v>
      </c>
      <c r="Q41" s="14">
        <v>0</v>
      </c>
      <c r="R41" s="16">
        <v>0</v>
      </c>
      <c r="S41" s="14" t="s">
        <v>51</v>
      </c>
      <c r="T41" s="16" t="s">
        <v>51</v>
      </c>
      <c r="U41" s="14">
        <v>76.281258489999999</v>
      </c>
      <c r="V41" s="16">
        <v>0.3687859</v>
      </c>
      <c r="W41" s="14">
        <v>0</v>
      </c>
      <c r="X41" s="16">
        <v>0</v>
      </c>
      <c r="Y41" s="14">
        <v>0</v>
      </c>
      <c r="Z41" s="16">
        <v>0</v>
      </c>
    </row>
    <row r="42" spans="1:26" x14ac:dyDescent="0.25">
      <c r="A42" s="11" t="s">
        <v>85</v>
      </c>
      <c r="B42" s="13">
        <f>IF(COUNT(B7:B41) &gt; 0, AVERAGE(B7:B41), "\u2014")</f>
        <v>8058.4</v>
      </c>
      <c r="C42" s="14">
        <f>IF(COUNT(C7:C41) &gt; 0, AVERAGE(C7:C41), "—")</f>
        <v>5.8573852837832856</v>
      </c>
      <c r="D42" s="15">
        <f>IF(COUNT(D7:D41) &gt; 0, AVERAGE(D7:D41), "—")</f>
        <v>7436.6</v>
      </c>
      <c r="E42" s="14">
        <f>IF(COUNT(E7:E41) &gt; 0, AVERAGE(E7:E41), "—")</f>
        <v>6.5875289329999989</v>
      </c>
      <c r="F42" s="16">
        <f>IF(COUNT(F7:F41) &gt; 0, SQRT(SUMSQ(F7:F41)/(COUNT(F7:F41)*COUNT(F7:F41)) ), "—")</f>
        <v>9.7532903510631194E-2</v>
      </c>
      <c r="G42" s="14">
        <f>IF(COUNT(G7:G41) &gt; 0, AVERAGE(G7:G41), "—")</f>
        <v>9.4162951130000003</v>
      </c>
      <c r="H42" s="16">
        <f>IF(COUNT(H7:H41) &gt; 0, SQRT(SUMSQ(H7:H41)/(COUNT(H7:H41)*COUNT(H7:H41)) ), "—")</f>
        <v>0.11209845224946749</v>
      </c>
      <c r="I42" s="14">
        <f>IF(COUNT(I7:I41) &gt; 0, AVERAGE(I7:I41), "—")</f>
        <v>6.2038989540000014</v>
      </c>
      <c r="J42" s="16">
        <f>IF(COUNT(J7:J41) &gt; 0, SQRT(SUMSQ(J7:J41)/(COUNT(J7:J41)*COUNT(J7:J41)) ), "—")</f>
        <v>9.512405735734035E-2</v>
      </c>
      <c r="K42" s="14">
        <f>IF(COUNT(K7:K41) &gt; 0, AVERAGE(K7:K41), "—")</f>
        <v>6.5670651050000002</v>
      </c>
      <c r="L42" s="16">
        <f>IF(COUNT(L7:L41) &gt; 0, SQRT(SUMSQ(L7:L41)/(COUNT(L7:L41)*COUNT(L7:L41)) ), "—")</f>
        <v>9.9481256115815528E-2</v>
      </c>
      <c r="M42" s="14">
        <f>IF(COUNT(M7:M41) &gt; 0, AVERAGE(M7:M41), "—")</f>
        <v>1.6871739380000002</v>
      </c>
      <c r="N42" s="16">
        <f>IF(COUNT(N7:N41) &gt; 0, SQRT(SUMSQ(N7:N41)/(COUNT(N7:N41)*COUNT(N7:N41)) ), "—")</f>
        <v>5.4595416517111993E-2</v>
      </c>
      <c r="O42" s="14">
        <f>IF(COUNT(O7:O41) &gt; 0, AVERAGE(O7:O41), "—")</f>
        <v>1.4393772950000003</v>
      </c>
      <c r="P42" s="16">
        <f>IF(COUNT(P7:P41) &gt; 0, SQRT(SUMSQ(P7:P41)/(COUNT(P7:P41)*COUNT(P7:P41)) ), "—")</f>
        <v>4.787301746090767E-2</v>
      </c>
      <c r="Q42" s="14">
        <f>IF(COUNT(Q7:Q41) &gt; 0, AVERAGE(Q7:Q41), "—")</f>
        <v>0</v>
      </c>
      <c r="R42" s="16">
        <f>IF(COUNT(R7:R41) &gt; 0, SQRT(SUMSQ(R7:R41)/(COUNT(R7:R41)*COUNT(R7:R41)) ), "—")</f>
        <v>0</v>
      </c>
      <c r="S42" s="14" t="str">
        <f>IF(COUNT(S7:S41) &gt; 0, AVERAGE(S7:S41), "—")</f>
        <v>—</v>
      </c>
      <c r="T42" s="16" t="str">
        <f>IF(COUNT(T7:T41) &gt; 0, SQRT(SUMSQ(T7:T41)/(COUNT(T7:T41)*COUNT(T7:T41)) ), "—")</f>
        <v>—</v>
      </c>
      <c r="U42" s="14">
        <f>IF(COUNT(U7:U41) &gt; 0, AVERAGE(U7:U41), "—")</f>
        <v>68.098660662000015</v>
      </c>
      <c r="V42" s="16">
        <f>IF(COUNT(V7:V41) &gt; 0, SQRT(SUMSQ(V7:V41)/(COUNT(V7:V41)*COUNT(V7:V41)) ), "—")</f>
        <v>0.11533673316320465</v>
      </c>
      <c r="W42" s="14">
        <f>IF(COUNT(W7:W41) &gt; 0, AVERAGE(W7:W41), "—")</f>
        <v>0</v>
      </c>
      <c r="X42" s="16">
        <f>IF(COUNT(X7:X41) &gt; 0, SQRT(SUMSQ(X7:X41)/(COUNT(X7:X41)*COUNT(X7:X41)) ), "—")</f>
        <v>0</v>
      </c>
      <c r="Y42" s="14">
        <f>IF(COUNT(Y7:Y41) &gt; 0, AVERAGE(Y7:Y41), "—")</f>
        <v>0</v>
      </c>
      <c r="Z42" s="16">
        <f>IF(COUNT(Z7:Z41) &gt; 0, SQRT(SUMSQ(Z7:Z41)/(COUNT(Z7:Z41)*COUNT(Z7:Z41)) ), "—")</f>
        <v>0</v>
      </c>
    </row>
    <row r="43" spans="1:26" x14ac:dyDescent="0.25">
      <c r="A43" s="9" t="s">
        <v>86</v>
      </c>
      <c r="B43" s="10"/>
      <c r="C43" s="10"/>
      <c r="D43" s="11"/>
      <c r="E43" s="10"/>
      <c r="F43" s="11"/>
      <c r="G43" s="10"/>
      <c r="H43" s="11"/>
      <c r="I43" s="10"/>
      <c r="J43" s="11"/>
      <c r="K43" s="10"/>
      <c r="L43" s="11"/>
      <c r="M43" s="10"/>
      <c r="N43" s="11"/>
      <c r="O43" s="10"/>
      <c r="P43" s="11"/>
      <c r="Q43" s="10"/>
      <c r="R43" s="11"/>
      <c r="S43" s="10"/>
      <c r="T43" s="11"/>
      <c r="U43" s="10"/>
      <c r="V43" s="11"/>
      <c r="W43" s="10"/>
      <c r="X43" s="11"/>
      <c r="Y43" s="10"/>
      <c r="Z43" s="12"/>
    </row>
    <row r="44" spans="1:26"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c r="S44" s="17" t="s">
        <v>53</v>
      </c>
      <c r="T44" s="18" t="s">
        <v>53</v>
      </c>
      <c r="U44" s="17" t="s">
        <v>53</v>
      </c>
      <c r="V44" s="18" t="s">
        <v>53</v>
      </c>
      <c r="W44" s="17" t="s">
        <v>53</v>
      </c>
      <c r="X44" s="18" t="s">
        <v>53</v>
      </c>
      <c r="Y44" s="17" t="s">
        <v>53</v>
      </c>
      <c r="Z44" s="18" t="s">
        <v>53</v>
      </c>
    </row>
    <row r="45" spans="1:26"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c r="S45" s="17" t="s">
        <v>53</v>
      </c>
      <c r="T45" s="18" t="s">
        <v>53</v>
      </c>
      <c r="U45" s="17" t="s">
        <v>53</v>
      </c>
      <c r="V45" s="18" t="s">
        <v>53</v>
      </c>
      <c r="W45" s="17" t="s">
        <v>53</v>
      </c>
      <c r="X45" s="18" t="s">
        <v>53</v>
      </c>
      <c r="Y45" s="17" t="s">
        <v>53</v>
      </c>
      <c r="Z45" s="18" t="s">
        <v>53</v>
      </c>
    </row>
    <row r="46" spans="1:26" x14ac:dyDescent="0.25">
      <c r="A46" s="11" t="s">
        <v>89</v>
      </c>
      <c r="B46" s="13">
        <v>23141</v>
      </c>
      <c r="C46" s="14">
        <f>(4040/B46*100)</f>
        <v>17.458191089408409</v>
      </c>
      <c r="D46" s="15">
        <v>19101</v>
      </c>
      <c r="E46" s="14">
        <v>3.16392403</v>
      </c>
      <c r="F46" s="16">
        <v>0.20651117999999999</v>
      </c>
      <c r="G46" s="14">
        <v>2.8941530000000002</v>
      </c>
      <c r="H46" s="16">
        <v>0.15014052</v>
      </c>
      <c r="I46" s="14">
        <v>1.5883330499999999</v>
      </c>
      <c r="J46" s="16">
        <v>0.12520365999999999</v>
      </c>
      <c r="K46" s="14">
        <v>2.4822049700000002</v>
      </c>
      <c r="L46" s="16">
        <v>0.16296649999999999</v>
      </c>
      <c r="M46" s="14">
        <v>0.85959280000000005</v>
      </c>
      <c r="N46" s="16">
        <v>0.10007302999999999</v>
      </c>
      <c r="O46" s="14">
        <v>0.63452366999999998</v>
      </c>
      <c r="P46" s="16">
        <v>7.7079789999999995E-2</v>
      </c>
      <c r="Q46" s="14">
        <v>0</v>
      </c>
      <c r="R46" s="16">
        <v>0</v>
      </c>
      <c r="S46" s="14" t="s">
        <v>51</v>
      </c>
      <c r="T46" s="16" t="s">
        <v>51</v>
      </c>
      <c r="U46" s="14">
        <v>88.377268479999998</v>
      </c>
      <c r="V46" s="16">
        <v>0.37892898000000003</v>
      </c>
      <c r="W46" s="14">
        <v>0</v>
      </c>
      <c r="X46" s="16">
        <v>0</v>
      </c>
      <c r="Y46" s="14">
        <v>0</v>
      </c>
      <c r="Z46" s="16">
        <v>0</v>
      </c>
    </row>
    <row r="47" spans="1:26"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c r="S47" s="17" t="s">
        <v>53</v>
      </c>
      <c r="T47" s="18" t="s">
        <v>53</v>
      </c>
      <c r="U47" s="17" t="s">
        <v>53</v>
      </c>
      <c r="V47" s="18" t="s">
        <v>53</v>
      </c>
      <c r="W47" s="17" t="s">
        <v>53</v>
      </c>
      <c r="X47" s="18" t="s">
        <v>53</v>
      </c>
      <c r="Y47" s="17" t="s">
        <v>53</v>
      </c>
      <c r="Z47" s="18" t="s">
        <v>53</v>
      </c>
    </row>
    <row r="48" spans="1:26" x14ac:dyDescent="0.25">
      <c r="A48" s="11" t="s">
        <v>91</v>
      </c>
      <c r="B48" s="13">
        <v>9841</v>
      </c>
      <c r="C48" s="14">
        <f>(111/B48*100)</f>
        <v>1.1279341530332283</v>
      </c>
      <c r="D48" s="15">
        <v>9730</v>
      </c>
      <c r="E48" s="14">
        <v>3.6542121399999998</v>
      </c>
      <c r="F48" s="16">
        <v>0.23889404</v>
      </c>
      <c r="G48" s="14">
        <v>10.67832454</v>
      </c>
      <c r="H48" s="16">
        <v>0.33921403999999999</v>
      </c>
      <c r="I48" s="14">
        <v>4.6699287199999997</v>
      </c>
      <c r="J48" s="16">
        <v>0.25043887999999997</v>
      </c>
      <c r="K48" s="14">
        <v>3.3462544300000001</v>
      </c>
      <c r="L48" s="16">
        <v>0.23682866999999999</v>
      </c>
      <c r="M48" s="14">
        <v>1.1530446299999999</v>
      </c>
      <c r="N48" s="16">
        <v>0.13099811</v>
      </c>
      <c r="O48" s="14">
        <v>1.1602867800000001</v>
      </c>
      <c r="P48" s="16">
        <v>0.14291754000000001</v>
      </c>
      <c r="Q48" s="14">
        <v>0</v>
      </c>
      <c r="R48" s="16">
        <v>0</v>
      </c>
      <c r="S48" s="14" t="s">
        <v>51</v>
      </c>
      <c r="T48" s="16" t="s">
        <v>51</v>
      </c>
      <c r="U48" s="14">
        <v>75.337948760000003</v>
      </c>
      <c r="V48" s="16">
        <v>0.33293656999999999</v>
      </c>
      <c r="W48" s="14">
        <v>0</v>
      </c>
      <c r="X48" s="16">
        <v>0</v>
      </c>
      <c r="Y48" s="14">
        <v>0</v>
      </c>
      <c r="Z48" s="16">
        <v>0</v>
      </c>
    </row>
    <row r="49" spans="1:26"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c r="S49" s="17" t="s">
        <v>53</v>
      </c>
      <c r="T49" s="18" t="s">
        <v>53</v>
      </c>
      <c r="U49" s="17" t="s">
        <v>53</v>
      </c>
      <c r="V49" s="18" t="s">
        <v>53</v>
      </c>
      <c r="W49" s="17" t="s">
        <v>53</v>
      </c>
      <c r="X49" s="18" t="s">
        <v>53</v>
      </c>
      <c r="Y49" s="17" t="s">
        <v>53</v>
      </c>
      <c r="Z49" s="18" t="s">
        <v>53</v>
      </c>
    </row>
    <row r="50" spans="1:26"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c r="S50" s="17" t="s">
        <v>53</v>
      </c>
      <c r="T50" s="18" t="s">
        <v>53</v>
      </c>
      <c r="U50" s="17" t="s">
        <v>53</v>
      </c>
      <c r="V50" s="18" t="s">
        <v>53</v>
      </c>
      <c r="W50" s="17" t="s">
        <v>53</v>
      </c>
      <c r="X50" s="18" t="s">
        <v>53</v>
      </c>
      <c r="Y50" s="17" t="s">
        <v>53</v>
      </c>
      <c r="Z50" s="18" t="s">
        <v>53</v>
      </c>
    </row>
    <row r="51" spans="1:26"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c r="S51" s="17" t="s">
        <v>53</v>
      </c>
      <c r="T51" s="18" t="s">
        <v>53</v>
      </c>
      <c r="U51" s="17" t="s">
        <v>53</v>
      </c>
      <c r="V51" s="18" t="s">
        <v>53</v>
      </c>
      <c r="W51" s="17" t="s">
        <v>53</v>
      </c>
      <c r="X51" s="18" t="s">
        <v>53</v>
      </c>
      <c r="Y51" s="17" t="s">
        <v>53</v>
      </c>
      <c r="Z51" s="18" t="s">
        <v>53</v>
      </c>
    </row>
    <row r="52" spans="1:26"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c r="S52" s="17" t="s">
        <v>53</v>
      </c>
      <c r="T52" s="18" t="s">
        <v>53</v>
      </c>
      <c r="U52" s="17" t="s">
        <v>53</v>
      </c>
      <c r="V52" s="18" t="s">
        <v>53</v>
      </c>
      <c r="W52" s="17" t="s">
        <v>53</v>
      </c>
      <c r="X52" s="18" t="s">
        <v>53</v>
      </c>
      <c r="Y52" s="17" t="s">
        <v>53</v>
      </c>
      <c r="Z52" s="18" t="s">
        <v>53</v>
      </c>
    </row>
    <row r="53" spans="1:26"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c r="S53" s="17" t="s">
        <v>53</v>
      </c>
      <c r="T53" s="18" t="s">
        <v>53</v>
      </c>
      <c r="U53" s="17" t="s">
        <v>53</v>
      </c>
      <c r="V53" s="18" t="s">
        <v>53</v>
      </c>
      <c r="W53" s="17" t="s">
        <v>53</v>
      </c>
      <c r="X53" s="18" t="s">
        <v>53</v>
      </c>
      <c r="Y53" s="17" t="s">
        <v>53</v>
      </c>
      <c r="Z53" s="18" t="s">
        <v>53</v>
      </c>
    </row>
    <row r="54" spans="1:26"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c r="S54" s="17" t="s">
        <v>53</v>
      </c>
      <c r="T54" s="18" t="s">
        <v>53</v>
      </c>
      <c r="U54" s="17" t="s">
        <v>53</v>
      </c>
      <c r="V54" s="18" t="s">
        <v>53</v>
      </c>
      <c r="W54" s="17" t="s">
        <v>53</v>
      </c>
      <c r="X54" s="18" t="s">
        <v>53</v>
      </c>
      <c r="Y54" s="17" t="s">
        <v>53</v>
      </c>
      <c r="Z54" s="18" t="s">
        <v>53</v>
      </c>
    </row>
    <row r="55" spans="1:26"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c r="S55" s="17" t="s">
        <v>53</v>
      </c>
      <c r="T55" s="18" t="s">
        <v>53</v>
      </c>
      <c r="U55" s="17" t="s">
        <v>53</v>
      </c>
      <c r="V55" s="18" t="s">
        <v>53</v>
      </c>
      <c r="W55" s="17" t="s">
        <v>53</v>
      </c>
      <c r="X55" s="18" t="s">
        <v>53</v>
      </c>
      <c r="Y55" s="17" t="s">
        <v>53</v>
      </c>
      <c r="Z55" s="18" t="s">
        <v>53</v>
      </c>
    </row>
    <row r="56" spans="1:26"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c r="S56" s="17" t="s">
        <v>53</v>
      </c>
      <c r="T56" s="18" t="s">
        <v>53</v>
      </c>
      <c r="U56" s="17" t="s">
        <v>53</v>
      </c>
      <c r="V56" s="18" t="s">
        <v>53</v>
      </c>
      <c r="W56" s="17" t="s">
        <v>53</v>
      </c>
      <c r="X56" s="18" t="s">
        <v>53</v>
      </c>
      <c r="Y56" s="17" t="s">
        <v>53</v>
      </c>
      <c r="Z56" s="18" t="s">
        <v>53</v>
      </c>
    </row>
    <row r="57" spans="1:26"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c r="S57" s="17" t="s">
        <v>53</v>
      </c>
      <c r="T57" s="18" t="s">
        <v>53</v>
      </c>
      <c r="U57" s="17" t="s">
        <v>53</v>
      </c>
      <c r="V57" s="18" t="s">
        <v>53</v>
      </c>
      <c r="W57" s="17" t="s">
        <v>53</v>
      </c>
      <c r="X57" s="18" t="s">
        <v>53</v>
      </c>
      <c r="Y57" s="17" t="s">
        <v>53</v>
      </c>
      <c r="Z57" s="18" t="s">
        <v>53</v>
      </c>
    </row>
    <row r="58" spans="1:26"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c r="S58" s="17" t="s">
        <v>53</v>
      </c>
      <c r="T58" s="18" t="s">
        <v>53</v>
      </c>
      <c r="U58" s="17" t="s">
        <v>53</v>
      </c>
      <c r="V58" s="18" t="s">
        <v>53</v>
      </c>
      <c r="W58" s="17" t="s">
        <v>53</v>
      </c>
      <c r="X58" s="18" t="s">
        <v>53</v>
      </c>
      <c r="Y58" s="17" t="s">
        <v>53</v>
      </c>
      <c r="Z58" s="18" t="s">
        <v>53</v>
      </c>
    </row>
    <row r="59" spans="1:26"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c r="S59" s="17" t="s">
        <v>53</v>
      </c>
      <c r="T59" s="18" t="s">
        <v>53</v>
      </c>
      <c r="U59" s="17" t="s">
        <v>53</v>
      </c>
      <c r="V59" s="18" t="s">
        <v>53</v>
      </c>
      <c r="W59" s="17" t="s">
        <v>53</v>
      </c>
      <c r="X59" s="18" t="s">
        <v>53</v>
      </c>
      <c r="Y59" s="17" t="s">
        <v>53</v>
      </c>
      <c r="Z59" s="18" t="s">
        <v>53</v>
      </c>
    </row>
    <row r="60" spans="1:26"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c r="S60" s="17" t="s">
        <v>53</v>
      </c>
      <c r="T60" s="18" t="s">
        <v>53</v>
      </c>
      <c r="U60" s="17" t="s">
        <v>53</v>
      </c>
      <c r="V60" s="18" t="s">
        <v>53</v>
      </c>
      <c r="W60" s="17" t="s">
        <v>53</v>
      </c>
      <c r="X60" s="18" t="s">
        <v>53</v>
      </c>
      <c r="Y60" s="17" t="s">
        <v>53</v>
      </c>
      <c r="Z60" s="18" t="s">
        <v>53</v>
      </c>
    </row>
    <row r="61" spans="1:26" x14ac:dyDescent="0.25">
      <c r="A61" s="11" t="s">
        <v>104</v>
      </c>
      <c r="B61" s="13">
        <v>6525</v>
      </c>
      <c r="C61" s="14">
        <f>(142/B61*100)</f>
        <v>2.1762452107279695</v>
      </c>
      <c r="D61" s="15">
        <v>6383</v>
      </c>
      <c r="E61" s="14">
        <v>3.1131792800000002</v>
      </c>
      <c r="F61" s="16">
        <v>0.20932062000000001</v>
      </c>
      <c r="G61" s="14">
        <v>7.4839692199999996</v>
      </c>
      <c r="H61" s="16">
        <v>0.36594731000000003</v>
      </c>
      <c r="I61" s="14">
        <v>5.7271951899999998</v>
      </c>
      <c r="J61" s="16">
        <v>0.27138712999999998</v>
      </c>
      <c r="K61" s="14">
        <v>6.5023884199999999</v>
      </c>
      <c r="L61" s="16">
        <v>0.31599307999999998</v>
      </c>
      <c r="M61" s="14">
        <v>1.6357018000000001</v>
      </c>
      <c r="N61" s="16">
        <v>0.17087066000000001</v>
      </c>
      <c r="O61" s="14">
        <v>0.56969691</v>
      </c>
      <c r="P61" s="16">
        <v>0.10086800999999999</v>
      </c>
      <c r="Q61" s="14">
        <v>0</v>
      </c>
      <c r="R61" s="16">
        <v>0</v>
      </c>
      <c r="S61" s="14" t="s">
        <v>51</v>
      </c>
      <c r="T61" s="16" t="s">
        <v>51</v>
      </c>
      <c r="U61" s="14">
        <v>74.967869179999994</v>
      </c>
      <c r="V61" s="16">
        <v>0.39220072</v>
      </c>
      <c r="W61" s="14">
        <v>0</v>
      </c>
      <c r="X61" s="16">
        <v>0</v>
      </c>
      <c r="Y61" s="14">
        <v>0</v>
      </c>
      <c r="Z61" s="16">
        <v>0</v>
      </c>
    </row>
    <row r="62" spans="1:26"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c r="S62" s="17" t="s">
        <v>53</v>
      </c>
      <c r="T62" s="18" t="s">
        <v>53</v>
      </c>
      <c r="U62" s="17" t="s">
        <v>53</v>
      </c>
      <c r="V62" s="18" t="s">
        <v>53</v>
      </c>
      <c r="W62" s="17" t="s">
        <v>53</v>
      </c>
      <c r="X62" s="18" t="s">
        <v>53</v>
      </c>
      <c r="Y62" s="17" t="s">
        <v>53</v>
      </c>
      <c r="Z62" s="18" t="s">
        <v>53</v>
      </c>
    </row>
    <row r="63" spans="1:26"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c r="S63" s="17" t="s">
        <v>53</v>
      </c>
      <c r="T63" s="18" t="s">
        <v>53</v>
      </c>
      <c r="U63" s="17" t="s">
        <v>53</v>
      </c>
      <c r="V63" s="18" t="s">
        <v>53</v>
      </c>
      <c r="W63" s="17" t="s">
        <v>53</v>
      </c>
      <c r="X63" s="18" t="s">
        <v>53</v>
      </c>
      <c r="Y63" s="17" t="s">
        <v>53</v>
      </c>
      <c r="Z63" s="18" t="s">
        <v>53</v>
      </c>
    </row>
    <row r="64" spans="1:26"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c r="S64" s="17" t="s">
        <v>53</v>
      </c>
      <c r="T64" s="18" t="s">
        <v>53</v>
      </c>
      <c r="U64" s="17" t="s">
        <v>53</v>
      </c>
      <c r="V64" s="18" t="s">
        <v>53</v>
      </c>
      <c r="W64" s="17" t="s">
        <v>53</v>
      </c>
      <c r="X64" s="18" t="s">
        <v>53</v>
      </c>
      <c r="Y64" s="17" t="s">
        <v>53</v>
      </c>
      <c r="Z64" s="18" t="s">
        <v>53</v>
      </c>
    </row>
    <row r="65" spans="1:26"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c r="S65" s="17" t="s">
        <v>53</v>
      </c>
      <c r="T65" s="18" t="s">
        <v>53</v>
      </c>
      <c r="U65" s="17" t="s">
        <v>53</v>
      </c>
      <c r="V65" s="18" t="s">
        <v>53</v>
      </c>
      <c r="W65" s="17" t="s">
        <v>53</v>
      </c>
      <c r="X65" s="18" t="s">
        <v>53</v>
      </c>
      <c r="Y65" s="17" t="s">
        <v>53</v>
      </c>
      <c r="Z65" s="18" t="s">
        <v>53</v>
      </c>
    </row>
    <row r="66" spans="1:26"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c r="S66" s="17" t="s">
        <v>53</v>
      </c>
      <c r="T66" s="18" t="s">
        <v>53</v>
      </c>
      <c r="U66" s="17" t="s">
        <v>53</v>
      </c>
      <c r="V66" s="18" t="s">
        <v>53</v>
      </c>
      <c r="W66" s="17" t="s">
        <v>53</v>
      </c>
      <c r="X66" s="18" t="s">
        <v>53</v>
      </c>
      <c r="Y66" s="17" t="s">
        <v>53</v>
      </c>
      <c r="Z66" s="18" t="s">
        <v>53</v>
      </c>
    </row>
    <row r="67" spans="1:26" x14ac:dyDescent="0.25">
      <c r="A67" s="11" t="s">
        <v>110</v>
      </c>
      <c r="B67" s="13">
        <v>6971</v>
      </c>
      <c r="C67" s="14">
        <f>(846/B67*100)</f>
        <v>12.135991966719265</v>
      </c>
      <c r="D67" s="15">
        <v>6125</v>
      </c>
      <c r="E67" s="14">
        <v>4.5724804399999996</v>
      </c>
      <c r="F67" s="16">
        <v>0.27115727000000001</v>
      </c>
      <c r="G67" s="14">
        <v>4.1942788799999997</v>
      </c>
      <c r="H67" s="16">
        <v>0.25837483999999999</v>
      </c>
      <c r="I67" s="14">
        <v>3.4838960800000001</v>
      </c>
      <c r="J67" s="16">
        <v>0.24636986999999999</v>
      </c>
      <c r="K67" s="14">
        <v>2.6472274200000001</v>
      </c>
      <c r="L67" s="16">
        <v>0.21849197000000001</v>
      </c>
      <c r="M67" s="14">
        <v>0.52013083999999998</v>
      </c>
      <c r="N67" s="16">
        <v>9.0569179999999999E-2</v>
      </c>
      <c r="O67" s="14">
        <v>0.30087123999999998</v>
      </c>
      <c r="P67" s="16">
        <v>7.1621450000000003E-2</v>
      </c>
      <c r="Q67" s="14">
        <v>0</v>
      </c>
      <c r="R67" s="16">
        <v>0</v>
      </c>
      <c r="S67" s="14" t="s">
        <v>51</v>
      </c>
      <c r="T67" s="16" t="s">
        <v>51</v>
      </c>
      <c r="U67" s="14">
        <v>84.28111509</v>
      </c>
      <c r="V67" s="16">
        <v>0.58566708999999995</v>
      </c>
      <c r="W67" s="14">
        <v>0</v>
      </c>
      <c r="X67" s="16">
        <v>0</v>
      </c>
      <c r="Y67" s="14">
        <v>0</v>
      </c>
      <c r="Z67" s="16">
        <v>0</v>
      </c>
    </row>
    <row r="68" spans="1:26"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c r="S68" s="17" t="s">
        <v>53</v>
      </c>
      <c r="T68" s="18" t="s">
        <v>53</v>
      </c>
      <c r="U68" s="17" t="s">
        <v>53</v>
      </c>
      <c r="V68" s="18" t="s">
        <v>53</v>
      </c>
      <c r="W68" s="17" t="s">
        <v>53</v>
      </c>
      <c r="X68" s="18" t="s">
        <v>53</v>
      </c>
      <c r="Y68" s="17" t="s">
        <v>53</v>
      </c>
      <c r="Z68" s="18" t="s">
        <v>53</v>
      </c>
    </row>
    <row r="69" spans="1:26"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c r="S69" s="17" t="s">
        <v>53</v>
      </c>
      <c r="T69" s="18" t="s">
        <v>53</v>
      </c>
      <c r="U69" s="17" t="s">
        <v>53</v>
      </c>
      <c r="V69" s="18" t="s">
        <v>53</v>
      </c>
      <c r="W69" s="17" t="s">
        <v>53</v>
      </c>
      <c r="X69" s="18" t="s">
        <v>53</v>
      </c>
      <c r="Y69" s="17" t="s">
        <v>53</v>
      </c>
      <c r="Z69" s="18" t="s">
        <v>53</v>
      </c>
    </row>
    <row r="70" spans="1:26" x14ac:dyDescent="0.25">
      <c r="A70" s="11" t="s">
        <v>113</v>
      </c>
      <c r="B70" s="13">
        <v>6036</v>
      </c>
      <c r="C70" s="14">
        <f>(423/B70*100)</f>
        <v>7.0079522862823067</v>
      </c>
      <c r="D70" s="15">
        <v>5613</v>
      </c>
      <c r="E70" s="14">
        <v>3.2470057799999998</v>
      </c>
      <c r="F70" s="16">
        <v>0.27451560000000003</v>
      </c>
      <c r="G70" s="14">
        <v>3.94399386</v>
      </c>
      <c r="H70" s="16">
        <v>0.30932092999999999</v>
      </c>
      <c r="I70" s="14">
        <v>4.1129928600000003</v>
      </c>
      <c r="J70" s="16">
        <v>0.27076478999999998</v>
      </c>
      <c r="K70" s="14">
        <v>5.9207821200000001</v>
      </c>
      <c r="L70" s="16">
        <v>0.33482073000000001</v>
      </c>
      <c r="M70" s="14">
        <v>2.0893746900000001</v>
      </c>
      <c r="N70" s="16">
        <v>0.23406840000000001</v>
      </c>
      <c r="O70" s="14">
        <v>0.73403799000000003</v>
      </c>
      <c r="P70" s="16">
        <v>0.13224825000000001</v>
      </c>
      <c r="Q70" s="14">
        <v>0</v>
      </c>
      <c r="R70" s="16">
        <v>0</v>
      </c>
      <c r="S70" s="14" t="s">
        <v>51</v>
      </c>
      <c r="T70" s="16" t="s">
        <v>51</v>
      </c>
      <c r="U70" s="14">
        <v>79.951812709999999</v>
      </c>
      <c r="V70" s="16">
        <v>0.56634295999999995</v>
      </c>
      <c r="W70" s="14">
        <v>0</v>
      </c>
      <c r="X70" s="16">
        <v>0</v>
      </c>
      <c r="Y70" s="14">
        <v>0</v>
      </c>
      <c r="Z70" s="16">
        <v>0</v>
      </c>
    </row>
    <row r="71" spans="1:26"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c r="S71" s="17" t="s">
        <v>53</v>
      </c>
      <c r="T71" s="18" t="s">
        <v>53</v>
      </c>
      <c r="U71" s="17" t="s">
        <v>53</v>
      </c>
      <c r="V71" s="18" t="s">
        <v>53</v>
      </c>
      <c r="W71" s="17" t="s">
        <v>53</v>
      </c>
      <c r="X71" s="18" t="s">
        <v>53</v>
      </c>
      <c r="Y71" s="17" t="s">
        <v>53</v>
      </c>
      <c r="Z71" s="18" t="s">
        <v>53</v>
      </c>
    </row>
    <row r="72" spans="1:26"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c r="S72" s="17" t="s">
        <v>53</v>
      </c>
      <c r="T72" s="18" t="s">
        <v>53</v>
      </c>
      <c r="U72" s="17" t="s">
        <v>53</v>
      </c>
      <c r="V72" s="18" t="s">
        <v>53</v>
      </c>
      <c r="W72" s="17" t="s">
        <v>53</v>
      </c>
      <c r="X72" s="18" t="s">
        <v>53</v>
      </c>
      <c r="Y72" s="17" t="s">
        <v>53</v>
      </c>
      <c r="Z72" s="18" t="s">
        <v>53</v>
      </c>
    </row>
    <row r="73" spans="1:26"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c r="S73" s="17" t="s">
        <v>53</v>
      </c>
      <c r="T73" s="18" t="s">
        <v>53</v>
      </c>
      <c r="U73" s="17" t="s">
        <v>53</v>
      </c>
      <c r="V73" s="18" t="s">
        <v>53</v>
      </c>
      <c r="W73" s="17" t="s">
        <v>53</v>
      </c>
      <c r="X73" s="18" t="s">
        <v>53</v>
      </c>
      <c r="Y73" s="17" t="s">
        <v>53</v>
      </c>
      <c r="Z73" s="18" t="s">
        <v>53</v>
      </c>
    </row>
    <row r="74" spans="1:26"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c r="S74" s="17" t="s">
        <v>53</v>
      </c>
      <c r="T74" s="18" t="s">
        <v>53</v>
      </c>
      <c r="U74" s="17" t="s">
        <v>53</v>
      </c>
      <c r="V74" s="18" t="s">
        <v>53</v>
      </c>
      <c r="W74" s="17" t="s">
        <v>53</v>
      </c>
      <c r="X74" s="18" t="s">
        <v>53</v>
      </c>
      <c r="Y74" s="17" t="s">
        <v>53</v>
      </c>
      <c r="Z74" s="18" t="s">
        <v>53</v>
      </c>
    </row>
    <row r="75" spans="1:26"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c r="S75" s="17" t="s">
        <v>53</v>
      </c>
      <c r="T75" s="18" t="s">
        <v>53</v>
      </c>
      <c r="U75" s="17" t="s">
        <v>53</v>
      </c>
      <c r="V75" s="18" t="s">
        <v>53</v>
      </c>
      <c r="W75" s="17" t="s">
        <v>53</v>
      </c>
      <c r="X75" s="18" t="s">
        <v>53</v>
      </c>
      <c r="Y75" s="17" t="s">
        <v>53</v>
      </c>
      <c r="Z75" s="18" t="s">
        <v>53</v>
      </c>
    </row>
    <row r="76" spans="1:26"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c r="S76" s="17" t="s">
        <v>53</v>
      </c>
      <c r="T76" s="18" t="s">
        <v>53</v>
      </c>
      <c r="U76" s="17" t="s">
        <v>53</v>
      </c>
      <c r="V76" s="18" t="s">
        <v>53</v>
      </c>
      <c r="W76" s="17" t="s">
        <v>53</v>
      </c>
      <c r="X76" s="18" t="s">
        <v>53</v>
      </c>
      <c r="Y76" s="17" t="s">
        <v>53</v>
      </c>
      <c r="Z76" s="18" t="s">
        <v>53</v>
      </c>
    </row>
    <row r="77" spans="1:26"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c r="S77" s="17" t="s">
        <v>53</v>
      </c>
      <c r="T77" s="18" t="s">
        <v>53</v>
      </c>
      <c r="U77" s="17" t="s">
        <v>53</v>
      </c>
      <c r="V77" s="18" t="s">
        <v>53</v>
      </c>
      <c r="W77" s="17" t="s">
        <v>53</v>
      </c>
      <c r="X77" s="18" t="s">
        <v>53</v>
      </c>
      <c r="Y77" s="17" t="s">
        <v>53</v>
      </c>
      <c r="Z77" s="18" t="s">
        <v>53</v>
      </c>
    </row>
    <row r="78" spans="1:26"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c r="S78" s="17" t="s">
        <v>53</v>
      </c>
      <c r="T78" s="18" t="s">
        <v>53</v>
      </c>
      <c r="U78" s="17" t="s">
        <v>53</v>
      </c>
      <c r="V78" s="18" t="s">
        <v>53</v>
      </c>
      <c r="W78" s="17" t="s">
        <v>53</v>
      </c>
      <c r="X78" s="18" t="s">
        <v>53</v>
      </c>
      <c r="Y78" s="17" t="s">
        <v>53</v>
      </c>
      <c r="Z78" s="18" t="s">
        <v>53</v>
      </c>
    </row>
    <row r="79" spans="1:26"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c r="S79" s="17" t="s">
        <v>53</v>
      </c>
      <c r="T79" s="18" t="s">
        <v>53</v>
      </c>
      <c r="U79" s="17" t="s">
        <v>53</v>
      </c>
      <c r="V79" s="18" t="s">
        <v>53</v>
      </c>
      <c r="W79" s="17" t="s">
        <v>53</v>
      </c>
      <c r="X79" s="18" t="s">
        <v>53</v>
      </c>
      <c r="Y79" s="17" t="s">
        <v>53</v>
      </c>
      <c r="Z79" s="18" t="s">
        <v>53</v>
      </c>
    </row>
    <row r="80" spans="1:26"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c r="S80" s="17" t="s">
        <v>53</v>
      </c>
      <c r="T80" s="18" t="s">
        <v>53</v>
      </c>
      <c r="U80" s="17" t="s">
        <v>53</v>
      </c>
      <c r="V80" s="18" t="s">
        <v>53</v>
      </c>
      <c r="W80" s="17" t="s">
        <v>53</v>
      </c>
      <c r="X80" s="18" t="s">
        <v>53</v>
      </c>
      <c r="Y80" s="17" t="s">
        <v>53</v>
      </c>
      <c r="Z80" s="18" t="s">
        <v>53</v>
      </c>
    </row>
    <row r="81" spans="1:26"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c r="S81" s="17" t="s">
        <v>53</v>
      </c>
      <c r="T81" s="18" t="s">
        <v>53</v>
      </c>
      <c r="U81" s="17" t="s">
        <v>53</v>
      </c>
      <c r="V81" s="18" t="s">
        <v>53</v>
      </c>
      <c r="W81" s="17" t="s">
        <v>53</v>
      </c>
      <c r="X81" s="18" t="s">
        <v>53</v>
      </c>
      <c r="Y81" s="17" t="s">
        <v>53</v>
      </c>
      <c r="Z81" s="18" t="s">
        <v>53</v>
      </c>
    </row>
    <row r="82" spans="1:26"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c r="S82" s="20" t="s">
        <v>125</v>
      </c>
      <c r="T82" s="20" t="s">
        <v>125</v>
      </c>
      <c r="U82" s="20" t="s">
        <v>125</v>
      </c>
      <c r="V82" s="20" t="s">
        <v>125</v>
      </c>
      <c r="W82" s="20" t="s">
        <v>125</v>
      </c>
      <c r="X82" s="20" t="s">
        <v>125</v>
      </c>
      <c r="Y82" s="20" t="s">
        <v>125</v>
      </c>
      <c r="Z82" s="20" t="s">
        <v>125</v>
      </c>
    </row>
    <row r="83" spans="1:26" x14ac:dyDescent="0.25">
      <c r="A83" s="3" t="s">
        <v>126</v>
      </c>
    </row>
    <row r="84" spans="1:26" x14ac:dyDescent="0.25">
      <c r="A84" s="26" t="s">
        <v>127</v>
      </c>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x14ac:dyDescent="0.25">
      <c r="A85" s="26" t="s">
        <v>128</v>
      </c>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30" customHeight="1" x14ac:dyDescent="0.25">
      <c r="A86" s="26" t="s">
        <v>129</v>
      </c>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30" customHeight="1" x14ac:dyDescent="0.25">
      <c r="A87" s="26" t="s">
        <v>125</v>
      </c>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30" customHeight="1" x14ac:dyDescent="0.25">
      <c r="A88" s="26" t="s">
        <v>130</v>
      </c>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30" customHeight="1" x14ac:dyDescent="0.25">
      <c r="A89" s="26" t="s">
        <v>131</v>
      </c>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30" customHeight="1" x14ac:dyDescent="0.25">
      <c r="A90" s="26" t="s">
        <v>132</v>
      </c>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30" customHeight="1" x14ac:dyDescent="0.25">
      <c r="A91" s="26" t="s">
        <v>133</v>
      </c>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30" customHeight="1" x14ac:dyDescent="0.25">
      <c r="A92" s="26" t="s">
        <v>134</v>
      </c>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30" customHeight="1" x14ac:dyDescent="0.25">
      <c r="A93" s="26" t="s">
        <v>135</v>
      </c>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30" customHeight="1" x14ac:dyDescent="0.25">
      <c r="A94" s="26" t="s">
        <v>136</v>
      </c>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30" customHeight="1" x14ac:dyDescent="0.25">
      <c r="A95" s="26" t="s">
        <v>137</v>
      </c>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30" customHeight="1" x14ac:dyDescent="0.25">
      <c r="A96" s="26" t="s">
        <v>138</v>
      </c>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1" ht="30" customHeight="1" x14ac:dyDescent="0.25">
      <c r="A97" s="27" t="s">
        <v>171</v>
      </c>
    </row>
  </sheetData>
  <mergeCells count="26">
    <mergeCell ref="A96:Z96"/>
    <mergeCell ref="A91:Z91"/>
    <mergeCell ref="A92:Z92"/>
    <mergeCell ref="A93:Z93"/>
    <mergeCell ref="A94:Z94"/>
    <mergeCell ref="A95:Z95"/>
    <mergeCell ref="A86:Z86"/>
    <mergeCell ref="A87:Z87"/>
    <mergeCell ref="A88:Z88"/>
    <mergeCell ref="A89:Z89"/>
    <mergeCell ref="A90:Z90"/>
    <mergeCell ref="Y4:Z4"/>
    <mergeCell ref="A1:Z1"/>
    <mergeCell ref="A2:Z2"/>
    <mergeCell ref="A84:Z84"/>
    <mergeCell ref="A85:Z85"/>
    <mergeCell ref="O4:P4"/>
    <mergeCell ref="Q4:R4"/>
    <mergeCell ref="S4:T4"/>
    <mergeCell ref="U4:V4"/>
    <mergeCell ref="W4:X4"/>
    <mergeCell ref="E4:F4"/>
    <mergeCell ref="G4:H4"/>
    <mergeCell ref="I4:J4"/>
    <mergeCell ref="K4:L4"/>
    <mergeCell ref="M4:N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tabSelected="1"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20" x14ac:dyDescent="0.25">
      <c r="A1" s="23" t="s">
        <v>33</v>
      </c>
      <c r="B1" s="24"/>
      <c r="C1" s="24"/>
      <c r="D1" s="24"/>
      <c r="E1" s="24"/>
      <c r="F1" s="24"/>
      <c r="G1" s="24"/>
      <c r="H1" s="24"/>
      <c r="I1" s="24"/>
      <c r="J1" s="24"/>
      <c r="K1" s="24"/>
      <c r="L1" s="24"/>
      <c r="M1" s="24"/>
      <c r="N1" s="24"/>
      <c r="O1" s="24"/>
      <c r="P1" s="24"/>
      <c r="Q1" s="24"/>
      <c r="R1" s="24"/>
      <c r="S1" s="24"/>
      <c r="T1" s="24"/>
    </row>
    <row r="2" spans="1:20" x14ac:dyDescent="0.25">
      <c r="A2" s="25" t="s">
        <v>167</v>
      </c>
      <c r="B2" s="24"/>
      <c r="C2" s="24"/>
      <c r="D2" s="24"/>
      <c r="E2" s="24"/>
      <c r="F2" s="24"/>
      <c r="G2" s="24"/>
      <c r="H2" s="24"/>
      <c r="I2" s="24"/>
      <c r="J2" s="24"/>
      <c r="K2" s="24"/>
      <c r="L2" s="24"/>
      <c r="M2" s="24"/>
      <c r="N2" s="24"/>
      <c r="O2" s="24"/>
      <c r="P2" s="24"/>
      <c r="Q2" s="24"/>
      <c r="R2" s="24"/>
      <c r="S2" s="24"/>
      <c r="T2" s="24"/>
    </row>
    <row r="4" spans="1:20" ht="30" customHeight="1" x14ac:dyDescent="0.25">
      <c r="A4" s="4"/>
      <c r="B4" s="5" t="s">
        <v>35</v>
      </c>
      <c r="C4" s="5" t="s">
        <v>36</v>
      </c>
      <c r="D4" s="6" t="s">
        <v>35</v>
      </c>
      <c r="E4" s="21" t="s">
        <v>37</v>
      </c>
      <c r="F4" s="22"/>
      <c r="G4" s="21" t="s">
        <v>38</v>
      </c>
      <c r="H4" s="22"/>
      <c r="I4" s="21" t="s">
        <v>168</v>
      </c>
      <c r="J4" s="22"/>
      <c r="K4" s="21" t="s">
        <v>39</v>
      </c>
      <c r="L4" s="22"/>
      <c r="M4" s="21" t="s">
        <v>40</v>
      </c>
      <c r="N4" s="22"/>
      <c r="O4" s="21" t="s">
        <v>41</v>
      </c>
      <c r="P4" s="22"/>
      <c r="Q4" s="21" t="s">
        <v>42</v>
      </c>
      <c r="R4" s="22"/>
      <c r="S4" s="21" t="s">
        <v>43</v>
      </c>
      <c r="T4" s="22"/>
    </row>
    <row r="5" spans="1:20"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c r="S5" s="8" t="s">
        <v>47</v>
      </c>
      <c r="T5" s="7" t="s">
        <v>48</v>
      </c>
    </row>
    <row r="6" spans="1:20" x14ac:dyDescent="0.25">
      <c r="A6" s="9" t="s">
        <v>49</v>
      </c>
      <c r="B6" s="10"/>
      <c r="C6" s="10"/>
      <c r="D6" s="11"/>
      <c r="E6" s="10"/>
      <c r="F6" s="11"/>
      <c r="G6" s="10"/>
      <c r="H6" s="11"/>
      <c r="I6" s="10"/>
      <c r="J6" s="11"/>
      <c r="K6" s="10"/>
      <c r="L6" s="11"/>
      <c r="M6" s="10"/>
      <c r="N6" s="11"/>
      <c r="O6" s="10"/>
      <c r="P6" s="11"/>
      <c r="Q6" s="10"/>
      <c r="R6" s="11"/>
      <c r="S6" s="10"/>
      <c r="T6" s="12"/>
    </row>
    <row r="7" spans="1:20" x14ac:dyDescent="0.25">
      <c r="A7" s="11" t="s">
        <v>50</v>
      </c>
      <c r="B7" s="13">
        <v>14530</v>
      </c>
      <c r="C7" s="14">
        <f>(3474/B7*100)</f>
        <v>23.909153475567791</v>
      </c>
      <c r="D7" s="15">
        <v>11056</v>
      </c>
      <c r="E7" s="14">
        <v>78.983203939999996</v>
      </c>
      <c r="F7" s="16">
        <v>0.51601770999999996</v>
      </c>
      <c r="G7" s="14">
        <v>19.39181391</v>
      </c>
      <c r="H7" s="16">
        <v>0.51100599000000002</v>
      </c>
      <c r="I7" s="14">
        <v>1.6249821499999999</v>
      </c>
      <c r="J7" s="16">
        <v>0.17377571999999999</v>
      </c>
      <c r="K7" s="14">
        <v>0</v>
      </c>
      <c r="L7" s="16">
        <v>0</v>
      </c>
      <c r="M7" s="14" t="s">
        <v>51</v>
      </c>
      <c r="N7" s="16" t="s">
        <v>51</v>
      </c>
      <c r="O7" s="14">
        <v>0</v>
      </c>
      <c r="P7" s="16">
        <v>0</v>
      </c>
      <c r="Q7" s="14">
        <v>0</v>
      </c>
      <c r="R7" s="16">
        <v>0</v>
      </c>
      <c r="S7" s="14">
        <v>0</v>
      </c>
      <c r="T7" s="16">
        <v>0</v>
      </c>
    </row>
    <row r="8" spans="1:20"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c r="S8" s="17" t="s">
        <v>53</v>
      </c>
      <c r="T8" s="18" t="s">
        <v>53</v>
      </c>
    </row>
    <row r="9" spans="1:20" x14ac:dyDescent="0.25">
      <c r="A9" s="11" t="s">
        <v>172</v>
      </c>
      <c r="B9" s="13">
        <v>5675</v>
      </c>
      <c r="C9" s="14">
        <f>(364/B9*100)</f>
        <v>6.4140969162995596</v>
      </c>
      <c r="D9" s="15">
        <v>5311</v>
      </c>
      <c r="E9" s="14">
        <v>14.697222460000001</v>
      </c>
      <c r="F9" s="16">
        <v>0.47644491</v>
      </c>
      <c r="G9" s="14">
        <v>4.8952959299999996</v>
      </c>
      <c r="H9" s="16">
        <v>0.31875611999999998</v>
      </c>
      <c r="I9" s="14">
        <v>9.5428070000000004E-2</v>
      </c>
      <c r="J9" s="16">
        <v>3.753625E-2</v>
      </c>
      <c r="K9" s="14">
        <v>0</v>
      </c>
      <c r="L9" s="16">
        <v>0</v>
      </c>
      <c r="M9" s="14" t="s">
        <v>51</v>
      </c>
      <c r="N9" s="16" t="s">
        <v>51</v>
      </c>
      <c r="O9" s="14">
        <v>80.312053539999994</v>
      </c>
      <c r="P9" s="16">
        <v>0.57560929999999999</v>
      </c>
      <c r="Q9" s="14">
        <v>0</v>
      </c>
      <c r="R9" s="16">
        <v>0</v>
      </c>
      <c r="S9" s="14">
        <v>0</v>
      </c>
      <c r="T9" s="16">
        <v>0</v>
      </c>
    </row>
    <row r="10" spans="1:20" x14ac:dyDescent="0.25">
      <c r="A10" s="11" t="s">
        <v>173</v>
      </c>
      <c r="B10" s="13">
        <v>13082</v>
      </c>
      <c r="C10" s="14">
        <f>(316/B10*100)</f>
        <v>2.4155327931508945</v>
      </c>
      <c r="D10" s="15">
        <v>12766</v>
      </c>
      <c r="E10" s="14">
        <v>19.065542619999999</v>
      </c>
      <c r="F10" s="16">
        <v>0.42700094</v>
      </c>
      <c r="G10" s="14">
        <v>5.3729325399999999</v>
      </c>
      <c r="H10" s="16">
        <v>0.3105194</v>
      </c>
      <c r="I10" s="14">
        <v>0.11874504</v>
      </c>
      <c r="J10" s="16">
        <v>3.3023450000000003E-2</v>
      </c>
      <c r="K10" s="14">
        <v>0</v>
      </c>
      <c r="L10" s="16">
        <v>0</v>
      </c>
      <c r="M10" s="14" t="s">
        <v>51</v>
      </c>
      <c r="N10" s="16" t="s">
        <v>51</v>
      </c>
      <c r="O10" s="14">
        <v>75.442779799999997</v>
      </c>
      <c r="P10" s="16">
        <v>0.35257915000000001</v>
      </c>
      <c r="Q10" s="14">
        <v>0</v>
      </c>
      <c r="R10" s="16">
        <v>0</v>
      </c>
      <c r="S10" s="14">
        <v>0</v>
      </c>
      <c r="T10" s="16">
        <v>0</v>
      </c>
    </row>
    <row r="11" spans="1:20" x14ac:dyDescent="0.25">
      <c r="A11" s="11" t="s">
        <v>54</v>
      </c>
      <c r="B11" s="13">
        <v>7053</v>
      </c>
      <c r="C11" s="14">
        <f>(299/B11*100)</f>
        <v>4.2393307812278467</v>
      </c>
      <c r="D11" s="15">
        <v>6754</v>
      </c>
      <c r="E11" s="14">
        <v>6.02177059</v>
      </c>
      <c r="F11" s="16">
        <v>0.31642447000000001</v>
      </c>
      <c r="G11" s="14">
        <v>15.57794956</v>
      </c>
      <c r="H11" s="16">
        <v>0.44281591999999997</v>
      </c>
      <c r="I11" s="14">
        <v>0.51350344999999997</v>
      </c>
      <c r="J11" s="16">
        <v>9.8584089999999999E-2</v>
      </c>
      <c r="K11" s="14">
        <v>0</v>
      </c>
      <c r="L11" s="16">
        <v>0</v>
      </c>
      <c r="M11" s="14" t="s">
        <v>51</v>
      </c>
      <c r="N11" s="16" t="s">
        <v>51</v>
      </c>
      <c r="O11" s="14">
        <v>77.886776400000002</v>
      </c>
      <c r="P11" s="16">
        <v>0.42063121999999997</v>
      </c>
      <c r="Q11" s="14">
        <v>0</v>
      </c>
      <c r="R11" s="16">
        <v>0</v>
      </c>
      <c r="S11" s="14">
        <v>0</v>
      </c>
      <c r="T11" s="16">
        <v>0</v>
      </c>
    </row>
    <row r="12" spans="1:20"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c r="S12" s="17" t="s">
        <v>53</v>
      </c>
      <c r="T12" s="18" t="s">
        <v>53</v>
      </c>
    </row>
    <row r="13" spans="1:20"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c r="S13" s="17" t="s">
        <v>53</v>
      </c>
      <c r="T13" s="18" t="s">
        <v>53</v>
      </c>
    </row>
    <row r="14" spans="1:20"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c r="S14" s="17" t="s">
        <v>53</v>
      </c>
      <c r="T14" s="18" t="s">
        <v>53</v>
      </c>
    </row>
    <row r="15" spans="1:20"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c r="S15" s="17" t="s">
        <v>53</v>
      </c>
      <c r="T15" s="18" t="s">
        <v>53</v>
      </c>
    </row>
    <row r="16" spans="1:20"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c r="S16" s="17" t="s">
        <v>53</v>
      </c>
      <c r="T16" s="18" t="s">
        <v>53</v>
      </c>
    </row>
    <row r="17" spans="1:20"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c r="S17" s="17" t="s">
        <v>53</v>
      </c>
      <c r="T17" s="18" t="s">
        <v>53</v>
      </c>
    </row>
    <row r="18" spans="1:20"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c r="S18" s="17" t="s">
        <v>53</v>
      </c>
      <c r="T18" s="18" t="s">
        <v>53</v>
      </c>
    </row>
    <row r="19" spans="1:20"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c r="S19" s="17" t="s">
        <v>53</v>
      </c>
      <c r="T19" s="18" t="s">
        <v>53</v>
      </c>
    </row>
    <row r="20" spans="1:20"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c r="S20" s="17" t="s">
        <v>53</v>
      </c>
      <c r="T20" s="18" t="s">
        <v>53</v>
      </c>
    </row>
    <row r="21" spans="1:20"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c r="S21" s="17" t="s">
        <v>53</v>
      </c>
      <c r="T21" s="18" t="s">
        <v>53</v>
      </c>
    </row>
    <row r="22" spans="1:20"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c r="S22" s="17" t="s">
        <v>53</v>
      </c>
      <c r="T22" s="18" t="s">
        <v>53</v>
      </c>
    </row>
    <row r="23" spans="1:20" x14ac:dyDescent="0.25">
      <c r="A23" s="11" t="s">
        <v>66</v>
      </c>
      <c r="B23" s="13">
        <v>11583</v>
      </c>
      <c r="C23" s="14">
        <f>(724/B23*100)</f>
        <v>6.2505395838729179</v>
      </c>
      <c r="D23" s="15">
        <v>10859</v>
      </c>
      <c r="E23" s="14">
        <v>7.5824779800000002</v>
      </c>
      <c r="F23" s="16">
        <v>0.38043145</v>
      </c>
      <c r="G23" s="14">
        <v>13.54533752</v>
      </c>
      <c r="H23" s="16">
        <v>0.41774337</v>
      </c>
      <c r="I23" s="14">
        <v>0.36181818999999998</v>
      </c>
      <c r="J23" s="16">
        <v>6.1971739999999997E-2</v>
      </c>
      <c r="K23" s="14">
        <v>0</v>
      </c>
      <c r="L23" s="16">
        <v>0</v>
      </c>
      <c r="M23" s="14" t="s">
        <v>51</v>
      </c>
      <c r="N23" s="16" t="s">
        <v>51</v>
      </c>
      <c r="O23" s="14">
        <v>78.510366320000003</v>
      </c>
      <c r="P23" s="16">
        <v>0.34138887000000001</v>
      </c>
      <c r="Q23" s="14">
        <v>0</v>
      </c>
      <c r="R23" s="16">
        <v>0</v>
      </c>
      <c r="S23" s="14">
        <v>0</v>
      </c>
      <c r="T23" s="16">
        <v>0</v>
      </c>
    </row>
    <row r="24" spans="1:20"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c r="S24" s="17" t="s">
        <v>53</v>
      </c>
      <c r="T24" s="18" t="s">
        <v>53</v>
      </c>
    </row>
    <row r="25" spans="1:20"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c r="S25" s="17" t="s">
        <v>53</v>
      </c>
      <c r="T25" s="18" t="s">
        <v>53</v>
      </c>
    </row>
    <row r="26" spans="1:20"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c r="S26" s="17" t="s">
        <v>53</v>
      </c>
      <c r="T26" s="18" t="s">
        <v>53</v>
      </c>
    </row>
    <row r="27" spans="1:20"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c r="S27" s="17" t="s">
        <v>53</v>
      </c>
      <c r="T27" s="18" t="s">
        <v>53</v>
      </c>
    </row>
    <row r="28" spans="1:20"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c r="S28" s="17" t="s">
        <v>53</v>
      </c>
      <c r="T28" s="18" t="s">
        <v>53</v>
      </c>
    </row>
    <row r="29" spans="1:20" x14ac:dyDescent="0.25">
      <c r="A29" s="11" t="s">
        <v>72</v>
      </c>
      <c r="B29" s="13">
        <v>5385</v>
      </c>
      <c r="C29" s="14">
        <f>(57/B29*100)</f>
        <v>1.0584958217270195</v>
      </c>
      <c r="D29" s="15">
        <v>5328</v>
      </c>
      <c r="E29" s="14">
        <v>23.40704453</v>
      </c>
      <c r="F29" s="16">
        <v>0.33635229</v>
      </c>
      <c r="G29" s="14">
        <v>1.16215724</v>
      </c>
      <c r="H29" s="16">
        <v>0.15185333000000001</v>
      </c>
      <c r="I29" s="14">
        <v>6.7589739999999995E-2</v>
      </c>
      <c r="J29" s="16">
        <v>3.4239190000000003E-2</v>
      </c>
      <c r="K29" s="14">
        <v>0</v>
      </c>
      <c r="L29" s="16">
        <v>0</v>
      </c>
      <c r="M29" s="14" t="s">
        <v>51</v>
      </c>
      <c r="N29" s="16" t="s">
        <v>51</v>
      </c>
      <c r="O29" s="14">
        <v>75.363208490000005</v>
      </c>
      <c r="P29" s="16">
        <v>0.30551710999999998</v>
      </c>
      <c r="Q29" s="14">
        <v>0</v>
      </c>
      <c r="R29" s="16">
        <v>0</v>
      </c>
      <c r="S29" s="14">
        <v>0</v>
      </c>
      <c r="T29" s="16">
        <v>0</v>
      </c>
    </row>
    <row r="30" spans="1:20"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c r="S30" s="17" t="s">
        <v>53</v>
      </c>
      <c r="T30" s="18" t="s">
        <v>53</v>
      </c>
    </row>
    <row r="31" spans="1:20"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c r="S31" s="17" t="s">
        <v>53</v>
      </c>
      <c r="T31" s="18" t="s">
        <v>53</v>
      </c>
    </row>
    <row r="32" spans="1:20" x14ac:dyDescent="0.25">
      <c r="A32" s="11" t="s">
        <v>75</v>
      </c>
      <c r="B32" s="13">
        <v>4478</v>
      </c>
      <c r="C32" s="14">
        <f>(83/B32*100)</f>
        <v>1.8535060294774455</v>
      </c>
      <c r="D32" s="15">
        <v>4395</v>
      </c>
      <c r="E32" s="14">
        <v>10.486554740000001</v>
      </c>
      <c r="F32" s="16">
        <v>0.48160767999999998</v>
      </c>
      <c r="G32" s="14">
        <v>26.320390010000001</v>
      </c>
      <c r="H32" s="16">
        <v>0.50176332999999995</v>
      </c>
      <c r="I32" s="14">
        <v>0.85941909000000005</v>
      </c>
      <c r="J32" s="16">
        <v>0.15637682</v>
      </c>
      <c r="K32" s="14">
        <v>0</v>
      </c>
      <c r="L32" s="16">
        <v>0</v>
      </c>
      <c r="M32" s="14" t="s">
        <v>51</v>
      </c>
      <c r="N32" s="16" t="s">
        <v>51</v>
      </c>
      <c r="O32" s="14">
        <v>62.333636159999998</v>
      </c>
      <c r="P32" s="16">
        <v>0.33658213999999997</v>
      </c>
      <c r="Q32" s="14">
        <v>0</v>
      </c>
      <c r="R32" s="16">
        <v>0</v>
      </c>
      <c r="S32" s="14">
        <v>0</v>
      </c>
      <c r="T32" s="16">
        <v>0</v>
      </c>
    </row>
    <row r="33" spans="1:20"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c r="S33" s="17" t="s">
        <v>53</v>
      </c>
      <c r="T33" s="18" t="s">
        <v>53</v>
      </c>
    </row>
    <row r="34" spans="1:20" x14ac:dyDescent="0.25">
      <c r="A34" s="11" t="s">
        <v>77</v>
      </c>
      <c r="B34" s="13">
        <v>6350</v>
      </c>
      <c r="C34" s="14">
        <f>(276/B34*100)</f>
        <v>4.3464566929133852</v>
      </c>
      <c r="D34" s="15">
        <v>6074</v>
      </c>
      <c r="E34" s="14">
        <v>9.28473945</v>
      </c>
      <c r="F34" s="16">
        <v>0.33496774000000001</v>
      </c>
      <c r="G34" s="14">
        <v>11.772106750000001</v>
      </c>
      <c r="H34" s="16">
        <v>0.42197573999999999</v>
      </c>
      <c r="I34" s="14">
        <v>0.91328041000000004</v>
      </c>
      <c r="J34" s="16">
        <v>0.13635908999999999</v>
      </c>
      <c r="K34" s="14">
        <v>0</v>
      </c>
      <c r="L34" s="16">
        <v>0</v>
      </c>
      <c r="M34" s="14" t="s">
        <v>51</v>
      </c>
      <c r="N34" s="16" t="s">
        <v>51</v>
      </c>
      <c r="O34" s="14">
        <v>78.029873379999998</v>
      </c>
      <c r="P34" s="16">
        <v>0.37420741000000002</v>
      </c>
      <c r="Q34" s="14">
        <v>0</v>
      </c>
      <c r="R34" s="16">
        <v>0</v>
      </c>
      <c r="S34" s="14">
        <v>0</v>
      </c>
      <c r="T34" s="16">
        <v>0</v>
      </c>
    </row>
    <row r="35" spans="1:20"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c r="S35" s="17" t="s">
        <v>53</v>
      </c>
      <c r="T35" s="18" t="s">
        <v>53</v>
      </c>
    </row>
    <row r="36" spans="1:20" x14ac:dyDescent="0.25">
      <c r="A36" s="11" t="s">
        <v>79</v>
      </c>
      <c r="B36" s="13">
        <v>6736</v>
      </c>
      <c r="C36" s="14">
        <f>(215/B36*100)</f>
        <v>3.1918052256532068</v>
      </c>
      <c r="D36" s="15">
        <v>6521</v>
      </c>
      <c r="E36" s="14">
        <v>12.36623782</v>
      </c>
      <c r="F36" s="16">
        <v>0.32916865000000001</v>
      </c>
      <c r="G36" s="14">
        <v>10.8237126</v>
      </c>
      <c r="H36" s="16">
        <v>0.34753680999999997</v>
      </c>
      <c r="I36" s="14">
        <v>0.40378096000000002</v>
      </c>
      <c r="J36" s="16">
        <v>8.8829699999999998E-2</v>
      </c>
      <c r="K36" s="14">
        <v>0</v>
      </c>
      <c r="L36" s="16">
        <v>0</v>
      </c>
      <c r="M36" s="14" t="s">
        <v>51</v>
      </c>
      <c r="N36" s="16" t="s">
        <v>51</v>
      </c>
      <c r="O36" s="14">
        <v>76.406268609999998</v>
      </c>
      <c r="P36" s="16">
        <v>0.29583087000000002</v>
      </c>
      <c r="Q36" s="14">
        <v>0</v>
      </c>
      <c r="R36" s="16">
        <v>0</v>
      </c>
      <c r="S36" s="14">
        <v>0</v>
      </c>
      <c r="T36" s="16">
        <v>0</v>
      </c>
    </row>
    <row r="37" spans="1:20"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c r="S37" s="17" t="s">
        <v>53</v>
      </c>
      <c r="T37" s="18" t="s">
        <v>53</v>
      </c>
    </row>
    <row r="38" spans="1:20"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c r="S38" s="17" t="s">
        <v>53</v>
      </c>
      <c r="T38" s="18" t="s">
        <v>53</v>
      </c>
    </row>
    <row r="39" spans="1:20"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c r="S39" s="17" t="s">
        <v>53</v>
      </c>
      <c r="T39" s="18" t="s">
        <v>53</v>
      </c>
    </row>
    <row r="40" spans="1:20"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c r="S40" s="17" t="s">
        <v>53</v>
      </c>
      <c r="T40" s="18" t="s">
        <v>53</v>
      </c>
    </row>
    <row r="41" spans="1:20" x14ac:dyDescent="0.25">
      <c r="A41" s="11" t="s">
        <v>84</v>
      </c>
      <c r="B41" s="13">
        <v>5712</v>
      </c>
      <c r="C41" s="14">
        <f>(172/B41*100)</f>
        <v>3.011204481792717</v>
      </c>
      <c r="D41" s="15">
        <v>5540</v>
      </c>
      <c r="E41" s="14">
        <v>12.525029119999999</v>
      </c>
      <c r="F41" s="16">
        <v>0.50088160000000004</v>
      </c>
      <c r="G41" s="14">
        <v>10.99057923</v>
      </c>
      <c r="H41" s="16">
        <v>0.44354803999999998</v>
      </c>
      <c r="I41" s="14">
        <v>0.19774701</v>
      </c>
      <c r="J41" s="16">
        <v>5.1364220000000002E-2</v>
      </c>
      <c r="K41" s="14">
        <v>0</v>
      </c>
      <c r="L41" s="16">
        <v>0</v>
      </c>
      <c r="M41" s="14" t="s">
        <v>51</v>
      </c>
      <c r="N41" s="16" t="s">
        <v>51</v>
      </c>
      <c r="O41" s="14">
        <v>76.286644640000006</v>
      </c>
      <c r="P41" s="16">
        <v>0.38238779000000001</v>
      </c>
      <c r="Q41" s="14">
        <v>0</v>
      </c>
      <c r="R41" s="16">
        <v>0</v>
      </c>
      <c r="S41" s="14">
        <v>0</v>
      </c>
      <c r="T41" s="16">
        <v>0</v>
      </c>
    </row>
    <row r="42" spans="1:20" x14ac:dyDescent="0.25">
      <c r="A42" s="11" t="s">
        <v>85</v>
      </c>
      <c r="B42" s="13">
        <f>IF(COUNT(B7:B41) &gt; 0, AVERAGE(B7:B41), "\u2014")</f>
        <v>8058.4</v>
      </c>
      <c r="C42" s="14">
        <f>IF(COUNT(C7:C41) &gt; 0, AVERAGE(C7:C41), "—")</f>
        <v>5.669012180168278</v>
      </c>
      <c r="D42" s="15">
        <f>IF(COUNT(D7:D41) &gt; 0, AVERAGE(D7:D41), "—")</f>
        <v>7460.4</v>
      </c>
      <c r="E42" s="14">
        <f>IF(COUNT(E7:E41) &gt; 0, AVERAGE(E7:E41), "—")</f>
        <v>19.441982325000001</v>
      </c>
      <c r="F42" s="16">
        <f>IF(COUNT(F7:F41) &gt; 0, SQRT(SUMSQ(F7:F41)/(COUNT(F7:F41)*COUNT(F7:F41)) ), "—")</f>
        <v>0.13179426960413096</v>
      </c>
      <c r="G42" s="14">
        <f>IF(COUNT(G7:G41) &gt; 0, AVERAGE(G7:G41), "—")</f>
        <v>11.985227529000001</v>
      </c>
      <c r="H42" s="16">
        <f>IF(COUNT(H7:H41) &gt; 0, SQRT(SUMSQ(H7:H41)/(COUNT(H7:H41)*COUNT(H7:H41)) ), "—")</f>
        <v>0.12649729017730937</v>
      </c>
      <c r="I42" s="14">
        <f>IF(COUNT(I7:I41) &gt; 0, AVERAGE(I7:I41), "—")</f>
        <v>0.51562941099999993</v>
      </c>
      <c r="J42" s="16">
        <f>IF(COUNT(J7:J41) &gt; 0, SQRT(SUMSQ(J7:J41)/(COUNT(J7:J41)*COUNT(J7:J41)) ), "—")</f>
        <v>3.1781389306374586E-2</v>
      </c>
      <c r="K42" s="14">
        <f>IF(COUNT(K7:K41) &gt; 0, AVERAGE(K7:K41), "—")</f>
        <v>0</v>
      </c>
      <c r="L42" s="16">
        <f>IF(COUNT(L7:L41) &gt; 0, SQRT(SUMSQ(L7:L41)/(COUNT(L7:L41)*COUNT(L7:L41)) ), "—")</f>
        <v>0</v>
      </c>
      <c r="M42" s="14" t="str">
        <f>IF(COUNT(M7:M41) &gt; 0, AVERAGE(M7:M41), "—")</f>
        <v>—</v>
      </c>
      <c r="N42" s="16" t="str">
        <f>IF(COUNT(N7:N41) &gt; 0, SQRT(SUMSQ(N7:N41)/(COUNT(N7:N41)*COUNT(N7:N41)) ), "—")</f>
        <v>—</v>
      </c>
      <c r="O42" s="14">
        <f>IF(COUNT(O7:O41) &gt; 0, AVERAGE(O7:O41), "—")</f>
        <v>68.057160734000007</v>
      </c>
      <c r="P42" s="16">
        <f>IF(COUNT(P7:P41) &gt; 0, SQRT(SUMSQ(P7:P41)/(COUNT(P7:P41)*COUNT(P7:P41)) ), "—")</f>
        <v>0.11530441707993924</v>
      </c>
      <c r="Q42" s="14">
        <f>IF(COUNT(Q7:Q41) &gt; 0, AVERAGE(Q7:Q41), "—")</f>
        <v>0</v>
      </c>
      <c r="R42" s="16">
        <f>IF(COUNT(R7:R41) &gt; 0, SQRT(SUMSQ(R7:R41)/(COUNT(R7:R41)*COUNT(R7:R41)) ), "—")</f>
        <v>0</v>
      </c>
      <c r="S42" s="14">
        <f>IF(COUNT(S7:S41) &gt; 0, AVERAGE(S7:S41), "—")</f>
        <v>0</v>
      </c>
      <c r="T42" s="16">
        <f>IF(COUNT(T7:T41) &gt; 0, SQRT(SUMSQ(T7:T41)/(COUNT(T7:T41)*COUNT(T7:T41)) ), "—")</f>
        <v>0</v>
      </c>
    </row>
    <row r="43" spans="1:20" x14ac:dyDescent="0.25">
      <c r="A43" s="9" t="s">
        <v>86</v>
      </c>
      <c r="B43" s="10"/>
      <c r="C43" s="10"/>
      <c r="D43" s="11"/>
      <c r="E43" s="10"/>
      <c r="F43" s="11"/>
      <c r="G43" s="10"/>
      <c r="H43" s="11"/>
      <c r="I43" s="10"/>
      <c r="J43" s="11"/>
      <c r="K43" s="10"/>
      <c r="L43" s="11"/>
      <c r="M43" s="10"/>
      <c r="N43" s="11"/>
      <c r="O43" s="10"/>
      <c r="P43" s="11"/>
      <c r="Q43" s="10"/>
      <c r="R43" s="11"/>
      <c r="S43" s="10"/>
      <c r="T43" s="12"/>
    </row>
    <row r="44" spans="1:20"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c r="S44" s="17" t="s">
        <v>53</v>
      </c>
      <c r="T44" s="18" t="s">
        <v>53</v>
      </c>
    </row>
    <row r="45" spans="1:20"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c r="S45" s="17" t="s">
        <v>53</v>
      </c>
      <c r="T45" s="18" t="s">
        <v>53</v>
      </c>
    </row>
    <row r="46" spans="1:20" x14ac:dyDescent="0.25">
      <c r="A46" s="11" t="s">
        <v>89</v>
      </c>
      <c r="B46" s="13">
        <v>23141</v>
      </c>
      <c r="C46" s="14">
        <f>(3993/B46*100)</f>
        <v>17.255088371289055</v>
      </c>
      <c r="D46" s="15">
        <v>19148</v>
      </c>
      <c r="E46" s="14">
        <v>3.2861022599999998</v>
      </c>
      <c r="F46" s="16">
        <v>0.18922963000000001</v>
      </c>
      <c r="G46" s="14">
        <v>8.2394154799999999</v>
      </c>
      <c r="H46" s="16">
        <v>0.32252858000000001</v>
      </c>
      <c r="I46" s="14">
        <v>0.47204339000000001</v>
      </c>
      <c r="J46" s="16">
        <v>6.8749299999999999E-2</v>
      </c>
      <c r="K46" s="14">
        <v>0</v>
      </c>
      <c r="L46" s="16">
        <v>0</v>
      </c>
      <c r="M46" s="14" t="s">
        <v>51</v>
      </c>
      <c r="N46" s="16" t="s">
        <v>51</v>
      </c>
      <c r="O46" s="14">
        <v>88.002438870000006</v>
      </c>
      <c r="P46" s="16">
        <v>0.39403099000000003</v>
      </c>
      <c r="Q46" s="14">
        <v>0</v>
      </c>
      <c r="R46" s="16">
        <v>0</v>
      </c>
      <c r="S46" s="14">
        <v>0</v>
      </c>
      <c r="T46" s="16">
        <v>0</v>
      </c>
    </row>
    <row r="47" spans="1:20"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c r="S47" s="17" t="s">
        <v>53</v>
      </c>
      <c r="T47" s="18" t="s">
        <v>53</v>
      </c>
    </row>
    <row r="48" spans="1:20" x14ac:dyDescent="0.25">
      <c r="A48" s="11" t="s">
        <v>91</v>
      </c>
      <c r="B48" s="13">
        <v>9841</v>
      </c>
      <c r="C48" s="14">
        <f>(117/B48*100)</f>
        <v>1.1889035667107</v>
      </c>
      <c r="D48" s="15">
        <v>9724</v>
      </c>
      <c r="E48" s="14">
        <v>11.33705866</v>
      </c>
      <c r="F48" s="16">
        <v>0.40024409999999999</v>
      </c>
      <c r="G48" s="14">
        <v>12.319633140000001</v>
      </c>
      <c r="H48" s="16">
        <v>0.43357553999999998</v>
      </c>
      <c r="I48" s="14">
        <v>0.93969599999999998</v>
      </c>
      <c r="J48" s="16">
        <v>0.12990904</v>
      </c>
      <c r="K48" s="14">
        <v>0</v>
      </c>
      <c r="L48" s="16">
        <v>0</v>
      </c>
      <c r="M48" s="14" t="s">
        <v>51</v>
      </c>
      <c r="N48" s="16" t="s">
        <v>51</v>
      </c>
      <c r="O48" s="14">
        <v>75.403612199999998</v>
      </c>
      <c r="P48" s="16">
        <v>0.33460831000000002</v>
      </c>
      <c r="Q48" s="14">
        <v>0</v>
      </c>
      <c r="R48" s="16">
        <v>0</v>
      </c>
      <c r="S48" s="14">
        <v>0</v>
      </c>
      <c r="T48" s="16">
        <v>0</v>
      </c>
    </row>
    <row r="49" spans="1:20"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c r="S49" s="17" t="s">
        <v>53</v>
      </c>
      <c r="T49" s="18" t="s">
        <v>53</v>
      </c>
    </row>
    <row r="50" spans="1:20"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c r="S50" s="17" t="s">
        <v>53</v>
      </c>
      <c r="T50" s="18" t="s">
        <v>53</v>
      </c>
    </row>
    <row r="51" spans="1:20"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c r="S51" s="17" t="s">
        <v>53</v>
      </c>
      <c r="T51" s="18" t="s">
        <v>53</v>
      </c>
    </row>
    <row r="52" spans="1:20"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c r="S52" s="17" t="s">
        <v>53</v>
      </c>
      <c r="T52" s="18" t="s">
        <v>53</v>
      </c>
    </row>
    <row r="53" spans="1:20"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c r="S53" s="17" t="s">
        <v>53</v>
      </c>
      <c r="T53" s="18" t="s">
        <v>53</v>
      </c>
    </row>
    <row r="54" spans="1:20"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c r="S54" s="17" t="s">
        <v>53</v>
      </c>
      <c r="T54" s="18" t="s">
        <v>53</v>
      </c>
    </row>
    <row r="55" spans="1:20"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c r="S55" s="17" t="s">
        <v>53</v>
      </c>
      <c r="T55" s="18" t="s">
        <v>53</v>
      </c>
    </row>
    <row r="56" spans="1:20"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c r="S56" s="17" t="s">
        <v>53</v>
      </c>
      <c r="T56" s="18" t="s">
        <v>53</v>
      </c>
    </row>
    <row r="57" spans="1:20"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c r="S57" s="17" t="s">
        <v>53</v>
      </c>
      <c r="T57" s="18" t="s">
        <v>53</v>
      </c>
    </row>
    <row r="58" spans="1:20"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c r="S58" s="17" t="s">
        <v>53</v>
      </c>
      <c r="T58" s="18" t="s">
        <v>53</v>
      </c>
    </row>
    <row r="59" spans="1:20"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c r="S59" s="17" t="s">
        <v>53</v>
      </c>
      <c r="T59" s="18" t="s">
        <v>53</v>
      </c>
    </row>
    <row r="60" spans="1:20"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c r="S60" s="17" t="s">
        <v>53</v>
      </c>
      <c r="T60" s="18" t="s">
        <v>53</v>
      </c>
    </row>
    <row r="61" spans="1:20" x14ac:dyDescent="0.25">
      <c r="A61" s="11" t="s">
        <v>104</v>
      </c>
      <c r="B61" s="13">
        <v>6525</v>
      </c>
      <c r="C61" s="14">
        <f>(142/B61*100)</f>
        <v>2.1762452107279695</v>
      </c>
      <c r="D61" s="15">
        <v>6383</v>
      </c>
      <c r="E61" s="14">
        <v>9.7474029600000005</v>
      </c>
      <c r="F61" s="16">
        <v>0.36829493000000002</v>
      </c>
      <c r="G61" s="14">
        <v>14.754345819999999</v>
      </c>
      <c r="H61" s="16">
        <v>0.45750621000000002</v>
      </c>
      <c r="I61" s="14">
        <v>0.50857246</v>
      </c>
      <c r="J61" s="16">
        <v>9.9263589999999999E-2</v>
      </c>
      <c r="K61" s="14">
        <v>0</v>
      </c>
      <c r="L61" s="16">
        <v>0</v>
      </c>
      <c r="M61" s="14" t="s">
        <v>51</v>
      </c>
      <c r="N61" s="16" t="s">
        <v>51</v>
      </c>
      <c r="O61" s="14">
        <v>74.989678769999998</v>
      </c>
      <c r="P61" s="16">
        <v>0.39706458</v>
      </c>
      <c r="Q61" s="14">
        <v>0</v>
      </c>
      <c r="R61" s="16">
        <v>0</v>
      </c>
      <c r="S61" s="14">
        <v>0</v>
      </c>
      <c r="T61" s="16">
        <v>0</v>
      </c>
    </row>
    <row r="62" spans="1:20"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c r="S62" s="17" t="s">
        <v>53</v>
      </c>
      <c r="T62" s="18" t="s">
        <v>53</v>
      </c>
    </row>
    <row r="63" spans="1:20"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c r="S63" s="17" t="s">
        <v>53</v>
      </c>
      <c r="T63" s="18" t="s">
        <v>53</v>
      </c>
    </row>
    <row r="64" spans="1:20"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c r="S64" s="17" t="s">
        <v>53</v>
      </c>
      <c r="T64" s="18" t="s">
        <v>53</v>
      </c>
    </row>
    <row r="65" spans="1:20"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c r="S65" s="17" t="s">
        <v>53</v>
      </c>
      <c r="T65" s="18" t="s">
        <v>53</v>
      </c>
    </row>
    <row r="66" spans="1:20"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c r="S66" s="17" t="s">
        <v>53</v>
      </c>
      <c r="T66" s="18" t="s">
        <v>53</v>
      </c>
    </row>
    <row r="67" spans="1:20" x14ac:dyDescent="0.25">
      <c r="A67" s="11" t="s">
        <v>110</v>
      </c>
      <c r="B67" s="13">
        <v>6971</v>
      </c>
      <c r="C67" s="14">
        <f>(854/B67*100)</f>
        <v>12.250753120068856</v>
      </c>
      <c r="D67" s="15">
        <v>6117</v>
      </c>
      <c r="E67" s="14">
        <v>2.20729234</v>
      </c>
      <c r="F67" s="16">
        <v>0.25086297000000002</v>
      </c>
      <c r="G67" s="14">
        <v>12.584332679999999</v>
      </c>
      <c r="H67" s="16">
        <v>0.51566016999999997</v>
      </c>
      <c r="I67" s="14">
        <v>0.82844735999999997</v>
      </c>
      <c r="J67" s="16">
        <v>0.11338982</v>
      </c>
      <c r="K67" s="14">
        <v>0</v>
      </c>
      <c r="L67" s="16">
        <v>0</v>
      </c>
      <c r="M67" s="14" t="s">
        <v>51</v>
      </c>
      <c r="N67" s="16" t="s">
        <v>51</v>
      </c>
      <c r="O67" s="14">
        <v>84.379927620000004</v>
      </c>
      <c r="P67" s="16">
        <v>0.59424527999999999</v>
      </c>
      <c r="Q67" s="14">
        <v>0</v>
      </c>
      <c r="R67" s="16">
        <v>0</v>
      </c>
      <c r="S67" s="14">
        <v>0</v>
      </c>
      <c r="T67" s="16">
        <v>0</v>
      </c>
    </row>
    <row r="68" spans="1:20"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c r="S68" s="17" t="s">
        <v>53</v>
      </c>
      <c r="T68" s="18" t="s">
        <v>53</v>
      </c>
    </row>
    <row r="69" spans="1:20"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c r="S69" s="17" t="s">
        <v>53</v>
      </c>
      <c r="T69" s="18" t="s">
        <v>53</v>
      </c>
    </row>
    <row r="70" spans="1:20" x14ac:dyDescent="0.25">
      <c r="A70" s="11" t="s">
        <v>113</v>
      </c>
      <c r="B70" s="13">
        <v>6036</v>
      </c>
      <c r="C70" s="14">
        <f>(436/B70*100)</f>
        <v>7.2233267064280984</v>
      </c>
      <c r="D70" s="15">
        <v>5600</v>
      </c>
      <c r="E70" s="14">
        <v>5.5787614400000001</v>
      </c>
      <c r="F70" s="16">
        <v>0.37760783999999997</v>
      </c>
      <c r="G70" s="14">
        <v>13.877389389999999</v>
      </c>
      <c r="H70" s="16">
        <v>0.42359070999999998</v>
      </c>
      <c r="I70" s="14">
        <v>0.38021983999999998</v>
      </c>
      <c r="J70" s="16">
        <v>9.1255279999999994E-2</v>
      </c>
      <c r="K70" s="14">
        <v>0</v>
      </c>
      <c r="L70" s="16">
        <v>0</v>
      </c>
      <c r="M70" s="14" t="s">
        <v>51</v>
      </c>
      <c r="N70" s="16" t="s">
        <v>51</v>
      </c>
      <c r="O70" s="14">
        <v>80.163629330000006</v>
      </c>
      <c r="P70" s="16">
        <v>0.57060343000000002</v>
      </c>
      <c r="Q70" s="14">
        <v>0</v>
      </c>
      <c r="R70" s="16">
        <v>0</v>
      </c>
      <c r="S70" s="14">
        <v>0</v>
      </c>
      <c r="T70" s="16">
        <v>0</v>
      </c>
    </row>
    <row r="71" spans="1:20"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c r="S71" s="17" t="s">
        <v>53</v>
      </c>
      <c r="T71" s="18" t="s">
        <v>53</v>
      </c>
    </row>
    <row r="72" spans="1:20"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c r="S72" s="17" t="s">
        <v>53</v>
      </c>
      <c r="T72" s="18" t="s">
        <v>53</v>
      </c>
    </row>
    <row r="73" spans="1:20"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c r="S73" s="17" t="s">
        <v>53</v>
      </c>
      <c r="T73" s="18" t="s">
        <v>53</v>
      </c>
    </row>
    <row r="74" spans="1:20"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c r="S74" s="17" t="s">
        <v>53</v>
      </c>
      <c r="T74" s="18" t="s">
        <v>53</v>
      </c>
    </row>
    <row r="75" spans="1:20"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c r="S75" s="17" t="s">
        <v>53</v>
      </c>
      <c r="T75" s="18" t="s">
        <v>53</v>
      </c>
    </row>
    <row r="76" spans="1:20"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c r="S76" s="17" t="s">
        <v>53</v>
      </c>
      <c r="T76" s="18" t="s">
        <v>53</v>
      </c>
    </row>
    <row r="77" spans="1:20"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c r="S77" s="17" t="s">
        <v>53</v>
      </c>
      <c r="T77" s="18" t="s">
        <v>53</v>
      </c>
    </row>
    <row r="78" spans="1:20"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c r="S78" s="17" t="s">
        <v>53</v>
      </c>
      <c r="T78" s="18" t="s">
        <v>53</v>
      </c>
    </row>
    <row r="79" spans="1:20"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c r="S79" s="17" t="s">
        <v>53</v>
      </c>
      <c r="T79" s="18" t="s">
        <v>53</v>
      </c>
    </row>
    <row r="80" spans="1:20"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c r="S80" s="17" t="s">
        <v>53</v>
      </c>
      <c r="T80" s="18" t="s">
        <v>53</v>
      </c>
    </row>
    <row r="81" spans="1:20"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c r="S81" s="17" t="s">
        <v>53</v>
      </c>
      <c r="T81" s="18" t="s">
        <v>53</v>
      </c>
    </row>
    <row r="82" spans="1:20"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c r="S82" s="20" t="s">
        <v>125</v>
      </c>
      <c r="T82" s="20" t="s">
        <v>125</v>
      </c>
    </row>
    <row r="83" spans="1:20" x14ac:dyDescent="0.25">
      <c r="A83" s="3" t="s">
        <v>126</v>
      </c>
    </row>
    <row r="84" spans="1:20" x14ac:dyDescent="0.25">
      <c r="A84" s="26" t="s">
        <v>127</v>
      </c>
      <c r="B84" s="24"/>
      <c r="C84" s="24"/>
      <c r="D84" s="24"/>
      <c r="E84" s="24"/>
      <c r="F84" s="24"/>
      <c r="G84" s="24"/>
      <c r="H84" s="24"/>
      <c r="I84" s="24"/>
      <c r="J84" s="24"/>
      <c r="K84" s="24"/>
      <c r="L84" s="24"/>
      <c r="M84" s="24"/>
      <c r="N84" s="24"/>
      <c r="O84" s="24"/>
      <c r="P84" s="24"/>
      <c r="Q84" s="24"/>
      <c r="R84" s="24"/>
      <c r="S84" s="24"/>
      <c r="T84" s="24"/>
    </row>
    <row r="85" spans="1:20" x14ac:dyDescent="0.25">
      <c r="A85" s="26" t="s">
        <v>128</v>
      </c>
      <c r="B85" s="24"/>
      <c r="C85" s="24"/>
      <c r="D85" s="24"/>
      <c r="E85" s="24"/>
      <c r="F85" s="24"/>
      <c r="G85" s="24"/>
      <c r="H85" s="24"/>
      <c r="I85" s="24"/>
      <c r="J85" s="24"/>
      <c r="K85" s="24"/>
      <c r="L85" s="24"/>
      <c r="M85" s="24"/>
      <c r="N85" s="24"/>
      <c r="O85" s="24"/>
      <c r="P85" s="24"/>
      <c r="Q85" s="24"/>
      <c r="R85" s="24"/>
      <c r="S85" s="24"/>
      <c r="T85" s="24"/>
    </row>
    <row r="86" spans="1:20" ht="30" customHeight="1" x14ac:dyDescent="0.25">
      <c r="A86" s="26" t="s">
        <v>129</v>
      </c>
      <c r="B86" s="24"/>
      <c r="C86" s="24"/>
      <c r="D86" s="24"/>
      <c r="E86" s="24"/>
      <c r="F86" s="24"/>
      <c r="G86" s="24"/>
      <c r="H86" s="24"/>
      <c r="I86" s="24"/>
      <c r="J86" s="24"/>
      <c r="K86" s="24"/>
      <c r="L86" s="24"/>
      <c r="M86" s="24"/>
      <c r="N86" s="24"/>
      <c r="O86" s="24"/>
      <c r="P86" s="24"/>
      <c r="Q86" s="24"/>
      <c r="R86" s="24"/>
      <c r="S86" s="24"/>
      <c r="T86" s="24"/>
    </row>
    <row r="87" spans="1:20" ht="30" customHeight="1" x14ac:dyDescent="0.25">
      <c r="A87" s="26" t="s">
        <v>125</v>
      </c>
      <c r="B87" s="24"/>
      <c r="C87" s="24"/>
      <c r="D87" s="24"/>
      <c r="E87" s="24"/>
      <c r="F87" s="24"/>
      <c r="G87" s="24"/>
      <c r="H87" s="24"/>
      <c r="I87" s="24"/>
      <c r="J87" s="24"/>
      <c r="K87" s="24"/>
      <c r="L87" s="24"/>
      <c r="M87" s="24"/>
      <c r="N87" s="24"/>
      <c r="O87" s="24"/>
      <c r="P87" s="24"/>
      <c r="Q87" s="24"/>
      <c r="R87" s="24"/>
      <c r="S87" s="24"/>
      <c r="T87" s="24"/>
    </row>
    <row r="88" spans="1:20" ht="30" customHeight="1" x14ac:dyDescent="0.25">
      <c r="A88" s="26" t="s">
        <v>130</v>
      </c>
      <c r="B88" s="24"/>
      <c r="C88" s="24"/>
      <c r="D88" s="24"/>
      <c r="E88" s="24"/>
      <c r="F88" s="24"/>
      <c r="G88" s="24"/>
      <c r="H88" s="24"/>
      <c r="I88" s="24"/>
      <c r="J88" s="24"/>
      <c r="K88" s="24"/>
      <c r="L88" s="24"/>
      <c r="M88" s="24"/>
      <c r="N88" s="24"/>
      <c r="O88" s="24"/>
      <c r="P88" s="24"/>
      <c r="Q88" s="24"/>
      <c r="R88" s="24"/>
      <c r="S88" s="24"/>
      <c r="T88" s="24"/>
    </row>
    <row r="89" spans="1:20" ht="30" customHeight="1" x14ac:dyDescent="0.25">
      <c r="A89" s="26" t="s">
        <v>131</v>
      </c>
      <c r="B89" s="24"/>
      <c r="C89" s="24"/>
      <c r="D89" s="24"/>
      <c r="E89" s="24"/>
      <c r="F89" s="24"/>
      <c r="G89" s="24"/>
      <c r="H89" s="24"/>
      <c r="I89" s="24"/>
      <c r="J89" s="24"/>
      <c r="K89" s="24"/>
      <c r="L89" s="24"/>
      <c r="M89" s="24"/>
      <c r="N89" s="24"/>
      <c r="O89" s="24"/>
      <c r="P89" s="24"/>
      <c r="Q89" s="24"/>
      <c r="R89" s="24"/>
      <c r="S89" s="24"/>
      <c r="T89" s="24"/>
    </row>
    <row r="90" spans="1:20" ht="30" customHeight="1" x14ac:dyDescent="0.25">
      <c r="A90" s="26" t="s">
        <v>132</v>
      </c>
      <c r="B90" s="24"/>
      <c r="C90" s="24"/>
      <c r="D90" s="24"/>
      <c r="E90" s="24"/>
      <c r="F90" s="24"/>
      <c r="G90" s="24"/>
      <c r="H90" s="24"/>
      <c r="I90" s="24"/>
      <c r="J90" s="24"/>
      <c r="K90" s="24"/>
      <c r="L90" s="24"/>
      <c r="M90" s="24"/>
      <c r="N90" s="24"/>
      <c r="O90" s="24"/>
      <c r="P90" s="24"/>
      <c r="Q90" s="24"/>
      <c r="R90" s="24"/>
      <c r="S90" s="24"/>
      <c r="T90" s="24"/>
    </row>
    <row r="91" spans="1:20" ht="30" customHeight="1" x14ac:dyDescent="0.25">
      <c r="A91" s="26" t="s">
        <v>133</v>
      </c>
      <c r="B91" s="24"/>
      <c r="C91" s="24"/>
      <c r="D91" s="24"/>
      <c r="E91" s="24"/>
      <c r="F91" s="24"/>
      <c r="G91" s="24"/>
      <c r="H91" s="24"/>
      <c r="I91" s="24"/>
      <c r="J91" s="24"/>
      <c r="K91" s="24"/>
      <c r="L91" s="24"/>
      <c r="M91" s="24"/>
      <c r="N91" s="24"/>
      <c r="O91" s="24"/>
      <c r="P91" s="24"/>
      <c r="Q91" s="24"/>
      <c r="R91" s="24"/>
      <c r="S91" s="24"/>
      <c r="T91" s="24"/>
    </row>
    <row r="92" spans="1:20" ht="30" customHeight="1" x14ac:dyDescent="0.25">
      <c r="A92" s="26" t="s">
        <v>134</v>
      </c>
      <c r="B92" s="24"/>
      <c r="C92" s="24"/>
      <c r="D92" s="24"/>
      <c r="E92" s="24"/>
      <c r="F92" s="24"/>
      <c r="G92" s="24"/>
      <c r="H92" s="24"/>
      <c r="I92" s="24"/>
      <c r="J92" s="24"/>
      <c r="K92" s="24"/>
      <c r="L92" s="24"/>
      <c r="M92" s="24"/>
      <c r="N92" s="24"/>
      <c r="O92" s="24"/>
      <c r="P92" s="24"/>
      <c r="Q92" s="24"/>
      <c r="R92" s="24"/>
      <c r="S92" s="24"/>
      <c r="T92" s="24"/>
    </row>
    <row r="93" spans="1:20" ht="30" customHeight="1" x14ac:dyDescent="0.25">
      <c r="A93" s="26" t="s">
        <v>135</v>
      </c>
      <c r="B93" s="24"/>
      <c r="C93" s="24"/>
      <c r="D93" s="24"/>
      <c r="E93" s="24"/>
      <c r="F93" s="24"/>
      <c r="G93" s="24"/>
      <c r="H93" s="24"/>
      <c r="I93" s="24"/>
      <c r="J93" s="24"/>
      <c r="K93" s="24"/>
      <c r="L93" s="24"/>
      <c r="M93" s="24"/>
      <c r="N93" s="24"/>
      <c r="O93" s="24"/>
      <c r="P93" s="24"/>
      <c r="Q93" s="24"/>
      <c r="R93" s="24"/>
      <c r="S93" s="24"/>
      <c r="T93" s="24"/>
    </row>
    <row r="94" spans="1:20" ht="30" customHeight="1" x14ac:dyDescent="0.25">
      <c r="A94" s="26" t="s">
        <v>136</v>
      </c>
      <c r="B94" s="24"/>
      <c r="C94" s="24"/>
      <c r="D94" s="24"/>
      <c r="E94" s="24"/>
      <c r="F94" s="24"/>
      <c r="G94" s="24"/>
      <c r="H94" s="24"/>
      <c r="I94" s="24"/>
      <c r="J94" s="24"/>
      <c r="K94" s="24"/>
      <c r="L94" s="24"/>
      <c r="M94" s="24"/>
      <c r="N94" s="24"/>
      <c r="O94" s="24"/>
      <c r="P94" s="24"/>
      <c r="Q94" s="24"/>
      <c r="R94" s="24"/>
      <c r="S94" s="24"/>
      <c r="T94" s="24"/>
    </row>
    <row r="95" spans="1:20" ht="30" customHeight="1" x14ac:dyDescent="0.25">
      <c r="A95" s="26" t="s">
        <v>137</v>
      </c>
      <c r="B95" s="24"/>
      <c r="C95" s="24"/>
      <c r="D95" s="24"/>
      <c r="E95" s="24"/>
      <c r="F95" s="24"/>
      <c r="G95" s="24"/>
      <c r="H95" s="24"/>
      <c r="I95" s="24"/>
      <c r="J95" s="24"/>
      <c r="K95" s="24"/>
      <c r="L95" s="24"/>
      <c r="M95" s="24"/>
      <c r="N95" s="24"/>
      <c r="O95" s="24"/>
      <c r="P95" s="24"/>
      <c r="Q95" s="24"/>
      <c r="R95" s="24"/>
      <c r="S95" s="24"/>
      <c r="T95" s="24"/>
    </row>
    <row r="96" spans="1:20" ht="30" customHeight="1" x14ac:dyDescent="0.25">
      <c r="A96" s="26" t="s">
        <v>138</v>
      </c>
      <c r="B96" s="24"/>
      <c r="C96" s="24"/>
      <c r="D96" s="24"/>
      <c r="E96" s="24"/>
      <c r="F96" s="24"/>
      <c r="G96" s="24"/>
      <c r="H96" s="24"/>
      <c r="I96" s="24"/>
      <c r="J96" s="24"/>
      <c r="K96" s="24"/>
      <c r="L96" s="24"/>
      <c r="M96" s="24"/>
      <c r="N96" s="24"/>
      <c r="O96" s="24"/>
      <c r="P96" s="24"/>
      <c r="Q96" s="24"/>
      <c r="R96" s="24"/>
      <c r="S96" s="24"/>
      <c r="T96" s="24"/>
    </row>
    <row r="97" spans="1:1" ht="30" customHeight="1" x14ac:dyDescent="0.25">
      <c r="A97" s="27" t="s">
        <v>171</v>
      </c>
    </row>
  </sheetData>
  <mergeCells count="23">
    <mergeCell ref="A94:T94"/>
    <mergeCell ref="A95:T95"/>
    <mergeCell ref="A96:T96"/>
    <mergeCell ref="A89:T89"/>
    <mergeCell ref="A90:T90"/>
    <mergeCell ref="A91:T91"/>
    <mergeCell ref="A92:T92"/>
    <mergeCell ref="A93:T93"/>
    <mergeCell ref="A84:T84"/>
    <mergeCell ref="A85:T85"/>
    <mergeCell ref="A86:T86"/>
    <mergeCell ref="A87:T87"/>
    <mergeCell ref="A88:T88"/>
    <mergeCell ref="O4:P4"/>
    <mergeCell ref="Q4:R4"/>
    <mergeCell ref="S4:T4"/>
    <mergeCell ref="A1:T1"/>
    <mergeCell ref="A2:T2"/>
    <mergeCell ref="E4:F4"/>
    <mergeCell ref="G4:H4"/>
    <mergeCell ref="I4:J4"/>
    <mergeCell ref="K4:L4"/>
    <mergeCell ref="M4:N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tabSelected="1"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20" x14ac:dyDescent="0.25">
      <c r="A1" s="23" t="s">
        <v>33</v>
      </c>
      <c r="B1" s="24"/>
      <c r="C1" s="24"/>
      <c r="D1" s="24"/>
      <c r="E1" s="24"/>
      <c r="F1" s="24"/>
      <c r="G1" s="24"/>
      <c r="H1" s="24"/>
      <c r="I1" s="24"/>
      <c r="J1" s="24"/>
      <c r="K1" s="24"/>
      <c r="L1" s="24"/>
      <c r="M1" s="24"/>
      <c r="N1" s="24"/>
      <c r="O1" s="24"/>
      <c r="P1" s="24"/>
      <c r="Q1" s="24"/>
      <c r="R1" s="24"/>
      <c r="S1" s="24"/>
      <c r="T1" s="24"/>
    </row>
    <row r="2" spans="1:20" x14ac:dyDescent="0.25">
      <c r="A2" s="25" t="s">
        <v>169</v>
      </c>
      <c r="B2" s="24"/>
      <c r="C2" s="24"/>
      <c r="D2" s="24"/>
      <c r="E2" s="24"/>
      <c r="F2" s="24"/>
      <c r="G2" s="24"/>
      <c r="H2" s="24"/>
      <c r="I2" s="24"/>
      <c r="J2" s="24"/>
      <c r="K2" s="24"/>
      <c r="L2" s="24"/>
      <c r="M2" s="24"/>
      <c r="N2" s="24"/>
      <c r="O2" s="24"/>
      <c r="P2" s="24"/>
      <c r="Q2" s="24"/>
      <c r="R2" s="24"/>
      <c r="S2" s="24"/>
      <c r="T2" s="24"/>
    </row>
    <row r="4" spans="1:20" ht="30" customHeight="1" x14ac:dyDescent="0.25">
      <c r="A4" s="4"/>
      <c r="B4" s="5" t="s">
        <v>35</v>
      </c>
      <c r="C4" s="5" t="s">
        <v>36</v>
      </c>
      <c r="D4" s="6" t="s">
        <v>35</v>
      </c>
      <c r="E4" s="21" t="s">
        <v>37</v>
      </c>
      <c r="F4" s="22"/>
      <c r="G4" s="21" t="s">
        <v>38</v>
      </c>
      <c r="H4" s="22"/>
      <c r="I4" s="21" t="s">
        <v>168</v>
      </c>
      <c r="J4" s="22"/>
      <c r="K4" s="21" t="s">
        <v>39</v>
      </c>
      <c r="L4" s="22"/>
      <c r="M4" s="21" t="s">
        <v>40</v>
      </c>
      <c r="N4" s="22"/>
      <c r="O4" s="21" t="s">
        <v>41</v>
      </c>
      <c r="P4" s="22"/>
      <c r="Q4" s="21" t="s">
        <v>42</v>
      </c>
      <c r="R4" s="22"/>
      <c r="S4" s="21" t="s">
        <v>43</v>
      </c>
      <c r="T4" s="22"/>
    </row>
    <row r="5" spans="1:20"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c r="S5" s="8" t="s">
        <v>47</v>
      </c>
      <c r="T5" s="7" t="s">
        <v>48</v>
      </c>
    </row>
    <row r="6" spans="1:20" x14ac:dyDescent="0.25">
      <c r="A6" s="9" t="s">
        <v>49</v>
      </c>
      <c r="B6" s="10"/>
      <c r="C6" s="10"/>
      <c r="D6" s="11"/>
      <c r="E6" s="10"/>
      <c r="F6" s="11"/>
      <c r="G6" s="10"/>
      <c r="H6" s="11"/>
      <c r="I6" s="10"/>
      <c r="J6" s="11"/>
      <c r="K6" s="10"/>
      <c r="L6" s="11"/>
      <c r="M6" s="10"/>
      <c r="N6" s="11"/>
      <c r="O6" s="10"/>
      <c r="P6" s="11"/>
      <c r="Q6" s="10"/>
      <c r="R6" s="11"/>
      <c r="S6" s="10"/>
      <c r="T6" s="12"/>
    </row>
    <row r="7" spans="1:20" x14ac:dyDescent="0.25">
      <c r="A7" s="11" t="s">
        <v>50</v>
      </c>
      <c r="B7" s="13">
        <v>14530</v>
      </c>
      <c r="C7" s="14">
        <f>(3848/B7*100)</f>
        <v>26.483138334480383</v>
      </c>
      <c r="D7" s="15">
        <v>10682</v>
      </c>
      <c r="E7" s="14">
        <v>32.748844200000001</v>
      </c>
      <c r="F7" s="16">
        <v>0.52770958000000001</v>
      </c>
      <c r="G7" s="14">
        <v>58.00148824</v>
      </c>
      <c r="H7" s="16">
        <v>0.54151581999999998</v>
      </c>
      <c r="I7" s="14">
        <v>9.2496675699999997</v>
      </c>
      <c r="J7" s="16">
        <v>0.36674308999999999</v>
      </c>
      <c r="K7" s="14">
        <v>0</v>
      </c>
      <c r="L7" s="16">
        <v>0</v>
      </c>
      <c r="M7" s="14" t="s">
        <v>51</v>
      </c>
      <c r="N7" s="16" t="s">
        <v>51</v>
      </c>
      <c r="O7" s="14">
        <v>0</v>
      </c>
      <c r="P7" s="16">
        <v>0</v>
      </c>
      <c r="Q7" s="14">
        <v>0</v>
      </c>
      <c r="R7" s="16">
        <v>0</v>
      </c>
      <c r="S7" s="14">
        <v>0</v>
      </c>
      <c r="T7" s="16">
        <v>0</v>
      </c>
    </row>
    <row r="8" spans="1:20"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c r="S8" s="17" t="s">
        <v>53</v>
      </c>
      <c r="T8" s="18" t="s">
        <v>53</v>
      </c>
    </row>
    <row r="9" spans="1:20" x14ac:dyDescent="0.25">
      <c r="A9" s="11" t="s">
        <v>172</v>
      </c>
      <c r="B9" s="13">
        <v>5675</v>
      </c>
      <c r="C9" s="14">
        <f>(384/B9*100)</f>
        <v>6.7665198237885456</v>
      </c>
      <c r="D9" s="15">
        <v>5291</v>
      </c>
      <c r="E9" s="14">
        <v>3.1920164400000002</v>
      </c>
      <c r="F9" s="16">
        <v>0.23552542000000001</v>
      </c>
      <c r="G9" s="14">
        <v>11.762132940000001</v>
      </c>
      <c r="H9" s="16">
        <v>0.43964942000000001</v>
      </c>
      <c r="I9" s="14">
        <v>4.4647075300000001</v>
      </c>
      <c r="J9" s="16">
        <v>0.33022056999999999</v>
      </c>
      <c r="K9" s="14">
        <v>0</v>
      </c>
      <c r="L9" s="16">
        <v>0</v>
      </c>
      <c r="M9" s="14" t="s">
        <v>51</v>
      </c>
      <c r="N9" s="16" t="s">
        <v>51</v>
      </c>
      <c r="O9" s="14">
        <v>80.581143089999998</v>
      </c>
      <c r="P9" s="16">
        <v>0.57832720000000004</v>
      </c>
      <c r="Q9" s="14">
        <v>0</v>
      </c>
      <c r="R9" s="16">
        <v>0</v>
      </c>
      <c r="S9" s="14">
        <v>0</v>
      </c>
      <c r="T9" s="16">
        <v>0</v>
      </c>
    </row>
    <row r="10" spans="1:20" x14ac:dyDescent="0.25">
      <c r="A10" s="11" t="s">
        <v>173</v>
      </c>
      <c r="B10" s="13">
        <v>13082</v>
      </c>
      <c r="C10" s="14">
        <f>(442/B10*100)</f>
        <v>3.3786882739642254</v>
      </c>
      <c r="D10" s="15">
        <v>12640</v>
      </c>
      <c r="E10" s="14">
        <v>3.88645643</v>
      </c>
      <c r="F10" s="16">
        <v>0.24278857000000001</v>
      </c>
      <c r="G10" s="14">
        <v>17.696470470000001</v>
      </c>
      <c r="H10" s="16">
        <v>0.38457040999999997</v>
      </c>
      <c r="I10" s="14">
        <v>2.2424914899999999</v>
      </c>
      <c r="J10" s="16">
        <v>0.18369039000000001</v>
      </c>
      <c r="K10" s="14">
        <v>0</v>
      </c>
      <c r="L10" s="16">
        <v>0</v>
      </c>
      <c r="M10" s="14" t="s">
        <v>51</v>
      </c>
      <c r="N10" s="16" t="s">
        <v>51</v>
      </c>
      <c r="O10" s="14">
        <v>76.174581610000004</v>
      </c>
      <c r="P10" s="16">
        <v>0.35439342000000001</v>
      </c>
      <c r="Q10" s="14">
        <v>0</v>
      </c>
      <c r="R10" s="16">
        <v>0</v>
      </c>
      <c r="S10" s="14">
        <v>0</v>
      </c>
      <c r="T10" s="16">
        <v>0</v>
      </c>
    </row>
    <row r="11" spans="1:20" x14ac:dyDescent="0.25">
      <c r="A11" s="11" t="s">
        <v>54</v>
      </c>
      <c r="B11" s="13">
        <v>7053</v>
      </c>
      <c r="C11" s="14">
        <f>(324/B11*100)</f>
        <v>4.593789876648235</v>
      </c>
      <c r="D11" s="15">
        <v>6729</v>
      </c>
      <c r="E11" s="14">
        <v>1.8888403499999999</v>
      </c>
      <c r="F11" s="16">
        <v>0.19499558</v>
      </c>
      <c r="G11" s="14">
        <v>19.469067339999999</v>
      </c>
      <c r="H11" s="16">
        <v>0.46801118000000003</v>
      </c>
      <c r="I11" s="14">
        <v>0.52068199000000004</v>
      </c>
      <c r="J11" s="16">
        <v>9.3177099999999999E-2</v>
      </c>
      <c r="K11" s="14">
        <v>0</v>
      </c>
      <c r="L11" s="16">
        <v>0</v>
      </c>
      <c r="M11" s="14" t="s">
        <v>51</v>
      </c>
      <c r="N11" s="16" t="s">
        <v>51</v>
      </c>
      <c r="O11" s="14">
        <v>78.121410319999995</v>
      </c>
      <c r="P11" s="16">
        <v>0.41680021</v>
      </c>
      <c r="Q11" s="14">
        <v>0</v>
      </c>
      <c r="R11" s="16">
        <v>0</v>
      </c>
      <c r="S11" s="14">
        <v>0</v>
      </c>
      <c r="T11" s="16">
        <v>0</v>
      </c>
    </row>
    <row r="12" spans="1:20"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c r="S12" s="17" t="s">
        <v>53</v>
      </c>
      <c r="T12" s="18" t="s">
        <v>53</v>
      </c>
    </row>
    <row r="13" spans="1:20"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c r="S13" s="17" t="s">
        <v>53</v>
      </c>
      <c r="T13" s="18" t="s">
        <v>53</v>
      </c>
    </row>
    <row r="14" spans="1:20"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c r="S14" s="17" t="s">
        <v>53</v>
      </c>
      <c r="T14" s="18" t="s">
        <v>53</v>
      </c>
    </row>
    <row r="15" spans="1:20"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c r="S15" s="17" t="s">
        <v>53</v>
      </c>
      <c r="T15" s="18" t="s">
        <v>53</v>
      </c>
    </row>
    <row r="16" spans="1:20"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c r="S16" s="17" t="s">
        <v>53</v>
      </c>
      <c r="T16" s="18" t="s">
        <v>53</v>
      </c>
    </row>
    <row r="17" spans="1:20"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c r="S17" s="17" t="s">
        <v>53</v>
      </c>
      <c r="T17" s="18" t="s">
        <v>53</v>
      </c>
    </row>
    <row r="18" spans="1:20"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c r="S18" s="17" t="s">
        <v>53</v>
      </c>
      <c r="T18" s="18" t="s">
        <v>53</v>
      </c>
    </row>
    <row r="19" spans="1:20"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c r="S19" s="17" t="s">
        <v>53</v>
      </c>
      <c r="T19" s="18" t="s">
        <v>53</v>
      </c>
    </row>
    <row r="20" spans="1:20"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c r="S20" s="17" t="s">
        <v>53</v>
      </c>
      <c r="T20" s="18" t="s">
        <v>53</v>
      </c>
    </row>
    <row r="21" spans="1:20"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c r="S21" s="17" t="s">
        <v>53</v>
      </c>
      <c r="T21" s="18" t="s">
        <v>53</v>
      </c>
    </row>
    <row r="22" spans="1:20"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c r="S22" s="17" t="s">
        <v>53</v>
      </c>
      <c r="T22" s="18" t="s">
        <v>53</v>
      </c>
    </row>
    <row r="23" spans="1:20" x14ac:dyDescent="0.25">
      <c r="A23" s="11" t="s">
        <v>66</v>
      </c>
      <c r="B23" s="13">
        <v>11583</v>
      </c>
      <c r="C23" s="14">
        <f>(726/B23*100)</f>
        <v>6.267806267806268</v>
      </c>
      <c r="D23" s="15">
        <v>10857</v>
      </c>
      <c r="E23" s="14">
        <v>7.8735456499999996</v>
      </c>
      <c r="F23" s="16">
        <v>0.33124182000000002</v>
      </c>
      <c r="G23" s="14">
        <v>13.080314720000001</v>
      </c>
      <c r="H23" s="16">
        <v>0.35210833000000002</v>
      </c>
      <c r="I23" s="14">
        <v>0.53060096999999995</v>
      </c>
      <c r="J23" s="16">
        <v>0.10129317</v>
      </c>
      <c r="K23" s="14">
        <v>0</v>
      </c>
      <c r="L23" s="16">
        <v>0</v>
      </c>
      <c r="M23" s="14" t="s">
        <v>51</v>
      </c>
      <c r="N23" s="16" t="s">
        <v>51</v>
      </c>
      <c r="O23" s="14">
        <v>78.515538669999998</v>
      </c>
      <c r="P23" s="16">
        <v>0.33974745000000001</v>
      </c>
      <c r="Q23" s="14">
        <v>0</v>
      </c>
      <c r="R23" s="16">
        <v>0</v>
      </c>
      <c r="S23" s="14">
        <v>0</v>
      </c>
      <c r="T23" s="16">
        <v>0</v>
      </c>
    </row>
    <row r="24" spans="1:20"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c r="S24" s="17" t="s">
        <v>53</v>
      </c>
      <c r="T24" s="18" t="s">
        <v>53</v>
      </c>
    </row>
    <row r="25" spans="1:20"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c r="S25" s="17" t="s">
        <v>53</v>
      </c>
      <c r="T25" s="18" t="s">
        <v>53</v>
      </c>
    </row>
    <row r="26" spans="1:20"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c r="S26" s="17" t="s">
        <v>53</v>
      </c>
      <c r="T26" s="18" t="s">
        <v>53</v>
      </c>
    </row>
    <row r="27" spans="1:20"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c r="S27" s="17" t="s">
        <v>53</v>
      </c>
      <c r="T27" s="18" t="s">
        <v>53</v>
      </c>
    </row>
    <row r="28" spans="1:20"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c r="S28" s="17" t="s">
        <v>53</v>
      </c>
      <c r="T28" s="18" t="s">
        <v>53</v>
      </c>
    </row>
    <row r="29" spans="1:20" x14ac:dyDescent="0.25">
      <c r="A29" s="11" t="s">
        <v>72</v>
      </c>
      <c r="B29" s="13">
        <v>5385</v>
      </c>
      <c r="C29" s="14">
        <f>(81/B29*100)</f>
        <v>1.5041782729805013</v>
      </c>
      <c r="D29" s="15">
        <v>5304</v>
      </c>
      <c r="E29" s="14">
        <v>2.56270737</v>
      </c>
      <c r="F29" s="16">
        <v>0.25667698</v>
      </c>
      <c r="G29" s="14">
        <v>18.65418142</v>
      </c>
      <c r="H29" s="16">
        <v>0.40354441000000002</v>
      </c>
      <c r="I29" s="14">
        <v>3.08845802</v>
      </c>
      <c r="J29" s="16">
        <v>0.28359655</v>
      </c>
      <c r="K29" s="14">
        <v>0</v>
      </c>
      <c r="L29" s="16">
        <v>0</v>
      </c>
      <c r="M29" s="14" t="s">
        <v>51</v>
      </c>
      <c r="N29" s="16" t="s">
        <v>51</v>
      </c>
      <c r="O29" s="14">
        <v>75.694653189999997</v>
      </c>
      <c r="P29" s="16">
        <v>0.30227458000000001</v>
      </c>
      <c r="Q29" s="14">
        <v>0</v>
      </c>
      <c r="R29" s="16">
        <v>0</v>
      </c>
      <c r="S29" s="14">
        <v>0</v>
      </c>
      <c r="T29" s="16">
        <v>0</v>
      </c>
    </row>
    <row r="30" spans="1:20"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c r="S30" s="17" t="s">
        <v>53</v>
      </c>
      <c r="T30" s="18" t="s">
        <v>53</v>
      </c>
    </row>
    <row r="31" spans="1:20"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c r="S31" s="17" t="s">
        <v>53</v>
      </c>
      <c r="T31" s="18" t="s">
        <v>53</v>
      </c>
    </row>
    <row r="32" spans="1:20" x14ac:dyDescent="0.25">
      <c r="A32" s="11" t="s">
        <v>75</v>
      </c>
      <c r="B32" s="13">
        <v>4478</v>
      </c>
      <c r="C32" s="14">
        <f>(105/B32*100)</f>
        <v>2.3447967842786959</v>
      </c>
      <c r="D32" s="15">
        <v>4373</v>
      </c>
      <c r="E32" s="14">
        <v>7.9077431200000001</v>
      </c>
      <c r="F32" s="16">
        <v>0.42152176000000002</v>
      </c>
      <c r="G32" s="14">
        <v>28.567559809999999</v>
      </c>
      <c r="H32" s="16">
        <v>0.47983016000000001</v>
      </c>
      <c r="I32" s="14">
        <v>0.85806892000000001</v>
      </c>
      <c r="J32" s="16">
        <v>0.15591416999999999</v>
      </c>
      <c r="K32" s="14">
        <v>0</v>
      </c>
      <c r="L32" s="16">
        <v>0</v>
      </c>
      <c r="M32" s="14" t="s">
        <v>51</v>
      </c>
      <c r="N32" s="16" t="s">
        <v>51</v>
      </c>
      <c r="O32" s="14">
        <v>62.666628150000001</v>
      </c>
      <c r="P32" s="16">
        <v>0.37063903999999998</v>
      </c>
      <c r="Q32" s="14">
        <v>0</v>
      </c>
      <c r="R32" s="16">
        <v>0</v>
      </c>
      <c r="S32" s="14">
        <v>0</v>
      </c>
      <c r="T32" s="16">
        <v>0</v>
      </c>
    </row>
    <row r="33" spans="1:20"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c r="S33" s="17" t="s">
        <v>53</v>
      </c>
      <c r="T33" s="18" t="s">
        <v>53</v>
      </c>
    </row>
    <row r="34" spans="1:20" x14ac:dyDescent="0.25">
      <c r="A34" s="11" t="s">
        <v>77</v>
      </c>
      <c r="B34" s="13">
        <v>6350</v>
      </c>
      <c r="C34" s="14">
        <f>(349/B34*100)</f>
        <v>5.4960629921259843</v>
      </c>
      <c r="D34" s="15">
        <v>6001</v>
      </c>
      <c r="E34" s="14">
        <v>3.4680533599999999</v>
      </c>
      <c r="F34" s="16">
        <v>0.23276611999999999</v>
      </c>
      <c r="G34" s="14">
        <v>14.81436137</v>
      </c>
      <c r="H34" s="16">
        <v>0.51889169999999996</v>
      </c>
      <c r="I34" s="14">
        <v>2.78867178</v>
      </c>
      <c r="J34" s="16">
        <v>0.22973994</v>
      </c>
      <c r="K34" s="14">
        <v>0</v>
      </c>
      <c r="L34" s="16">
        <v>0</v>
      </c>
      <c r="M34" s="14" t="s">
        <v>51</v>
      </c>
      <c r="N34" s="16" t="s">
        <v>51</v>
      </c>
      <c r="O34" s="14">
        <v>78.928913480000006</v>
      </c>
      <c r="P34" s="16">
        <v>0.39911505000000003</v>
      </c>
      <c r="Q34" s="14">
        <v>0</v>
      </c>
      <c r="R34" s="16">
        <v>0</v>
      </c>
      <c r="S34" s="14">
        <v>0</v>
      </c>
      <c r="T34" s="16">
        <v>0</v>
      </c>
    </row>
    <row r="35" spans="1:20"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c r="S35" s="17" t="s">
        <v>53</v>
      </c>
      <c r="T35" s="18" t="s">
        <v>53</v>
      </c>
    </row>
    <row r="36" spans="1:20" x14ac:dyDescent="0.25">
      <c r="A36" s="11" t="s">
        <v>79</v>
      </c>
      <c r="B36" s="13">
        <v>6736</v>
      </c>
      <c r="C36" s="14">
        <f>(254/B36*100)</f>
        <v>3.7707838479809976</v>
      </c>
      <c r="D36" s="15">
        <v>6482</v>
      </c>
      <c r="E36" s="14">
        <v>2.0159948399999998</v>
      </c>
      <c r="F36" s="16">
        <v>0.16827254999999999</v>
      </c>
      <c r="G36" s="14">
        <v>17.5092076</v>
      </c>
      <c r="H36" s="16">
        <v>0.33584223000000002</v>
      </c>
      <c r="I36" s="14">
        <v>3.5266080199999998</v>
      </c>
      <c r="J36" s="16">
        <v>0.23289757999999999</v>
      </c>
      <c r="K36" s="14">
        <v>0</v>
      </c>
      <c r="L36" s="16">
        <v>0</v>
      </c>
      <c r="M36" s="14" t="s">
        <v>51</v>
      </c>
      <c r="N36" s="16" t="s">
        <v>51</v>
      </c>
      <c r="O36" s="14">
        <v>76.948189540000001</v>
      </c>
      <c r="P36" s="16">
        <v>0.30049889000000002</v>
      </c>
      <c r="Q36" s="14">
        <v>0</v>
      </c>
      <c r="R36" s="16">
        <v>0</v>
      </c>
      <c r="S36" s="14">
        <v>0</v>
      </c>
      <c r="T36" s="16">
        <v>0</v>
      </c>
    </row>
    <row r="37" spans="1:20"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c r="S37" s="17" t="s">
        <v>53</v>
      </c>
      <c r="T37" s="18" t="s">
        <v>53</v>
      </c>
    </row>
    <row r="38" spans="1:20"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c r="S38" s="17" t="s">
        <v>53</v>
      </c>
      <c r="T38" s="18" t="s">
        <v>53</v>
      </c>
    </row>
    <row r="39" spans="1:20"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c r="S39" s="17" t="s">
        <v>53</v>
      </c>
      <c r="T39" s="18" t="s">
        <v>53</v>
      </c>
    </row>
    <row r="40" spans="1:20"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c r="S40" s="17" t="s">
        <v>53</v>
      </c>
      <c r="T40" s="18" t="s">
        <v>53</v>
      </c>
    </row>
    <row r="41" spans="1:20" x14ac:dyDescent="0.25">
      <c r="A41" s="11" t="s">
        <v>84</v>
      </c>
      <c r="B41" s="13">
        <v>5712</v>
      </c>
      <c r="C41" s="14">
        <f>(190/B41*100)</f>
        <v>3.3263305322128853</v>
      </c>
      <c r="D41" s="15">
        <v>5522</v>
      </c>
      <c r="E41" s="14">
        <v>5.0751453700000004</v>
      </c>
      <c r="F41" s="16">
        <v>0.30416293</v>
      </c>
      <c r="G41" s="14">
        <v>17.390463799999999</v>
      </c>
      <c r="H41" s="16">
        <v>0.40109470000000003</v>
      </c>
      <c r="I41" s="14">
        <v>1.0224886399999999</v>
      </c>
      <c r="J41" s="16">
        <v>0.14994488</v>
      </c>
      <c r="K41" s="14">
        <v>0</v>
      </c>
      <c r="L41" s="16">
        <v>0</v>
      </c>
      <c r="M41" s="14" t="s">
        <v>51</v>
      </c>
      <c r="N41" s="16" t="s">
        <v>51</v>
      </c>
      <c r="O41" s="14">
        <v>76.511902190000001</v>
      </c>
      <c r="P41" s="16">
        <v>0.36663295000000001</v>
      </c>
      <c r="Q41" s="14">
        <v>0</v>
      </c>
      <c r="R41" s="16">
        <v>0</v>
      </c>
      <c r="S41" s="14">
        <v>0</v>
      </c>
      <c r="T41" s="16">
        <v>0</v>
      </c>
    </row>
    <row r="42" spans="1:20" x14ac:dyDescent="0.25">
      <c r="A42" s="11" t="s">
        <v>85</v>
      </c>
      <c r="B42" s="13">
        <f>IF(COUNT(B7:B41) &gt; 0, AVERAGE(B7:B41), "\u2014")</f>
        <v>8058.4</v>
      </c>
      <c r="C42" s="14">
        <f>IF(COUNT(C7:C41) &gt; 0, AVERAGE(C7:C41), "—")</f>
        <v>6.3932095006266723</v>
      </c>
      <c r="D42" s="15">
        <f>IF(COUNT(D7:D41) &gt; 0, AVERAGE(D7:D41), "—")</f>
        <v>7388.1</v>
      </c>
      <c r="E42" s="14">
        <f>IF(COUNT(E7:E41) &gt; 0, AVERAGE(E7:E41), "—")</f>
        <v>7.0619347130000012</v>
      </c>
      <c r="F42" s="16">
        <f>IF(COUNT(F7:F41) &gt; 0, SQRT(SUMSQ(F7:F41)/(COUNT(F7:F41)*COUNT(F7:F41)) ), "—")</f>
        <v>9.793951222331089E-2</v>
      </c>
      <c r="G42" s="14">
        <f>IF(COUNT(G7:G41) &gt; 0, AVERAGE(G7:G41), "—")</f>
        <v>21.694524770999998</v>
      </c>
      <c r="H42" s="16">
        <f>IF(COUNT(H7:H41) &gt; 0, SQRT(SUMSQ(H7:H41)/(COUNT(H7:H41)*COUNT(H7:H41)) ), "—")</f>
        <v>0.138327176222201</v>
      </c>
      <c r="I42" s="14">
        <f>IF(COUNT(I7:I41) &gt; 0, AVERAGE(I7:I41), "—")</f>
        <v>2.829244493</v>
      </c>
      <c r="J42" s="16">
        <f>IF(COUNT(J7:J41) &gt; 0, SQRT(SUMSQ(J7:J41)/(COUNT(J7:J41)*COUNT(J7:J41)) ), "—")</f>
        <v>7.2833507258901767E-2</v>
      </c>
      <c r="K42" s="14">
        <f>IF(COUNT(K7:K41) &gt; 0, AVERAGE(K7:K41), "—")</f>
        <v>0</v>
      </c>
      <c r="L42" s="16">
        <f>IF(COUNT(L7:L41) &gt; 0, SQRT(SUMSQ(L7:L41)/(COUNT(L7:L41)*COUNT(L7:L41)) ), "—")</f>
        <v>0</v>
      </c>
      <c r="M42" s="14" t="str">
        <f>IF(COUNT(M7:M41) &gt; 0, AVERAGE(M7:M41), "—")</f>
        <v>—</v>
      </c>
      <c r="N42" s="16" t="str">
        <f>IF(COUNT(N7:N41) &gt; 0, SQRT(SUMSQ(N7:N41)/(COUNT(N7:N41)*COUNT(N7:N41)) ), "—")</f>
        <v>—</v>
      </c>
      <c r="O42" s="14">
        <f>IF(COUNT(O7:O41) &gt; 0, AVERAGE(O7:O41), "—")</f>
        <v>68.414296023999995</v>
      </c>
      <c r="P42" s="16">
        <f>IF(COUNT(P7:P41) &gt; 0, SQRT(SUMSQ(P7:P41)/(COUNT(P7:P41)*COUNT(P7:P41)) ), "—")</f>
        <v>0.11670317634822192</v>
      </c>
      <c r="Q42" s="14">
        <f>IF(COUNT(Q7:Q41) &gt; 0, AVERAGE(Q7:Q41), "—")</f>
        <v>0</v>
      </c>
      <c r="R42" s="16">
        <f>IF(COUNT(R7:R41) &gt; 0, SQRT(SUMSQ(R7:R41)/(COUNT(R7:R41)*COUNT(R7:R41)) ), "—")</f>
        <v>0</v>
      </c>
      <c r="S42" s="14">
        <f>IF(COUNT(S7:S41) &gt; 0, AVERAGE(S7:S41), "—")</f>
        <v>0</v>
      </c>
      <c r="T42" s="16">
        <f>IF(COUNT(T7:T41) &gt; 0, SQRT(SUMSQ(T7:T41)/(COUNT(T7:T41)*COUNT(T7:T41)) ), "—")</f>
        <v>0</v>
      </c>
    </row>
    <row r="43" spans="1:20" x14ac:dyDescent="0.25">
      <c r="A43" s="9" t="s">
        <v>86</v>
      </c>
      <c r="B43" s="10"/>
      <c r="C43" s="10"/>
      <c r="D43" s="11"/>
      <c r="E43" s="10"/>
      <c r="F43" s="11"/>
      <c r="G43" s="10"/>
      <c r="H43" s="11"/>
      <c r="I43" s="10"/>
      <c r="J43" s="11"/>
      <c r="K43" s="10"/>
      <c r="L43" s="11"/>
      <c r="M43" s="10"/>
      <c r="N43" s="11"/>
      <c r="O43" s="10"/>
      <c r="P43" s="11"/>
      <c r="Q43" s="10"/>
      <c r="R43" s="11"/>
      <c r="S43" s="10"/>
      <c r="T43" s="12"/>
    </row>
    <row r="44" spans="1:20"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c r="S44" s="17" t="s">
        <v>53</v>
      </c>
      <c r="T44" s="18" t="s">
        <v>53</v>
      </c>
    </row>
    <row r="45" spans="1:20"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c r="S45" s="17" t="s">
        <v>53</v>
      </c>
      <c r="T45" s="18" t="s">
        <v>53</v>
      </c>
    </row>
    <row r="46" spans="1:20" x14ac:dyDescent="0.25">
      <c r="A46" s="11" t="s">
        <v>89</v>
      </c>
      <c r="B46" s="13">
        <v>23141</v>
      </c>
      <c r="C46" s="14">
        <f>(4137/B46*100)</f>
        <v>17.877360528931334</v>
      </c>
      <c r="D46" s="15">
        <v>19004</v>
      </c>
      <c r="E46" s="14">
        <v>1.0101070400000001</v>
      </c>
      <c r="F46" s="16">
        <v>0.10353005</v>
      </c>
      <c r="G46" s="14">
        <v>9.6080181600000003</v>
      </c>
      <c r="H46" s="16">
        <v>0.35805816000000001</v>
      </c>
      <c r="I46" s="14">
        <v>0.73781180000000002</v>
      </c>
      <c r="J46" s="16">
        <v>7.7909610000000004E-2</v>
      </c>
      <c r="K46" s="14">
        <v>0</v>
      </c>
      <c r="L46" s="16">
        <v>0</v>
      </c>
      <c r="M46" s="14" t="s">
        <v>51</v>
      </c>
      <c r="N46" s="16" t="s">
        <v>51</v>
      </c>
      <c r="O46" s="14">
        <v>88.644063000000003</v>
      </c>
      <c r="P46" s="16">
        <v>0.37358894999999998</v>
      </c>
      <c r="Q46" s="14">
        <v>0</v>
      </c>
      <c r="R46" s="16">
        <v>0</v>
      </c>
      <c r="S46" s="14">
        <v>0</v>
      </c>
      <c r="T46" s="16">
        <v>0</v>
      </c>
    </row>
    <row r="47" spans="1:20"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c r="S47" s="17" t="s">
        <v>53</v>
      </c>
      <c r="T47" s="18" t="s">
        <v>53</v>
      </c>
    </row>
    <row r="48" spans="1:20" x14ac:dyDescent="0.25">
      <c r="A48" s="11" t="s">
        <v>91</v>
      </c>
      <c r="B48" s="13">
        <v>9841</v>
      </c>
      <c r="C48" s="14">
        <f>(173/B48*100)</f>
        <v>1.7579514277004369</v>
      </c>
      <c r="D48" s="15">
        <v>9668</v>
      </c>
      <c r="E48" s="14">
        <v>1.90585063</v>
      </c>
      <c r="F48" s="16">
        <v>0.18255666000000001</v>
      </c>
      <c r="G48" s="14">
        <v>14.974082859999999</v>
      </c>
      <c r="H48" s="16">
        <v>0.40756103999999999</v>
      </c>
      <c r="I48" s="14">
        <v>7.2354730299999996</v>
      </c>
      <c r="J48" s="16">
        <v>0.30947872999999998</v>
      </c>
      <c r="K48" s="14">
        <v>0</v>
      </c>
      <c r="L48" s="16">
        <v>0</v>
      </c>
      <c r="M48" s="14" t="s">
        <v>51</v>
      </c>
      <c r="N48" s="16" t="s">
        <v>51</v>
      </c>
      <c r="O48" s="14">
        <v>75.884593480000007</v>
      </c>
      <c r="P48" s="16">
        <v>0.36487966999999999</v>
      </c>
      <c r="Q48" s="14">
        <v>0</v>
      </c>
      <c r="R48" s="16">
        <v>0</v>
      </c>
      <c r="S48" s="14">
        <v>0</v>
      </c>
      <c r="T48" s="16">
        <v>0</v>
      </c>
    </row>
    <row r="49" spans="1:20"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c r="S49" s="17" t="s">
        <v>53</v>
      </c>
      <c r="T49" s="18" t="s">
        <v>53</v>
      </c>
    </row>
    <row r="50" spans="1:20"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c r="S50" s="17" t="s">
        <v>53</v>
      </c>
      <c r="T50" s="18" t="s">
        <v>53</v>
      </c>
    </row>
    <row r="51" spans="1:20"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c r="S51" s="17" t="s">
        <v>53</v>
      </c>
      <c r="T51" s="18" t="s">
        <v>53</v>
      </c>
    </row>
    <row r="52" spans="1:20"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c r="S52" s="17" t="s">
        <v>53</v>
      </c>
      <c r="T52" s="18" t="s">
        <v>53</v>
      </c>
    </row>
    <row r="53" spans="1:20"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c r="S53" s="17" t="s">
        <v>53</v>
      </c>
      <c r="T53" s="18" t="s">
        <v>53</v>
      </c>
    </row>
    <row r="54" spans="1:20"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c r="S54" s="17" t="s">
        <v>53</v>
      </c>
      <c r="T54" s="18" t="s">
        <v>53</v>
      </c>
    </row>
    <row r="55" spans="1:20"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c r="S55" s="17" t="s">
        <v>53</v>
      </c>
      <c r="T55" s="18" t="s">
        <v>53</v>
      </c>
    </row>
    <row r="56" spans="1:20"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c r="S56" s="17" t="s">
        <v>53</v>
      </c>
      <c r="T56" s="18" t="s">
        <v>53</v>
      </c>
    </row>
    <row r="57" spans="1:20"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c r="S57" s="17" t="s">
        <v>53</v>
      </c>
      <c r="T57" s="18" t="s">
        <v>53</v>
      </c>
    </row>
    <row r="58" spans="1:20"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c r="S58" s="17" t="s">
        <v>53</v>
      </c>
      <c r="T58" s="18" t="s">
        <v>53</v>
      </c>
    </row>
    <row r="59" spans="1:20"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c r="S59" s="17" t="s">
        <v>53</v>
      </c>
      <c r="T59" s="18" t="s">
        <v>53</v>
      </c>
    </row>
    <row r="60" spans="1:20"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c r="S60" s="17" t="s">
        <v>53</v>
      </c>
      <c r="T60" s="18" t="s">
        <v>53</v>
      </c>
    </row>
    <row r="61" spans="1:20" x14ac:dyDescent="0.25">
      <c r="A61" s="11" t="s">
        <v>104</v>
      </c>
      <c r="B61" s="13">
        <v>6525</v>
      </c>
      <c r="C61" s="14">
        <f>(205/B61*100)</f>
        <v>3.1417624521072796</v>
      </c>
      <c r="D61" s="15">
        <v>6320</v>
      </c>
      <c r="E61" s="14">
        <v>3.27920488</v>
      </c>
      <c r="F61" s="16">
        <v>0.23615125000000001</v>
      </c>
      <c r="G61" s="14">
        <v>16.243612299999999</v>
      </c>
      <c r="H61" s="16">
        <v>0.42852330999999999</v>
      </c>
      <c r="I61" s="14">
        <v>4.6697691700000004</v>
      </c>
      <c r="J61" s="16">
        <v>0.29622693</v>
      </c>
      <c r="K61" s="14">
        <v>0</v>
      </c>
      <c r="L61" s="16">
        <v>0</v>
      </c>
      <c r="M61" s="14" t="s">
        <v>51</v>
      </c>
      <c r="N61" s="16" t="s">
        <v>51</v>
      </c>
      <c r="O61" s="14">
        <v>75.807413650000001</v>
      </c>
      <c r="P61" s="16">
        <v>0.42875827</v>
      </c>
      <c r="Q61" s="14">
        <v>0</v>
      </c>
      <c r="R61" s="16">
        <v>0</v>
      </c>
      <c r="S61" s="14">
        <v>0</v>
      </c>
      <c r="T61" s="16">
        <v>0</v>
      </c>
    </row>
    <row r="62" spans="1:20"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c r="S62" s="17" t="s">
        <v>53</v>
      </c>
      <c r="T62" s="18" t="s">
        <v>53</v>
      </c>
    </row>
    <row r="63" spans="1:20"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c r="S63" s="17" t="s">
        <v>53</v>
      </c>
      <c r="T63" s="18" t="s">
        <v>53</v>
      </c>
    </row>
    <row r="64" spans="1:20"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c r="S64" s="17" t="s">
        <v>53</v>
      </c>
      <c r="T64" s="18" t="s">
        <v>53</v>
      </c>
    </row>
    <row r="65" spans="1:20"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c r="S65" s="17" t="s">
        <v>53</v>
      </c>
      <c r="T65" s="18" t="s">
        <v>53</v>
      </c>
    </row>
    <row r="66" spans="1:20"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c r="S66" s="17" t="s">
        <v>53</v>
      </c>
      <c r="T66" s="18" t="s">
        <v>53</v>
      </c>
    </row>
    <row r="67" spans="1:20" x14ac:dyDescent="0.25">
      <c r="A67" s="11" t="s">
        <v>110</v>
      </c>
      <c r="B67" s="13">
        <v>6971</v>
      </c>
      <c r="C67" s="14">
        <f>(877/B67*100)</f>
        <v>12.580691435948932</v>
      </c>
      <c r="D67" s="15">
        <v>6094</v>
      </c>
      <c r="E67" s="14">
        <v>1.3501650599999999</v>
      </c>
      <c r="F67" s="16">
        <v>0.17423259999999999</v>
      </c>
      <c r="G67" s="14">
        <v>12.77742797</v>
      </c>
      <c r="H67" s="16">
        <v>0.51890241999999998</v>
      </c>
      <c r="I67" s="14">
        <v>1.16674703</v>
      </c>
      <c r="J67" s="16">
        <v>0.13303922000000001</v>
      </c>
      <c r="K67" s="14">
        <v>0</v>
      </c>
      <c r="L67" s="16">
        <v>0</v>
      </c>
      <c r="M67" s="14" t="s">
        <v>51</v>
      </c>
      <c r="N67" s="16" t="s">
        <v>51</v>
      </c>
      <c r="O67" s="14">
        <v>84.705659940000004</v>
      </c>
      <c r="P67" s="16">
        <v>0.58235554</v>
      </c>
      <c r="Q67" s="14">
        <v>0</v>
      </c>
      <c r="R67" s="16">
        <v>0</v>
      </c>
      <c r="S67" s="14">
        <v>0</v>
      </c>
      <c r="T67" s="16">
        <v>0</v>
      </c>
    </row>
    <row r="68" spans="1:20"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c r="S68" s="17" t="s">
        <v>53</v>
      </c>
      <c r="T68" s="18" t="s">
        <v>53</v>
      </c>
    </row>
    <row r="69" spans="1:20"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c r="S69" s="17" t="s">
        <v>53</v>
      </c>
      <c r="T69" s="18" t="s">
        <v>53</v>
      </c>
    </row>
    <row r="70" spans="1:20" x14ac:dyDescent="0.25">
      <c r="A70" s="11" t="s">
        <v>113</v>
      </c>
      <c r="B70" s="13">
        <v>6036</v>
      </c>
      <c r="C70" s="14">
        <f>(434/B70*100)</f>
        <v>7.1901921802518229</v>
      </c>
      <c r="D70" s="15">
        <v>5602</v>
      </c>
      <c r="E70" s="14">
        <v>7.6481004800000001</v>
      </c>
      <c r="F70" s="16">
        <v>0.44707126000000003</v>
      </c>
      <c r="G70" s="14">
        <v>11.936995400000001</v>
      </c>
      <c r="H70" s="16">
        <v>0.43160688000000003</v>
      </c>
      <c r="I70" s="14">
        <v>0.29691018000000002</v>
      </c>
      <c r="J70" s="16">
        <v>7.4027689999999993E-2</v>
      </c>
      <c r="K70" s="14">
        <v>0</v>
      </c>
      <c r="L70" s="16">
        <v>0</v>
      </c>
      <c r="M70" s="14" t="s">
        <v>51</v>
      </c>
      <c r="N70" s="16" t="s">
        <v>51</v>
      </c>
      <c r="O70" s="14">
        <v>80.117993929999997</v>
      </c>
      <c r="P70" s="16">
        <v>0.57598252999999999</v>
      </c>
      <c r="Q70" s="14">
        <v>0</v>
      </c>
      <c r="R70" s="16">
        <v>0</v>
      </c>
      <c r="S70" s="14">
        <v>0</v>
      </c>
      <c r="T70" s="16">
        <v>0</v>
      </c>
    </row>
    <row r="71" spans="1:20"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c r="S71" s="17" t="s">
        <v>53</v>
      </c>
      <c r="T71" s="18" t="s">
        <v>53</v>
      </c>
    </row>
    <row r="72" spans="1:20"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c r="S72" s="17" t="s">
        <v>53</v>
      </c>
      <c r="T72" s="18" t="s">
        <v>53</v>
      </c>
    </row>
    <row r="73" spans="1:20"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c r="S73" s="17" t="s">
        <v>53</v>
      </c>
      <c r="T73" s="18" t="s">
        <v>53</v>
      </c>
    </row>
    <row r="74" spans="1:20"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c r="S74" s="17" t="s">
        <v>53</v>
      </c>
      <c r="T74" s="18" t="s">
        <v>53</v>
      </c>
    </row>
    <row r="75" spans="1:20"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c r="S75" s="17" t="s">
        <v>53</v>
      </c>
      <c r="T75" s="18" t="s">
        <v>53</v>
      </c>
    </row>
    <row r="76" spans="1:20"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c r="S76" s="17" t="s">
        <v>53</v>
      </c>
      <c r="T76" s="18" t="s">
        <v>53</v>
      </c>
    </row>
    <row r="77" spans="1:20"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c r="S77" s="17" t="s">
        <v>53</v>
      </c>
      <c r="T77" s="18" t="s">
        <v>53</v>
      </c>
    </row>
    <row r="78" spans="1:20"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c r="S78" s="17" t="s">
        <v>53</v>
      </c>
      <c r="T78" s="18" t="s">
        <v>53</v>
      </c>
    </row>
    <row r="79" spans="1:20"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c r="S79" s="17" t="s">
        <v>53</v>
      </c>
      <c r="T79" s="18" t="s">
        <v>53</v>
      </c>
    </row>
    <row r="80" spans="1:20"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c r="S80" s="17" t="s">
        <v>53</v>
      </c>
      <c r="T80" s="18" t="s">
        <v>53</v>
      </c>
    </row>
    <row r="81" spans="1:20"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c r="S81" s="17" t="s">
        <v>53</v>
      </c>
      <c r="T81" s="18" t="s">
        <v>53</v>
      </c>
    </row>
    <row r="82" spans="1:20"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c r="S82" s="20" t="s">
        <v>125</v>
      </c>
      <c r="T82" s="20" t="s">
        <v>125</v>
      </c>
    </row>
    <row r="83" spans="1:20" x14ac:dyDescent="0.25">
      <c r="A83" s="3" t="s">
        <v>126</v>
      </c>
    </row>
    <row r="84" spans="1:20" x14ac:dyDescent="0.25">
      <c r="A84" s="26" t="s">
        <v>127</v>
      </c>
      <c r="B84" s="24"/>
      <c r="C84" s="24"/>
      <c r="D84" s="24"/>
      <c r="E84" s="24"/>
      <c r="F84" s="24"/>
      <c r="G84" s="24"/>
      <c r="H84" s="24"/>
      <c r="I84" s="24"/>
      <c r="J84" s="24"/>
      <c r="K84" s="24"/>
      <c r="L84" s="24"/>
      <c r="M84" s="24"/>
      <c r="N84" s="24"/>
      <c r="O84" s="24"/>
      <c r="P84" s="24"/>
      <c r="Q84" s="24"/>
      <c r="R84" s="24"/>
      <c r="S84" s="24"/>
      <c r="T84" s="24"/>
    </row>
    <row r="85" spans="1:20" x14ac:dyDescent="0.25">
      <c r="A85" s="26" t="s">
        <v>128</v>
      </c>
      <c r="B85" s="24"/>
      <c r="C85" s="24"/>
      <c r="D85" s="24"/>
      <c r="E85" s="24"/>
      <c r="F85" s="24"/>
      <c r="G85" s="24"/>
      <c r="H85" s="24"/>
      <c r="I85" s="24"/>
      <c r="J85" s="24"/>
      <c r="K85" s="24"/>
      <c r="L85" s="24"/>
      <c r="M85" s="24"/>
      <c r="N85" s="24"/>
      <c r="O85" s="24"/>
      <c r="P85" s="24"/>
      <c r="Q85" s="24"/>
      <c r="R85" s="24"/>
      <c r="S85" s="24"/>
      <c r="T85" s="24"/>
    </row>
    <row r="86" spans="1:20" ht="30" customHeight="1" x14ac:dyDescent="0.25">
      <c r="A86" s="26" t="s">
        <v>129</v>
      </c>
      <c r="B86" s="24"/>
      <c r="C86" s="24"/>
      <c r="D86" s="24"/>
      <c r="E86" s="24"/>
      <c r="F86" s="24"/>
      <c r="G86" s="24"/>
      <c r="H86" s="24"/>
      <c r="I86" s="24"/>
      <c r="J86" s="24"/>
      <c r="K86" s="24"/>
      <c r="L86" s="24"/>
      <c r="M86" s="24"/>
      <c r="N86" s="24"/>
      <c r="O86" s="24"/>
      <c r="P86" s="24"/>
      <c r="Q86" s="24"/>
      <c r="R86" s="24"/>
      <c r="S86" s="24"/>
      <c r="T86" s="24"/>
    </row>
    <row r="87" spans="1:20" ht="30" customHeight="1" x14ac:dyDescent="0.25">
      <c r="A87" s="26" t="s">
        <v>125</v>
      </c>
      <c r="B87" s="24"/>
      <c r="C87" s="24"/>
      <c r="D87" s="24"/>
      <c r="E87" s="24"/>
      <c r="F87" s="24"/>
      <c r="G87" s="24"/>
      <c r="H87" s="24"/>
      <c r="I87" s="24"/>
      <c r="J87" s="24"/>
      <c r="K87" s="24"/>
      <c r="L87" s="24"/>
      <c r="M87" s="24"/>
      <c r="N87" s="24"/>
      <c r="O87" s="24"/>
      <c r="P87" s="24"/>
      <c r="Q87" s="24"/>
      <c r="R87" s="24"/>
      <c r="S87" s="24"/>
      <c r="T87" s="24"/>
    </row>
    <row r="88" spans="1:20" ht="30" customHeight="1" x14ac:dyDescent="0.25">
      <c r="A88" s="26" t="s">
        <v>130</v>
      </c>
      <c r="B88" s="24"/>
      <c r="C88" s="24"/>
      <c r="D88" s="24"/>
      <c r="E88" s="24"/>
      <c r="F88" s="24"/>
      <c r="G88" s="24"/>
      <c r="H88" s="24"/>
      <c r="I88" s="24"/>
      <c r="J88" s="24"/>
      <c r="K88" s="24"/>
      <c r="L88" s="24"/>
      <c r="M88" s="24"/>
      <c r="N88" s="24"/>
      <c r="O88" s="24"/>
      <c r="P88" s="24"/>
      <c r="Q88" s="24"/>
      <c r="R88" s="24"/>
      <c r="S88" s="24"/>
      <c r="T88" s="24"/>
    </row>
    <row r="89" spans="1:20" ht="30" customHeight="1" x14ac:dyDescent="0.25">
      <c r="A89" s="26" t="s">
        <v>131</v>
      </c>
      <c r="B89" s="24"/>
      <c r="C89" s="24"/>
      <c r="D89" s="24"/>
      <c r="E89" s="24"/>
      <c r="F89" s="24"/>
      <c r="G89" s="24"/>
      <c r="H89" s="24"/>
      <c r="I89" s="24"/>
      <c r="J89" s="24"/>
      <c r="K89" s="24"/>
      <c r="L89" s="24"/>
      <c r="M89" s="24"/>
      <c r="N89" s="24"/>
      <c r="O89" s="24"/>
      <c r="P89" s="24"/>
      <c r="Q89" s="24"/>
      <c r="R89" s="24"/>
      <c r="S89" s="24"/>
      <c r="T89" s="24"/>
    </row>
    <row r="90" spans="1:20" ht="30" customHeight="1" x14ac:dyDescent="0.25">
      <c r="A90" s="26" t="s">
        <v>132</v>
      </c>
      <c r="B90" s="24"/>
      <c r="C90" s="24"/>
      <c r="D90" s="24"/>
      <c r="E90" s="24"/>
      <c r="F90" s="24"/>
      <c r="G90" s="24"/>
      <c r="H90" s="24"/>
      <c r="I90" s="24"/>
      <c r="J90" s="24"/>
      <c r="K90" s="24"/>
      <c r="L90" s="24"/>
      <c r="M90" s="24"/>
      <c r="N90" s="24"/>
      <c r="O90" s="24"/>
      <c r="P90" s="24"/>
      <c r="Q90" s="24"/>
      <c r="R90" s="24"/>
      <c r="S90" s="24"/>
      <c r="T90" s="24"/>
    </row>
    <row r="91" spans="1:20" ht="30" customHeight="1" x14ac:dyDescent="0.25">
      <c r="A91" s="26" t="s">
        <v>133</v>
      </c>
      <c r="B91" s="24"/>
      <c r="C91" s="24"/>
      <c r="D91" s="24"/>
      <c r="E91" s="24"/>
      <c r="F91" s="24"/>
      <c r="G91" s="24"/>
      <c r="H91" s="24"/>
      <c r="I91" s="24"/>
      <c r="J91" s="24"/>
      <c r="K91" s="24"/>
      <c r="L91" s="24"/>
      <c r="M91" s="24"/>
      <c r="N91" s="24"/>
      <c r="O91" s="24"/>
      <c r="P91" s="24"/>
      <c r="Q91" s="24"/>
      <c r="R91" s="24"/>
      <c r="S91" s="24"/>
      <c r="T91" s="24"/>
    </row>
    <row r="92" spans="1:20" ht="30" customHeight="1" x14ac:dyDescent="0.25">
      <c r="A92" s="26" t="s">
        <v>134</v>
      </c>
      <c r="B92" s="24"/>
      <c r="C92" s="24"/>
      <c r="D92" s="24"/>
      <c r="E92" s="24"/>
      <c r="F92" s="24"/>
      <c r="G92" s="24"/>
      <c r="H92" s="24"/>
      <c r="I92" s="24"/>
      <c r="J92" s="24"/>
      <c r="K92" s="24"/>
      <c r="L92" s="24"/>
      <c r="M92" s="24"/>
      <c r="N92" s="24"/>
      <c r="O92" s="24"/>
      <c r="P92" s="24"/>
      <c r="Q92" s="24"/>
      <c r="R92" s="24"/>
      <c r="S92" s="24"/>
      <c r="T92" s="24"/>
    </row>
    <row r="93" spans="1:20" ht="30" customHeight="1" x14ac:dyDescent="0.25">
      <c r="A93" s="26" t="s">
        <v>135</v>
      </c>
      <c r="B93" s="24"/>
      <c r="C93" s="24"/>
      <c r="D93" s="24"/>
      <c r="E93" s="24"/>
      <c r="F93" s="24"/>
      <c r="G93" s="24"/>
      <c r="H93" s="24"/>
      <c r="I93" s="24"/>
      <c r="J93" s="24"/>
      <c r="K93" s="24"/>
      <c r="L93" s="24"/>
      <c r="M93" s="24"/>
      <c r="N93" s="24"/>
      <c r="O93" s="24"/>
      <c r="P93" s="24"/>
      <c r="Q93" s="24"/>
      <c r="R93" s="24"/>
      <c r="S93" s="24"/>
      <c r="T93" s="24"/>
    </row>
    <row r="94" spans="1:20" ht="30" customHeight="1" x14ac:dyDescent="0.25">
      <c r="A94" s="26" t="s">
        <v>136</v>
      </c>
      <c r="B94" s="24"/>
      <c r="C94" s="24"/>
      <c r="D94" s="24"/>
      <c r="E94" s="24"/>
      <c r="F94" s="24"/>
      <c r="G94" s="24"/>
      <c r="H94" s="24"/>
      <c r="I94" s="24"/>
      <c r="J94" s="24"/>
      <c r="K94" s="24"/>
      <c r="L94" s="24"/>
      <c r="M94" s="24"/>
      <c r="N94" s="24"/>
      <c r="O94" s="24"/>
      <c r="P94" s="24"/>
      <c r="Q94" s="24"/>
      <c r="R94" s="24"/>
      <c r="S94" s="24"/>
      <c r="T94" s="24"/>
    </row>
    <row r="95" spans="1:20" ht="30" customHeight="1" x14ac:dyDescent="0.25">
      <c r="A95" s="26" t="s">
        <v>137</v>
      </c>
      <c r="B95" s="24"/>
      <c r="C95" s="24"/>
      <c r="D95" s="24"/>
      <c r="E95" s="24"/>
      <c r="F95" s="24"/>
      <c r="G95" s="24"/>
      <c r="H95" s="24"/>
      <c r="I95" s="24"/>
      <c r="J95" s="24"/>
      <c r="K95" s="24"/>
      <c r="L95" s="24"/>
      <c r="M95" s="24"/>
      <c r="N95" s="24"/>
      <c r="O95" s="24"/>
      <c r="P95" s="24"/>
      <c r="Q95" s="24"/>
      <c r="R95" s="24"/>
      <c r="S95" s="24"/>
      <c r="T95" s="24"/>
    </row>
    <row r="96" spans="1:20" ht="30" customHeight="1" x14ac:dyDescent="0.25">
      <c r="A96" s="26" t="s">
        <v>138</v>
      </c>
      <c r="B96" s="24"/>
      <c r="C96" s="24"/>
      <c r="D96" s="24"/>
      <c r="E96" s="24"/>
      <c r="F96" s="24"/>
      <c r="G96" s="24"/>
      <c r="H96" s="24"/>
      <c r="I96" s="24"/>
      <c r="J96" s="24"/>
      <c r="K96" s="24"/>
      <c r="L96" s="24"/>
      <c r="M96" s="24"/>
      <c r="N96" s="24"/>
      <c r="O96" s="24"/>
      <c r="P96" s="24"/>
      <c r="Q96" s="24"/>
      <c r="R96" s="24"/>
      <c r="S96" s="24"/>
      <c r="T96" s="24"/>
    </row>
    <row r="97" spans="1:1" ht="30" customHeight="1" x14ac:dyDescent="0.25">
      <c r="A97" s="27" t="s">
        <v>171</v>
      </c>
    </row>
  </sheetData>
  <mergeCells count="23">
    <mergeCell ref="A94:T94"/>
    <mergeCell ref="A95:T95"/>
    <mergeCell ref="A96:T96"/>
    <mergeCell ref="A89:T89"/>
    <mergeCell ref="A90:T90"/>
    <mergeCell ref="A91:T91"/>
    <mergeCell ref="A92:T92"/>
    <mergeCell ref="A93:T93"/>
    <mergeCell ref="A84:T84"/>
    <mergeCell ref="A85:T85"/>
    <mergeCell ref="A86:T86"/>
    <mergeCell ref="A87:T87"/>
    <mergeCell ref="A88:T88"/>
    <mergeCell ref="O4:P4"/>
    <mergeCell ref="Q4:R4"/>
    <mergeCell ref="S4:T4"/>
    <mergeCell ref="A1:T1"/>
    <mergeCell ref="A2:T2"/>
    <mergeCell ref="E4:F4"/>
    <mergeCell ref="G4:H4"/>
    <mergeCell ref="I4:J4"/>
    <mergeCell ref="K4:L4"/>
    <mergeCell ref="M4:N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
  <sheetViews>
    <sheetView tabSelected="1"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18" x14ac:dyDescent="0.25">
      <c r="A1" s="23" t="s">
        <v>33</v>
      </c>
      <c r="B1" s="24"/>
      <c r="C1" s="24"/>
      <c r="D1" s="24"/>
      <c r="E1" s="24"/>
      <c r="F1" s="24"/>
      <c r="G1" s="24"/>
      <c r="H1" s="24"/>
      <c r="I1" s="24"/>
      <c r="J1" s="24"/>
      <c r="K1" s="24"/>
      <c r="L1" s="24"/>
      <c r="M1" s="24"/>
      <c r="N1" s="24"/>
      <c r="O1" s="24"/>
      <c r="P1" s="24"/>
      <c r="Q1" s="24"/>
      <c r="R1" s="24"/>
    </row>
    <row r="2" spans="1:18" x14ac:dyDescent="0.25">
      <c r="A2" s="25" t="s">
        <v>34</v>
      </c>
      <c r="B2" s="24"/>
      <c r="C2" s="24"/>
      <c r="D2" s="24"/>
      <c r="E2" s="24"/>
      <c r="F2" s="24"/>
      <c r="G2" s="24"/>
      <c r="H2" s="24"/>
      <c r="I2" s="24"/>
      <c r="J2" s="24"/>
      <c r="K2" s="24"/>
      <c r="L2" s="24"/>
      <c r="M2" s="24"/>
      <c r="N2" s="24"/>
      <c r="O2" s="24"/>
      <c r="P2" s="24"/>
      <c r="Q2" s="24"/>
      <c r="R2" s="24"/>
    </row>
    <row r="4" spans="1:18" ht="30" customHeight="1" x14ac:dyDescent="0.25">
      <c r="A4" s="4"/>
      <c r="B4" s="5" t="s">
        <v>35</v>
      </c>
      <c r="C4" s="5" t="s">
        <v>36</v>
      </c>
      <c r="D4" s="6" t="s">
        <v>35</v>
      </c>
      <c r="E4" s="21" t="s">
        <v>37</v>
      </c>
      <c r="F4" s="22"/>
      <c r="G4" s="21" t="s">
        <v>38</v>
      </c>
      <c r="H4" s="22"/>
      <c r="I4" s="21" t="s">
        <v>39</v>
      </c>
      <c r="J4" s="22"/>
      <c r="K4" s="21" t="s">
        <v>40</v>
      </c>
      <c r="L4" s="22"/>
      <c r="M4" s="21" t="s">
        <v>41</v>
      </c>
      <c r="N4" s="22"/>
      <c r="O4" s="21" t="s">
        <v>42</v>
      </c>
      <c r="P4" s="22"/>
      <c r="Q4" s="21" t="s">
        <v>43</v>
      </c>
      <c r="R4" s="22"/>
    </row>
    <row r="5" spans="1:18"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row>
    <row r="6" spans="1:18" x14ac:dyDescent="0.25">
      <c r="A6" s="9" t="s">
        <v>49</v>
      </c>
      <c r="B6" s="10"/>
      <c r="C6" s="10"/>
      <c r="D6" s="11"/>
      <c r="E6" s="10"/>
      <c r="F6" s="11"/>
      <c r="G6" s="10"/>
      <c r="H6" s="11"/>
      <c r="I6" s="10"/>
      <c r="J6" s="11"/>
      <c r="K6" s="10"/>
      <c r="L6" s="11"/>
      <c r="M6" s="10"/>
      <c r="N6" s="11"/>
      <c r="O6" s="10"/>
      <c r="P6" s="11"/>
      <c r="Q6" s="10"/>
      <c r="R6" s="12"/>
    </row>
    <row r="7" spans="1:18" x14ac:dyDescent="0.25">
      <c r="A7" s="11" t="s">
        <v>50</v>
      </c>
      <c r="B7" s="13">
        <v>14530</v>
      </c>
      <c r="C7" s="14">
        <f>(3465/B7*100)</f>
        <v>23.847212663454918</v>
      </c>
      <c r="D7" s="15">
        <v>11065</v>
      </c>
      <c r="E7" s="14">
        <v>46.832446640000001</v>
      </c>
      <c r="F7" s="16">
        <v>0.65788491000000004</v>
      </c>
      <c r="G7" s="14">
        <v>53.167553359999999</v>
      </c>
      <c r="H7" s="16">
        <v>0.65788491000000004</v>
      </c>
      <c r="I7" s="14">
        <v>0</v>
      </c>
      <c r="J7" s="16">
        <v>0</v>
      </c>
      <c r="K7" s="14" t="s">
        <v>51</v>
      </c>
      <c r="L7" s="16" t="s">
        <v>51</v>
      </c>
      <c r="M7" s="14">
        <v>0</v>
      </c>
      <c r="N7" s="16">
        <v>0</v>
      </c>
      <c r="O7" s="14">
        <v>0</v>
      </c>
      <c r="P7" s="16">
        <v>0</v>
      </c>
      <c r="Q7" s="14">
        <v>0</v>
      </c>
      <c r="R7" s="16">
        <v>0</v>
      </c>
    </row>
    <row r="8" spans="1:18"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row>
    <row r="9" spans="1:18" x14ac:dyDescent="0.25">
      <c r="A9" s="11" t="s">
        <v>172</v>
      </c>
      <c r="B9" s="13">
        <v>5675</v>
      </c>
      <c r="C9" s="14">
        <f>(347/B9*100)</f>
        <v>6.1145374449339212</v>
      </c>
      <c r="D9" s="15">
        <v>5328</v>
      </c>
      <c r="E9" s="14">
        <v>9.3687106599999996</v>
      </c>
      <c r="F9" s="16">
        <v>0.39405209000000002</v>
      </c>
      <c r="G9" s="14">
        <v>10.582118400000001</v>
      </c>
      <c r="H9" s="16">
        <v>0.49657781000000001</v>
      </c>
      <c r="I9" s="14">
        <v>0</v>
      </c>
      <c r="J9" s="16">
        <v>0</v>
      </c>
      <c r="K9" s="14" t="s">
        <v>51</v>
      </c>
      <c r="L9" s="16" t="s">
        <v>51</v>
      </c>
      <c r="M9" s="14">
        <v>80.049170939999996</v>
      </c>
      <c r="N9" s="16">
        <v>0.55934967000000002</v>
      </c>
      <c r="O9" s="14">
        <v>0</v>
      </c>
      <c r="P9" s="16">
        <v>0</v>
      </c>
      <c r="Q9" s="14">
        <v>0</v>
      </c>
      <c r="R9" s="16">
        <v>0</v>
      </c>
    </row>
    <row r="10" spans="1:18" x14ac:dyDescent="0.25">
      <c r="A10" s="11" t="s">
        <v>173</v>
      </c>
      <c r="B10" s="13">
        <v>13082</v>
      </c>
      <c r="C10" s="14">
        <f>(309/B10*100)</f>
        <v>2.3620241553279313</v>
      </c>
      <c r="D10" s="15">
        <v>12773</v>
      </c>
      <c r="E10" s="14">
        <v>8.9703833199999998</v>
      </c>
      <c r="F10" s="16">
        <v>0.35964016999999998</v>
      </c>
      <c r="G10" s="14">
        <v>15.61117297</v>
      </c>
      <c r="H10" s="16">
        <v>0.44484357000000002</v>
      </c>
      <c r="I10" s="14">
        <v>0</v>
      </c>
      <c r="J10" s="16">
        <v>0</v>
      </c>
      <c r="K10" s="14" t="s">
        <v>51</v>
      </c>
      <c r="L10" s="16" t="s">
        <v>51</v>
      </c>
      <c r="M10" s="14">
        <v>75.418443710000005</v>
      </c>
      <c r="N10" s="16">
        <v>0.35152153000000003</v>
      </c>
      <c r="O10" s="14">
        <v>0</v>
      </c>
      <c r="P10" s="16">
        <v>0</v>
      </c>
      <c r="Q10" s="14">
        <v>0</v>
      </c>
      <c r="R10" s="16">
        <v>0</v>
      </c>
    </row>
    <row r="11" spans="1:18" x14ac:dyDescent="0.25">
      <c r="A11" s="11" t="s">
        <v>54</v>
      </c>
      <c r="B11" s="13">
        <v>7053</v>
      </c>
      <c r="C11" s="14">
        <f>(257/B11*100)</f>
        <v>3.6438395009215938</v>
      </c>
      <c r="D11" s="15">
        <v>6796</v>
      </c>
      <c r="E11" s="14">
        <v>6.0338536100000004</v>
      </c>
      <c r="F11" s="16">
        <v>0.35724314000000001</v>
      </c>
      <c r="G11" s="14">
        <v>16.561829509999999</v>
      </c>
      <c r="H11" s="16">
        <v>0.47215902999999998</v>
      </c>
      <c r="I11" s="14">
        <v>0</v>
      </c>
      <c r="J11" s="16">
        <v>0</v>
      </c>
      <c r="K11" s="14" t="s">
        <v>51</v>
      </c>
      <c r="L11" s="16" t="s">
        <v>51</v>
      </c>
      <c r="M11" s="14">
        <v>77.404316890000004</v>
      </c>
      <c r="N11" s="16">
        <v>0.37238768</v>
      </c>
      <c r="O11" s="14">
        <v>0</v>
      </c>
      <c r="P11" s="16">
        <v>0</v>
      </c>
      <c r="Q11" s="14">
        <v>0</v>
      </c>
      <c r="R11" s="16">
        <v>0</v>
      </c>
    </row>
    <row r="12" spans="1:18"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row>
    <row r="13" spans="1:18"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row>
    <row r="14" spans="1:18"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row>
    <row r="15" spans="1:18"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row>
    <row r="16" spans="1:18"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row>
    <row r="17" spans="1:18"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row>
    <row r="18" spans="1:18"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row>
    <row r="19" spans="1:18"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row>
    <row r="20" spans="1:18"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row>
    <row r="21" spans="1:18"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row>
    <row r="22" spans="1:18"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row>
    <row r="23" spans="1:18" x14ac:dyDescent="0.25">
      <c r="A23" s="11" t="s">
        <v>66</v>
      </c>
      <c r="B23" s="13">
        <v>11583</v>
      </c>
      <c r="C23" s="14">
        <f>(662/B23*100)</f>
        <v>5.715272381939049</v>
      </c>
      <c r="D23" s="15">
        <v>10921</v>
      </c>
      <c r="E23" s="14">
        <v>4.2231364999999998</v>
      </c>
      <c r="F23" s="16">
        <v>0.31722288999999998</v>
      </c>
      <c r="G23" s="14">
        <v>17.747741990000002</v>
      </c>
      <c r="H23" s="16">
        <v>0.39668147999999998</v>
      </c>
      <c r="I23" s="14">
        <v>0</v>
      </c>
      <c r="J23" s="16">
        <v>0</v>
      </c>
      <c r="K23" s="14" t="s">
        <v>51</v>
      </c>
      <c r="L23" s="16" t="s">
        <v>51</v>
      </c>
      <c r="M23" s="14">
        <v>78.029121509999996</v>
      </c>
      <c r="N23" s="16">
        <v>0.35848058999999999</v>
      </c>
      <c r="O23" s="14">
        <v>0</v>
      </c>
      <c r="P23" s="16">
        <v>0</v>
      </c>
      <c r="Q23" s="14">
        <v>0</v>
      </c>
      <c r="R23" s="16">
        <v>0</v>
      </c>
    </row>
    <row r="24" spans="1:18"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row>
    <row r="25" spans="1:18"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row>
    <row r="26" spans="1:18"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row>
    <row r="27" spans="1:18"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row>
    <row r="28" spans="1:18"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row>
    <row r="29" spans="1:18" x14ac:dyDescent="0.25">
      <c r="A29" s="11" t="s">
        <v>72</v>
      </c>
      <c r="B29" s="13">
        <v>5385</v>
      </c>
      <c r="C29" s="14">
        <f>(55/B29*100)</f>
        <v>1.021355617455896</v>
      </c>
      <c r="D29" s="15">
        <v>5330</v>
      </c>
      <c r="E29" s="14">
        <v>17.751551429999999</v>
      </c>
      <c r="F29" s="16">
        <v>0.39856037</v>
      </c>
      <c r="G29" s="14">
        <v>6.9101412599999996</v>
      </c>
      <c r="H29" s="16">
        <v>0.35487406999999999</v>
      </c>
      <c r="I29" s="14">
        <v>0</v>
      </c>
      <c r="J29" s="16">
        <v>0</v>
      </c>
      <c r="K29" s="14" t="s">
        <v>51</v>
      </c>
      <c r="L29" s="16" t="s">
        <v>51</v>
      </c>
      <c r="M29" s="14">
        <v>75.338307319999998</v>
      </c>
      <c r="N29" s="16">
        <v>0.29973831000000001</v>
      </c>
      <c r="O29" s="14">
        <v>0</v>
      </c>
      <c r="P29" s="16">
        <v>0</v>
      </c>
      <c r="Q29" s="14">
        <v>0</v>
      </c>
      <c r="R29" s="16">
        <v>0</v>
      </c>
    </row>
    <row r="30" spans="1:18"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row>
    <row r="31" spans="1:18"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row>
    <row r="32" spans="1:18" x14ac:dyDescent="0.25">
      <c r="A32" s="11" t="s">
        <v>75</v>
      </c>
      <c r="B32" s="13">
        <v>4478</v>
      </c>
      <c r="C32" s="14">
        <f>(80/B32*100)</f>
        <v>1.7865118356409111</v>
      </c>
      <c r="D32" s="15">
        <v>4398</v>
      </c>
      <c r="E32" s="14">
        <v>10.89580729</v>
      </c>
      <c r="F32" s="16">
        <v>0.50835061000000004</v>
      </c>
      <c r="G32" s="14">
        <v>26.84751189</v>
      </c>
      <c r="H32" s="16">
        <v>0.54051632000000005</v>
      </c>
      <c r="I32" s="14">
        <v>0</v>
      </c>
      <c r="J32" s="16">
        <v>0</v>
      </c>
      <c r="K32" s="14" t="s">
        <v>51</v>
      </c>
      <c r="L32" s="16" t="s">
        <v>51</v>
      </c>
      <c r="M32" s="14">
        <v>62.25668082</v>
      </c>
      <c r="N32" s="16">
        <v>0.34554716000000002</v>
      </c>
      <c r="O32" s="14">
        <v>0</v>
      </c>
      <c r="P32" s="16">
        <v>0</v>
      </c>
      <c r="Q32" s="14">
        <v>0</v>
      </c>
      <c r="R32" s="16">
        <v>0</v>
      </c>
    </row>
    <row r="33" spans="1:18"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row>
    <row r="34" spans="1:18" x14ac:dyDescent="0.25">
      <c r="A34" s="11" t="s">
        <v>77</v>
      </c>
      <c r="B34" s="13">
        <v>6350</v>
      </c>
      <c r="C34" s="14">
        <f>(292/B34*100)</f>
        <v>4.5984251968503935</v>
      </c>
      <c r="D34" s="15">
        <v>6058</v>
      </c>
      <c r="E34" s="14">
        <v>10.038235390000001</v>
      </c>
      <c r="F34" s="16">
        <v>0.32466126000000001</v>
      </c>
      <c r="G34" s="14">
        <v>11.80199524</v>
      </c>
      <c r="H34" s="16">
        <v>0.39211779000000002</v>
      </c>
      <c r="I34" s="14">
        <v>0</v>
      </c>
      <c r="J34" s="16">
        <v>0</v>
      </c>
      <c r="K34" s="14" t="s">
        <v>51</v>
      </c>
      <c r="L34" s="16" t="s">
        <v>51</v>
      </c>
      <c r="M34" s="14">
        <v>78.159769370000006</v>
      </c>
      <c r="N34" s="16">
        <v>0.39270959</v>
      </c>
      <c r="O34" s="14">
        <v>0</v>
      </c>
      <c r="P34" s="16">
        <v>0</v>
      </c>
      <c r="Q34" s="14">
        <v>0</v>
      </c>
      <c r="R34" s="16">
        <v>0</v>
      </c>
    </row>
    <row r="35" spans="1:18"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row>
    <row r="36" spans="1:18" x14ac:dyDescent="0.25">
      <c r="A36" s="11" t="s">
        <v>79</v>
      </c>
      <c r="B36" s="13">
        <v>6736</v>
      </c>
      <c r="C36" s="14">
        <f>(205/B36*100)</f>
        <v>3.0433491686460807</v>
      </c>
      <c r="D36" s="15">
        <v>6531</v>
      </c>
      <c r="E36" s="14">
        <v>6.8669472999999996</v>
      </c>
      <c r="F36" s="16">
        <v>0.32416731999999998</v>
      </c>
      <c r="G36" s="14">
        <v>16.902385649999999</v>
      </c>
      <c r="H36" s="16">
        <v>0.37206553999999997</v>
      </c>
      <c r="I36" s="14">
        <v>0</v>
      </c>
      <c r="J36" s="16">
        <v>0</v>
      </c>
      <c r="K36" s="14" t="s">
        <v>51</v>
      </c>
      <c r="L36" s="16" t="s">
        <v>51</v>
      </c>
      <c r="M36" s="14">
        <v>76.23066704</v>
      </c>
      <c r="N36" s="16">
        <v>0.25664426000000001</v>
      </c>
      <c r="O36" s="14">
        <v>0</v>
      </c>
      <c r="P36" s="16">
        <v>0</v>
      </c>
      <c r="Q36" s="14">
        <v>0</v>
      </c>
      <c r="R36" s="16">
        <v>0</v>
      </c>
    </row>
    <row r="37" spans="1:18"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row>
    <row r="38" spans="1:18"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row>
    <row r="39" spans="1:18"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row>
    <row r="40" spans="1:18"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row>
    <row r="41" spans="1:18" x14ac:dyDescent="0.25">
      <c r="A41" s="11" t="s">
        <v>84</v>
      </c>
      <c r="B41" s="13">
        <v>5712</v>
      </c>
      <c r="C41" s="14">
        <f>(161/B41*100)</f>
        <v>2.8186274509803924</v>
      </c>
      <c r="D41" s="15">
        <v>5551</v>
      </c>
      <c r="E41" s="14">
        <v>9.8592515800000005</v>
      </c>
      <c r="F41" s="16">
        <v>0.45883285000000001</v>
      </c>
      <c r="G41" s="14">
        <v>14.04099358</v>
      </c>
      <c r="H41" s="16">
        <v>0.48796286999999999</v>
      </c>
      <c r="I41" s="14">
        <v>0</v>
      </c>
      <c r="J41" s="16">
        <v>0</v>
      </c>
      <c r="K41" s="14" t="s">
        <v>51</v>
      </c>
      <c r="L41" s="16" t="s">
        <v>51</v>
      </c>
      <c r="M41" s="14">
        <v>76.099754840000003</v>
      </c>
      <c r="N41" s="16">
        <v>0.35531742999999999</v>
      </c>
      <c r="O41" s="14">
        <v>0</v>
      </c>
      <c r="P41" s="16">
        <v>0</v>
      </c>
      <c r="Q41" s="14">
        <v>0</v>
      </c>
      <c r="R41" s="16">
        <v>0</v>
      </c>
    </row>
    <row r="42" spans="1:18" x14ac:dyDescent="0.25">
      <c r="A42" s="11" t="s">
        <v>85</v>
      </c>
      <c r="B42" s="13">
        <f>IF(COUNT(B7:B41) &gt; 0, AVERAGE(B7:B41), "\u2014")</f>
        <v>8058.4</v>
      </c>
      <c r="C42" s="14">
        <f>IF(COUNT(C7:C41) &gt; 0, AVERAGE(C7:C41), "—")</f>
        <v>5.4951155416151085</v>
      </c>
      <c r="D42" s="15">
        <f>IF(COUNT(D7:D41) &gt; 0, AVERAGE(D7:D41), "—")</f>
        <v>7475.1</v>
      </c>
      <c r="E42" s="14">
        <f>IF(COUNT(E7:E41) &gt; 0, AVERAGE(E7:E41), "—")</f>
        <v>13.084032371999999</v>
      </c>
      <c r="F42" s="16">
        <f>IF(COUNT(F7:F41) &gt; 0, SQRT(SUMSQ(F7:F41)/(COUNT(F7:F41)*COUNT(F7:F41)) ), "—")</f>
        <v>0.13356539072287846</v>
      </c>
      <c r="G42" s="14">
        <f>IF(COUNT(G7:G41) &gt; 0, AVERAGE(G7:G41), "—")</f>
        <v>19.017344384999998</v>
      </c>
      <c r="H42" s="16">
        <f>IF(COUNT(H7:H41) &gt; 0, SQRT(SUMSQ(H7:H41)/(COUNT(H7:H41)*COUNT(H7:H41)) ), "—")</f>
        <v>0.14852503531995204</v>
      </c>
      <c r="I42" s="14">
        <f>IF(COUNT(I7:I41) &gt; 0, AVERAGE(I7:I41), "—")</f>
        <v>0</v>
      </c>
      <c r="J42" s="16">
        <f>IF(COUNT(J7:J41) &gt; 0, SQRT(SUMSQ(J7:J41)/(COUNT(J7:J41)*COUNT(J7:J41)) ), "—")</f>
        <v>0</v>
      </c>
      <c r="K42" s="14" t="str">
        <f>IF(COUNT(K7:K41) &gt; 0, AVERAGE(K7:K41), "—")</f>
        <v>—</v>
      </c>
      <c r="L42" s="16" t="str">
        <f>IF(COUNT(L7:L41) &gt; 0, SQRT(SUMSQ(L7:L41)/(COUNT(L7:L41)*COUNT(L7:L41)) ), "—")</f>
        <v>—</v>
      </c>
      <c r="M42" s="14">
        <f>IF(COUNT(M7:M41) &gt; 0, AVERAGE(M7:M41), "—")</f>
        <v>67.898623243999992</v>
      </c>
      <c r="N42" s="16">
        <f>IF(COUNT(N7:N41) &gt; 0, SQRT(SUMSQ(N7:N41)/(COUNT(N7:N41)*COUNT(N7:N41)) ), "—")</f>
        <v>0.11221425157267782</v>
      </c>
      <c r="O42" s="14">
        <f>IF(COUNT(O7:O41) &gt; 0, AVERAGE(O7:O41), "—")</f>
        <v>0</v>
      </c>
      <c r="P42" s="16">
        <f>IF(COUNT(P7:P41) &gt; 0, SQRT(SUMSQ(P7:P41)/(COUNT(P7:P41)*COUNT(P7:P41)) ), "—")</f>
        <v>0</v>
      </c>
      <c r="Q42" s="14">
        <f>IF(COUNT(Q7:Q41) &gt; 0, AVERAGE(Q7:Q41), "—")</f>
        <v>0</v>
      </c>
      <c r="R42" s="16">
        <f>IF(COUNT(R7:R41) &gt; 0, SQRT(SUMSQ(R7:R41)/(COUNT(R7:R41)*COUNT(R7:R41)) ), "—")</f>
        <v>0</v>
      </c>
    </row>
    <row r="43" spans="1:18" x14ac:dyDescent="0.25">
      <c r="A43" s="9" t="s">
        <v>86</v>
      </c>
      <c r="B43" s="10"/>
      <c r="C43" s="10"/>
      <c r="D43" s="11"/>
      <c r="E43" s="10"/>
      <c r="F43" s="11"/>
      <c r="G43" s="10"/>
      <c r="H43" s="11"/>
      <c r="I43" s="10"/>
      <c r="J43" s="11"/>
      <c r="K43" s="10"/>
      <c r="L43" s="11"/>
      <c r="M43" s="10"/>
      <c r="N43" s="11"/>
      <c r="O43" s="10"/>
      <c r="P43" s="11"/>
      <c r="Q43" s="10"/>
      <c r="R43" s="12"/>
    </row>
    <row r="44" spans="1:18"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row>
    <row r="45" spans="1:18"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row>
    <row r="46" spans="1:18" x14ac:dyDescent="0.25">
      <c r="A46" s="11" t="s">
        <v>89</v>
      </c>
      <c r="B46" s="13">
        <v>23141</v>
      </c>
      <c r="C46" s="14">
        <f>(3837/B46*100)</f>
        <v>16.580960200509917</v>
      </c>
      <c r="D46" s="15">
        <v>19304</v>
      </c>
      <c r="E46" s="14">
        <v>4.6474670400000004</v>
      </c>
      <c r="F46" s="16">
        <v>0.28034143</v>
      </c>
      <c r="G46" s="14">
        <v>8.1124325000000006</v>
      </c>
      <c r="H46" s="16">
        <v>0.28822935999999999</v>
      </c>
      <c r="I46" s="14">
        <v>0</v>
      </c>
      <c r="J46" s="16">
        <v>0</v>
      </c>
      <c r="K46" s="14" t="s">
        <v>51</v>
      </c>
      <c r="L46" s="16" t="s">
        <v>51</v>
      </c>
      <c r="M46" s="14">
        <v>87.240100470000002</v>
      </c>
      <c r="N46" s="16">
        <v>0.38260988000000001</v>
      </c>
      <c r="O46" s="14">
        <v>0</v>
      </c>
      <c r="P46" s="16">
        <v>0</v>
      </c>
      <c r="Q46" s="14">
        <v>0</v>
      </c>
      <c r="R46" s="16">
        <v>0</v>
      </c>
    </row>
    <row r="47" spans="1:18"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row>
    <row r="48" spans="1:18" x14ac:dyDescent="0.25">
      <c r="A48" s="11" t="s">
        <v>91</v>
      </c>
      <c r="B48" s="13">
        <v>9841</v>
      </c>
      <c r="C48" s="14">
        <f>(98/B48*100)</f>
        <v>0.99583375673203944</v>
      </c>
      <c r="D48" s="15">
        <v>9743</v>
      </c>
      <c r="E48" s="14">
        <v>3.65210035</v>
      </c>
      <c r="F48" s="16">
        <v>0.28898605999999999</v>
      </c>
      <c r="G48" s="14">
        <v>21.176041949999998</v>
      </c>
      <c r="H48" s="16">
        <v>0.40585522000000002</v>
      </c>
      <c r="I48" s="14">
        <v>0</v>
      </c>
      <c r="J48" s="16">
        <v>0</v>
      </c>
      <c r="K48" s="14" t="s">
        <v>51</v>
      </c>
      <c r="L48" s="16" t="s">
        <v>51</v>
      </c>
      <c r="M48" s="14">
        <v>75.171857700000004</v>
      </c>
      <c r="N48" s="16">
        <v>0.29793444000000002</v>
      </c>
      <c r="O48" s="14">
        <v>0</v>
      </c>
      <c r="P48" s="16">
        <v>0</v>
      </c>
      <c r="Q48" s="14">
        <v>0</v>
      </c>
      <c r="R48" s="16">
        <v>0</v>
      </c>
    </row>
    <row r="49" spans="1:18"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row>
    <row r="50" spans="1:18"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row>
    <row r="51" spans="1:18"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row>
    <row r="52" spans="1:18"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row>
    <row r="53" spans="1:18"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row>
    <row r="54" spans="1:18"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row>
    <row r="55" spans="1:18"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row>
    <row r="56" spans="1:18"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row>
    <row r="57" spans="1:18"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row>
    <row r="58" spans="1:18"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row>
    <row r="59" spans="1:18"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row>
    <row r="60" spans="1:18"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row>
    <row r="61" spans="1:18" x14ac:dyDescent="0.25">
      <c r="A61" s="11" t="s">
        <v>104</v>
      </c>
      <c r="B61" s="13">
        <v>6525</v>
      </c>
      <c r="C61" s="14">
        <f>(191/B61*100)</f>
        <v>2.9272030651340994</v>
      </c>
      <c r="D61" s="15">
        <v>6334</v>
      </c>
      <c r="E61" s="14">
        <v>8.7452642300000001</v>
      </c>
      <c r="F61" s="16">
        <v>0.39127708999999999</v>
      </c>
      <c r="G61" s="14">
        <v>15.64872188</v>
      </c>
      <c r="H61" s="16">
        <v>0.47897887</v>
      </c>
      <c r="I61" s="14">
        <v>0</v>
      </c>
      <c r="J61" s="16">
        <v>0</v>
      </c>
      <c r="K61" s="14" t="s">
        <v>51</v>
      </c>
      <c r="L61" s="16" t="s">
        <v>51</v>
      </c>
      <c r="M61" s="14">
        <v>75.60601389</v>
      </c>
      <c r="N61" s="16">
        <v>0.42641224999999999</v>
      </c>
      <c r="O61" s="14">
        <v>0</v>
      </c>
      <c r="P61" s="16">
        <v>0</v>
      </c>
      <c r="Q61" s="14">
        <v>0</v>
      </c>
      <c r="R61" s="16">
        <v>0</v>
      </c>
    </row>
    <row r="62" spans="1:18"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row>
    <row r="63" spans="1:18"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row>
    <row r="64" spans="1:18"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row>
    <row r="65" spans="1:18"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row>
    <row r="66" spans="1:18"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row>
    <row r="67" spans="1:18" x14ac:dyDescent="0.25">
      <c r="A67" s="11" t="s">
        <v>110</v>
      </c>
      <c r="B67" s="13">
        <v>6971</v>
      </c>
      <c r="C67" s="14">
        <f>(743/B67*100)</f>
        <v>10.658442117343279</v>
      </c>
      <c r="D67" s="15">
        <v>6228</v>
      </c>
      <c r="E67" s="14">
        <v>8.6211354500000006</v>
      </c>
      <c r="F67" s="16">
        <v>0.38316834</v>
      </c>
      <c r="G67" s="14">
        <v>8.4832580600000007</v>
      </c>
      <c r="H67" s="16">
        <v>0.40071509999999999</v>
      </c>
      <c r="I67" s="14">
        <v>0</v>
      </c>
      <c r="J67" s="16">
        <v>0</v>
      </c>
      <c r="K67" s="14" t="s">
        <v>51</v>
      </c>
      <c r="L67" s="16" t="s">
        <v>51</v>
      </c>
      <c r="M67" s="14">
        <v>82.895606479999998</v>
      </c>
      <c r="N67" s="16">
        <v>0.54424565000000003</v>
      </c>
      <c r="O67" s="14">
        <v>0</v>
      </c>
      <c r="P67" s="16">
        <v>0</v>
      </c>
      <c r="Q67" s="14">
        <v>0</v>
      </c>
      <c r="R67" s="16">
        <v>0</v>
      </c>
    </row>
    <row r="68" spans="1:18"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row>
    <row r="69" spans="1:18"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row>
    <row r="70" spans="1:18" x14ac:dyDescent="0.25">
      <c r="A70" s="11" t="s">
        <v>113</v>
      </c>
      <c r="B70" s="13">
        <v>6036</v>
      </c>
      <c r="C70" s="14">
        <f>(401/B70*100)</f>
        <v>6.6434724983432742</v>
      </c>
      <c r="D70" s="15">
        <v>5635</v>
      </c>
      <c r="E70" s="14">
        <v>7.9412279899999998</v>
      </c>
      <c r="F70" s="16">
        <v>0.4497621</v>
      </c>
      <c r="G70" s="14">
        <v>12.371420260000001</v>
      </c>
      <c r="H70" s="16">
        <v>0.45715968000000001</v>
      </c>
      <c r="I70" s="14">
        <v>0</v>
      </c>
      <c r="J70" s="16">
        <v>0</v>
      </c>
      <c r="K70" s="14" t="s">
        <v>51</v>
      </c>
      <c r="L70" s="16" t="s">
        <v>51</v>
      </c>
      <c r="M70" s="14">
        <v>79.687351750000005</v>
      </c>
      <c r="N70" s="16">
        <v>0.52432100999999998</v>
      </c>
      <c r="O70" s="14">
        <v>0</v>
      </c>
      <c r="P70" s="16">
        <v>0</v>
      </c>
      <c r="Q70" s="14">
        <v>0</v>
      </c>
      <c r="R70" s="16">
        <v>0</v>
      </c>
    </row>
    <row r="71" spans="1:18"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row>
    <row r="72" spans="1:18"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row>
    <row r="73" spans="1:18"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row>
    <row r="74" spans="1:18"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row>
    <row r="75" spans="1:18"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row>
    <row r="76" spans="1:18"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row>
    <row r="77" spans="1:18"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row>
    <row r="78" spans="1:18"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row>
    <row r="79" spans="1:18"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row>
    <row r="80" spans="1:18"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row>
    <row r="81" spans="1:18"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row>
    <row r="82" spans="1:18"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row>
    <row r="83" spans="1:18" x14ac:dyDescent="0.25">
      <c r="A83" s="3" t="s">
        <v>126</v>
      </c>
    </row>
    <row r="84" spans="1:18" x14ac:dyDescent="0.25">
      <c r="A84" s="26" t="s">
        <v>127</v>
      </c>
      <c r="B84" s="24"/>
      <c r="C84" s="24"/>
      <c r="D84" s="24"/>
      <c r="E84" s="24"/>
      <c r="F84" s="24"/>
      <c r="G84" s="24"/>
      <c r="H84" s="24"/>
      <c r="I84" s="24"/>
      <c r="J84" s="24"/>
      <c r="K84" s="24"/>
      <c r="L84" s="24"/>
      <c r="M84" s="24"/>
      <c r="N84" s="24"/>
      <c r="O84" s="24"/>
      <c r="P84" s="24"/>
      <c r="Q84" s="24"/>
      <c r="R84" s="24"/>
    </row>
    <row r="85" spans="1:18" x14ac:dyDescent="0.25">
      <c r="A85" s="26" t="s">
        <v>128</v>
      </c>
      <c r="B85" s="24"/>
      <c r="C85" s="24"/>
      <c r="D85" s="24"/>
      <c r="E85" s="24"/>
      <c r="F85" s="24"/>
      <c r="G85" s="24"/>
      <c r="H85" s="24"/>
      <c r="I85" s="24"/>
      <c r="J85" s="24"/>
      <c r="K85" s="24"/>
      <c r="L85" s="24"/>
      <c r="M85" s="24"/>
      <c r="N85" s="24"/>
      <c r="O85" s="24"/>
      <c r="P85" s="24"/>
      <c r="Q85" s="24"/>
      <c r="R85" s="24"/>
    </row>
    <row r="86" spans="1:18" ht="30" customHeight="1" x14ac:dyDescent="0.25">
      <c r="A86" s="26" t="s">
        <v>129</v>
      </c>
      <c r="B86" s="24"/>
      <c r="C86" s="24"/>
      <c r="D86" s="24"/>
      <c r="E86" s="24"/>
      <c r="F86" s="24"/>
      <c r="G86" s="24"/>
      <c r="H86" s="24"/>
      <c r="I86" s="24"/>
      <c r="J86" s="24"/>
      <c r="K86" s="24"/>
      <c r="L86" s="24"/>
      <c r="M86" s="24"/>
      <c r="N86" s="24"/>
      <c r="O86" s="24"/>
      <c r="P86" s="24"/>
      <c r="Q86" s="24"/>
      <c r="R86" s="24"/>
    </row>
    <row r="87" spans="1:18" ht="30" customHeight="1" x14ac:dyDescent="0.25">
      <c r="A87" s="26" t="s">
        <v>125</v>
      </c>
      <c r="B87" s="24"/>
      <c r="C87" s="24"/>
      <c r="D87" s="24"/>
      <c r="E87" s="24"/>
      <c r="F87" s="24"/>
      <c r="G87" s="24"/>
      <c r="H87" s="24"/>
      <c r="I87" s="24"/>
      <c r="J87" s="24"/>
      <c r="K87" s="24"/>
      <c r="L87" s="24"/>
      <c r="M87" s="24"/>
      <c r="N87" s="24"/>
      <c r="O87" s="24"/>
      <c r="P87" s="24"/>
      <c r="Q87" s="24"/>
      <c r="R87" s="24"/>
    </row>
    <row r="88" spans="1:18" ht="30" customHeight="1" x14ac:dyDescent="0.25">
      <c r="A88" s="26" t="s">
        <v>130</v>
      </c>
      <c r="B88" s="24"/>
      <c r="C88" s="24"/>
      <c r="D88" s="24"/>
      <c r="E88" s="24"/>
      <c r="F88" s="24"/>
      <c r="G88" s="24"/>
      <c r="H88" s="24"/>
      <c r="I88" s="24"/>
      <c r="J88" s="24"/>
      <c r="K88" s="24"/>
      <c r="L88" s="24"/>
      <c r="M88" s="24"/>
      <c r="N88" s="24"/>
      <c r="O88" s="24"/>
      <c r="P88" s="24"/>
      <c r="Q88" s="24"/>
      <c r="R88" s="24"/>
    </row>
    <row r="89" spans="1:18" ht="30" customHeight="1" x14ac:dyDescent="0.25">
      <c r="A89" s="26" t="s">
        <v>131</v>
      </c>
      <c r="B89" s="24"/>
      <c r="C89" s="24"/>
      <c r="D89" s="24"/>
      <c r="E89" s="24"/>
      <c r="F89" s="24"/>
      <c r="G89" s="24"/>
      <c r="H89" s="24"/>
      <c r="I89" s="24"/>
      <c r="J89" s="24"/>
      <c r="K89" s="24"/>
      <c r="L89" s="24"/>
      <c r="M89" s="24"/>
      <c r="N89" s="24"/>
      <c r="O89" s="24"/>
      <c r="P89" s="24"/>
      <c r="Q89" s="24"/>
      <c r="R89" s="24"/>
    </row>
    <row r="90" spans="1:18" ht="30" customHeight="1" x14ac:dyDescent="0.25">
      <c r="A90" s="26" t="s">
        <v>132</v>
      </c>
      <c r="B90" s="24"/>
      <c r="C90" s="24"/>
      <c r="D90" s="24"/>
      <c r="E90" s="24"/>
      <c r="F90" s="24"/>
      <c r="G90" s="24"/>
      <c r="H90" s="24"/>
      <c r="I90" s="24"/>
      <c r="J90" s="24"/>
      <c r="K90" s="24"/>
      <c r="L90" s="24"/>
      <c r="M90" s="24"/>
      <c r="N90" s="24"/>
      <c r="O90" s="24"/>
      <c r="P90" s="24"/>
      <c r="Q90" s="24"/>
      <c r="R90" s="24"/>
    </row>
    <row r="91" spans="1:18" ht="30" customHeight="1" x14ac:dyDescent="0.25">
      <c r="A91" s="26" t="s">
        <v>133</v>
      </c>
      <c r="B91" s="24"/>
      <c r="C91" s="24"/>
      <c r="D91" s="24"/>
      <c r="E91" s="24"/>
      <c r="F91" s="24"/>
      <c r="G91" s="24"/>
      <c r="H91" s="24"/>
      <c r="I91" s="24"/>
      <c r="J91" s="24"/>
      <c r="K91" s="24"/>
      <c r="L91" s="24"/>
      <c r="M91" s="24"/>
      <c r="N91" s="24"/>
      <c r="O91" s="24"/>
      <c r="P91" s="24"/>
      <c r="Q91" s="24"/>
      <c r="R91" s="24"/>
    </row>
    <row r="92" spans="1:18" ht="30" customHeight="1" x14ac:dyDescent="0.25">
      <c r="A92" s="26" t="s">
        <v>134</v>
      </c>
      <c r="B92" s="24"/>
      <c r="C92" s="24"/>
      <c r="D92" s="24"/>
      <c r="E92" s="24"/>
      <c r="F92" s="24"/>
      <c r="G92" s="24"/>
      <c r="H92" s="24"/>
      <c r="I92" s="24"/>
      <c r="J92" s="24"/>
      <c r="K92" s="24"/>
      <c r="L92" s="24"/>
      <c r="M92" s="24"/>
      <c r="N92" s="24"/>
      <c r="O92" s="24"/>
      <c r="P92" s="24"/>
      <c r="Q92" s="24"/>
      <c r="R92" s="24"/>
    </row>
    <row r="93" spans="1:18" ht="30" customHeight="1" x14ac:dyDescent="0.25">
      <c r="A93" s="26" t="s">
        <v>135</v>
      </c>
      <c r="B93" s="24"/>
      <c r="C93" s="24"/>
      <c r="D93" s="24"/>
      <c r="E93" s="24"/>
      <c r="F93" s="24"/>
      <c r="G93" s="24"/>
      <c r="H93" s="24"/>
      <c r="I93" s="24"/>
      <c r="J93" s="24"/>
      <c r="K93" s="24"/>
      <c r="L93" s="24"/>
      <c r="M93" s="24"/>
      <c r="N93" s="24"/>
      <c r="O93" s="24"/>
      <c r="P93" s="24"/>
      <c r="Q93" s="24"/>
      <c r="R93" s="24"/>
    </row>
    <row r="94" spans="1:18" ht="30" customHeight="1" x14ac:dyDescent="0.25">
      <c r="A94" s="26" t="s">
        <v>136</v>
      </c>
      <c r="B94" s="24"/>
      <c r="C94" s="24"/>
      <c r="D94" s="24"/>
      <c r="E94" s="24"/>
      <c r="F94" s="24"/>
      <c r="G94" s="24"/>
      <c r="H94" s="24"/>
      <c r="I94" s="24"/>
      <c r="J94" s="24"/>
      <c r="K94" s="24"/>
      <c r="L94" s="24"/>
      <c r="M94" s="24"/>
      <c r="N94" s="24"/>
      <c r="O94" s="24"/>
      <c r="P94" s="24"/>
      <c r="Q94" s="24"/>
      <c r="R94" s="24"/>
    </row>
    <row r="95" spans="1:18" ht="30" customHeight="1" x14ac:dyDescent="0.25">
      <c r="A95" s="26" t="s">
        <v>137</v>
      </c>
      <c r="B95" s="24"/>
      <c r="C95" s="24"/>
      <c r="D95" s="24"/>
      <c r="E95" s="24"/>
      <c r="F95" s="24"/>
      <c r="G95" s="24"/>
      <c r="H95" s="24"/>
      <c r="I95" s="24"/>
      <c r="J95" s="24"/>
      <c r="K95" s="24"/>
      <c r="L95" s="24"/>
      <c r="M95" s="24"/>
      <c r="N95" s="24"/>
      <c r="O95" s="24"/>
      <c r="P95" s="24"/>
      <c r="Q95" s="24"/>
      <c r="R95" s="24"/>
    </row>
    <row r="96" spans="1:18" ht="30" customHeight="1" x14ac:dyDescent="0.25">
      <c r="A96" s="26" t="s">
        <v>138</v>
      </c>
      <c r="B96" s="24"/>
      <c r="C96" s="24"/>
      <c r="D96" s="24"/>
      <c r="E96" s="24"/>
      <c r="F96" s="24"/>
      <c r="G96" s="24"/>
      <c r="H96" s="24"/>
      <c r="I96" s="24"/>
      <c r="J96" s="24"/>
      <c r="K96" s="24"/>
      <c r="L96" s="24"/>
      <c r="M96" s="24"/>
      <c r="N96" s="24"/>
      <c r="O96" s="24"/>
      <c r="P96" s="24"/>
      <c r="Q96" s="24"/>
      <c r="R96" s="24"/>
    </row>
    <row r="97" spans="1:24" ht="23.25" customHeight="1" x14ac:dyDescent="0.25">
      <c r="A97" s="26" t="s">
        <v>170</v>
      </c>
      <c r="B97" s="24"/>
      <c r="C97" s="24"/>
      <c r="D97" s="24"/>
      <c r="E97" s="24"/>
      <c r="F97" s="24"/>
      <c r="G97" s="24"/>
      <c r="H97" s="24"/>
      <c r="I97" s="24"/>
      <c r="J97" s="24"/>
      <c r="K97" s="24"/>
      <c r="L97" s="24"/>
      <c r="M97" s="24"/>
      <c r="N97" s="24"/>
      <c r="O97" s="24"/>
      <c r="P97" s="24"/>
      <c r="Q97" s="24"/>
      <c r="R97" s="24"/>
      <c r="S97" s="24"/>
      <c r="T97" s="24"/>
      <c r="U97" s="24"/>
      <c r="V97" s="24"/>
      <c r="W97" s="24"/>
      <c r="X97" s="24"/>
    </row>
  </sheetData>
  <mergeCells count="23">
    <mergeCell ref="A95:R95"/>
    <mergeCell ref="A96:R96"/>
    <mergeCell ref="A97:X97"/>
    <mergeCell ref="A90:R90"/>
    <mergeCell ref="A91:R91"/>
    <mergeCell ref="A92:R92"/>
    <mergeCell ref="A93:R93"/>
    <mergeCell ref="A94:R94"/>
    <mergeCell ref="A85:R85"/>
    <mergeCell ref="A86:R86"/>
    <mergeCell ref="A87:R87"/>
    <mergeCell ref="A88:R88"/>
    <mergeCell ref="A89:R89"/>
    <mergeCell ref="O4:P4"/>
    <mergeCell ref="Q4:R4"/>
    <mergeCell ref="A1:R1"/>
    <mergeCell ref="A2:R2"/>
    <mergeCell ref="A84:R84"/>
    <mergeCell ref="E4:F4"/>
    <mergeCell ref="G4:H4"/>
    <mergeCell ref="I4:J4"/>
    <mergeCell ref="K4:L4"/>
    <mergeCell ref="M4:N4"/>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
  <sheetViews>
    <sheetView tabSelected="1" topLeftCell="A70"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18" x14ac:dyDescent="0.25">
      <c r="A1" s="23" t="s">
        <v>33</v>
      </c>
      <c r="B1" s="24"/>
      <c r="C1" s="24"/>
      <c r="D1" s="24"/>
      <c r="E1" s="24"/>
      <c r="F1" s="24"/>
      <c r="G1" s="24"/>
      <c r="H1" s="24"/>
      <c r="I1" s="24"/>
      <c r="J1" s="24"/>
      <c r="K1" s="24"/>
      <c r="L1" s="24"/>
      <c r="M1" s="24"/>
      <c r="N1" s="24"/>
      <c r="O1" s="24"/>
      <c r="P1" s="24"/>
      <c r="Q1" s="24"/>
      <c r="R1" s="24"/>
    </row>
    <row r="2" spans="1:18" x14ac:dyDescent="0.25">
      <c r="A2" s="25" t="s">
        <v>139</v>
      </c>
      <c r="B2" s="24"/>
      <c r="C2" s="24"/>
      <c r="D2" s="24"/>
      <c r="E2" s="24"/>
      <c r="F2" s="24"/>
      <c r="G2" s="24"/>
      <c r="H2" s="24"/>
      <c r="I2" s="24"/>
      <c r="J2" s="24"/>
      <c r="K2" s="24"/>
      <c r="L2" s="24"/>
      <c r="M2" s="24"/>
      <c r="N2" s="24"/>
      <c r="O2" s="24"/>
      <c r="P2" s="24"/>
      <c r="Q2" s="24"/>
      <c r="R2" s="24"/>
    </row>
    <row r="4" spans="1:18" ht="30" customHeight="1" x14ac:dyDescent="0.25">
      <c r="A4" s="4"/>
      <c r="B4" s="5" t="s">
        <v>35</v>
      </c>
      <c r="C4" s="5" t="s">
        <v>36</v>
      </c>
      <c r="D4" s="6" t="s">
        <v>35</v>
      </c>
      <c r="E4" s="21" t="s">
        <v>37</v>
      </c>
      <c r="F4" s="22"/>
      <c r="G4" s="21" t="s">
        <v>38</v>
      </c>
      <c r="H4" s="22"/>
      <c r="I4" s="21" t="s">
        <v>39</v>
      </c>
      <c r="J4" s="22"/>
      <c r="K4" s="21" t="s">
        <v>40</v>
      </c>
      <c r="L4" s="22"/>
      <c r="M4" s="21" t="s">
        <v>41</v>
      </c>
      <c r="N4" s="22"/>
      <c r="O4" s="21" t="s">
        <v>42</v>
      </c>
      <c r="P4" s="22"/>
      <c r="Q4" s="21" t="s">
        <v>43</v>
      </c>
      <c r="R4" s="22"/>
    </row>
    <row r="5" spans="1:18"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row>
    <row r="6" spans="1:18" x14ac:dyDescent="0.25">
      <c r="A6" s="9" t="s">
        <v>49</v>
      </c>
      <c r="B6" s="10"/>
      <c r="C6" s="10"/>
      <c r="D6" s="11"/>
      <c r="E6" s="10"/>
      <c r="F6" s="11"/>
      <c r="G6" s="10"/>
      <c r="H6" s="11"/>
      <c r="I6" s="10"/>
      <c r="J6" s="11"/>
      <c r="K6" s="10"/>
      <c r="L6" s="11"/>
      <c r="M6" s="10"/>
      <c r="N6" s="11"/>
      <c r="O6" s="10"/>
      <c r="P6" s="11"/>
      <c r="Q6" s="10"/>
      <c r="R6" s="12"/>
    </row>
    <row r="7" spans="1:18" x14ac:dyDescent="0.25">
      <c r="A7" s="11" t="s">
        <v>50</v>
      </c>
      <c r="B7" s="13">
        <v>14530</v>
      </c>
      <c r="C7" s="14">
        <f>(3585/B7*100)</f>
        <v>24.673090158293189</v>
      </c>
      <c r="D7" s="15">
        <v>10945</v>
      </c>
      <c r="E7" s="14">
        <v>51.531217750000003</v>
      </c>
      <c r="F7" s="16">
        <v>0.65637791000000001</v>
      </c>
      <c r="G7" s="14">
        <v>48.468782249999997</v>
      </c>
      <c r="H7" s="16">
        <v>0.65637791000000001</v>
      </c>
      <c r="I7" s="14">
        <v>0</v>
      </c>
      <c r="J7" s="16">
        <v>0</v>
      </c>
      <c r="K7" s="14" t="s">
        <v>51</v>
      </c>
      <c r="L7" s="16" t="s">
        <v>51</v>
      </c>
      <c r="M7" s="14">
        <v>0</v>
      </c>
      <c r="N7" s="16">
        <v>0</v>
      </c>
      <c r="O7" s="14">
        <v>0</v>
      </c>
      <c r="P7" s="16">
        <v>0</v>
      </c>
      <c r="Q7" s="14">
        <v>0</v>
      </c>
      <c r="R7" s="16">
        <v>0</v>
      </c>
    </row>
    <row r="8" spans="1:18"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row>
    <row r="9" spans="1:18" x14ac:dyDescent="0.25">
      <c r="A9" s="11" t="s">
        <v>172</v>
      </c>
      <c r="B9" s="13">
        <v>5675</v>
      </c>
      <c r="C9" s="14">
        <f>(362/B9*100)</f>
        <v>6.3788546255506606</v>
      </c>
      <c r="D9" s="15">
        <v>5313</v>
      </c>
      <c r="E9" s="14">
        <v>8.2136338599999998</v>
      </c>
      <c r="F9" s="16">
        <v>0.31047362000000001</v>
      </c>
      <c r="G9" s="14">
        <v>11.518079670000001</v>
      </c>
      <c r="H9" s="16">
        <v>0.49818498</v>
      </c>
      <c r="I9" s="14">
        <v>0</v>
      </c>
      <c r="J9" s="16">
        <v>0</v>
      </c>
      <c r="K9" s="14" t="s">
        <v>51</v>
      </c>
      <c r="L9" s="16" t="s">
        <v>51</v>
      </c>
      <c r="M9" s="14">
        <v>80.268286470000007</v>
      </c>
      <c r="N9" s="16">
        <v>0.55035034000000005</v>
      </c>
      <c r="O9" s="14">
        <v>0</v>
      </c>
      <c r="P9" s="16">
        <v>0</v>
      </c>
      <c r="Q9" s="14">
        <v>0</v>
      </c>
      <c r="R9" s="16">
        <v>0</v>
      </c>
    </row>
    <row r="10" spans="1:18" x14ac:dyDescent="0.25">
      <c r="A10" s="11" t="s">
        <v>173</v>
      </c>
      <c r="B10" s="13">
        <v>13082</v>
      </c>
      <c r="C10" s="14">
        <f>(312/B10*100)</f>
        <v>2.38495642868063</v>
      </c>
      <c r="D10" s="15">
        <v>12770</v>
      </c>
      <c r="E10" s="14">
        <v>11.87355887</v>
      </c>
      <c r="F10" s="16">
        <v>0.38276648000000002</v>
      </c>
      <c r="G10" s="14">
        <v>12.700670349999999</v>
      </c>
      <c r="H10" s="16">
        <v>0.44898623999999998</v>
      </c>
      <c r="I10" s="14">
        <v>0</v>
      </c>
      <c r="J10" s="16">
        <v>0</v>
      </c>
      <c r="K10" s="14" t="s">
        <v>51</v>
      </c>
      <c r="L10" s="16" t="s">
        <v>51</v>
      </c>
      <c r="M10" s="14">
        <v>75.425770779999993</v>
      </c>
      <c r="N10" s="16">
        <v>0.35295434999999997</v>
      </c>
      <c r="O10" s="14">
        <v>0</v>
      </c>
      <c r="P10" s="16">
        <v>0</v>
      </c>
      <c r="Q10" s="14">
        <v>0</v>
      </c>
      <c r="R10" s="16">
        <v>0</v>
      </c>
    </row>
    <row r="11" spans="1:18" x14ac:dyDescent="0.25">
      <c r="A11" s="11" t="s">
        <v>54</v>
      </c>
      <c r="B11" s="13">
        <v>7053</v>
      </c>
      <c r="C11" s="14">
        <f>(266/B11*100)</f>
        <v>3.7714447752729336</v>
      </c>
      <c r="D11" s="15">
        <v>6787</v>
      </c>
      <c r="E11" s="14">
        <v>5.3798335499999999</v>
      </c>
      <c r="F11" s="16">
        <v>0.33158349999999998</v>
      </c>
      <c r="G11" s="14">
        <v>17.06300341</v>
      </c>
      <c r="H11" s="16">
        <v>0.42284628000000002</v>
      </c>
      <c r="I11" s="14">
        <v>0</v>
      </c>
      <c r="J11" s="16">
        <v>0</v>
      </c>
      <c r="K11" s="14" t="s">
        <v>51</v>
      </c>
      <c r="L11" s="16" t="s">
        <v>51</v>
      </c>
      <c r="M11" s="14">
        <v>77.557163040000006</v>
      </c>
      <c r="N11" s="16">
        <v>0.37359656000000002</v>
      </c>
      <c r="O11" s="14">
        <v>0</v>
      </c>
      <c r="P11" s="16">
        <v>0</v>
      </c>
      <c r="Q11" s="14">
        <v>0</v>
      </c>
      <c r="R11" s="16">
        <v>0</v>
      </c>
    </row>
    <row r="12" spans="1:18"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row>
    <row r="13" spans="1:18"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row>
    <row r="14" spans="1:18"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row>
    <row r="15" spans="1:18"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row>
    <row r="16" spans="1:18"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row>
    <row r="17" spans="1:18"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row>
    <row r="18" spans="1:18"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row>
    <row r="19" spans="1:18"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row>
    <row r="20" spans="1:18"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row>
    <row r="21" spans="1:18"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row>
    <row r="22" spans="1:18"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row>
    <row r="23" spans="1:18" x14ac:dyDescent="0.25">
      <c r="A23" s="11" t="s">
        <v>66</v>
      </c>
      <c r="B23" s="13">
        <v>11583</v>
      </c>
      <c r="C23" s="14">
        <f>(667/B23*100)</f>
        <v>5.7584390917724253</v>
      </c>
      <c r="D23" s="15">
        <v>10916</v>
      </c>
      <c r="E23" s="14">
        <v>5.8937302599999999</v>
      </c>
      <c r="F23" s="16">
        <v>0.32152673999999998</v>
      </c>
      <c r="G23" s="14">
        <v>16.054816370000001</v>
      </c>
      <c r="H23" s="16">
        <v>0.42524888</v>
      </c>
      <c r="I23" s="14">
        <v>0</v>
      </c>
      <c r="J23" s="16">
        <v>0</v>
      </c>
      <c r="K23" s="14" t="s">
        <v>51</v>
      </c>
      <c r="L23" s="16" t="s">
        <v>51</v>
      </c>
      <c r="M23" s="14">
        <v>78.051453370000004</v>
      </c>
      <c r="N23" s="16">
        <v>0.35993413000000002</v>
      </c>
      <c r="O23" s="14">
        <v>0</v>
      </c>
      <c r="P23" s="16">
        <v>0</v>
      </c>
      <c r="Q23" s="14">
        <v>0</v>
      </c>
      <c r="R23" s="16">
        <v>0</v>
      </c>
    </row>
    <row r="24" spans="1:18"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row>
    <row r="25" spans="1:18"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row>
    <row r="26" spans="1:18"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row>
    <row r="27" spans="1:18"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row>
    <row r="28" spans="1:18"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row>
    <row r="29" spans="1:18" x14ac:dyDescent="0.25">
      <c r="A29" s="11" t="s">
        <v>72</v>
      </c>
      <c r="B29" s="13">
        <v>5385</v>
      </c>
      <c r="C29" s="14">
        <f>(63/B29*100)</f>
        <v>1.1699164345403901</v>
      </c>
      <c r="D29" s="15">
        <v>5322</v>
      </c>
      <c r="E29" s="14">
        <v>9.6198154599999999</v>
      </c>
      <c r="F29" s="16">
        <v>0.39704441000000001</v>
      </c>
      <c r="G29" s="14">
        <v>14.9407885</v>
      </c>
      <c r="H29" s="16">
        <v>0.35273025000000002</v>
      </c>
      <c r="I29" s="14">
        <v>0</v>
      </c>
      <c r="J29" s="16">
        <v>0</v>
      </c>
      <c r="K29" s="14" t="s">
        <v>51</v>
      </c>
      <c r="L29" s="16" t="s">
        <v>51</v>
      </c>
      <c r="M29" s="14">
        <v>75.439396040000005</v>
      </c>
      <c r="N29" s="16">
        <v>0.30562939</v>
      </c>
      <c r="O29" s="14">
        <v>0</v>
      </c>
      <c r="P29" s="16">
        <v>0</v>
      </c>
      <c r="Q29" s="14">
        <v>0</v>
      </c>
      <c r="R29" s="16">
        <v>0</v>
      </c>
    </row>
    <row r="30" spans="1:18"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row>
    <row r="31" spans="1:18"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row>
    <row r="32" spans="1:18" x14ac:dyDescent="0.25">
      <c r="A32" s="11" t="s">
        <v>75</v>
      </c>
      <c r="B32" s="13">
        <v>4478</v>
      </c>
      <c r="C32" s="14">
        <f>(89/B32*100)</f>
        <v>1.9874944171505136</v>
      </c>
      <c r="D32" s="15">
        <v>4389</v>
      </c>
      <c r="E32" s="14">
        <v>9.8574740199999997</v>
      </c>
      <c r="F32" s="16">
        <v>0.42542765999999999</v>
      </c>
      <c r="G32" s="14">
        <v>27.740245760000001</v>
      </c>
      <c r="H32" s="16">
        <v>0.53213374999999996</v>
      </c>
      <c r="I32" s="14">
        <v>0</v>
      </c>
      <c r="J32" s="16">
        <v>0</v>
      </c>
      <c r="K32" s="14" t="s">
        <v>51</v>
      </c>
      <c r="L32" s="16" t="s">
        <v>51</v>
      </c>
      <c r="M32" s="14">
        <v>62.402280220000002</v>
      </c>
      <c r="N32" s="16">
        <v>0.35069545000000002</v>
      </c>
      <c r="O32" s="14">
        <v>0</v>
      </c>
      <c r="P32" s="16">
        <v>0</v>
      </c>
      <c r="Q32" s="14">
        <v>0</v>
      </c>
      <c r="R32" s="16">
        <v>0</v>
      </c>
    </row>
    <row r="33" spans="1:18"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row>
    <row r="34" spans="1:18" x14ac:dyDescent="0.25">
      <c r="A34" s="11" t="s">
        <v>77</v>
      </c>
      <c r="B34" s="13">
        <v>6350</v>
      </c>
      <c r="C34" s="14">
        <f>(302/B34*100)</f>
        <v>4.7559055118110232</v>
      </c>
      <c r="D34" s="15">
        <v>6048</v>
      </c>
      <c r="E34" s="14">
        <v>8.0834880600000005</v>
      </c>
      <c r="F34" s="16">
        <v>0.35622014000000002</v>
      </c>
      <c r="G34" s="14">
        <v>13.62844726</v>
      </c>
      <c r="H34" s="16">
        <v>0.36726098000000001</v>
      </c>
      <c r="I34" s="14">
        <v>0</v>
      </c>
      <c r="J34" s="16">
        <v>0</v>
      </c>
      <c r="K34" s="14" t="s">
        <v>51</v>
      </c>
      <c r="L34" s="16" t="s">
        <v>51</v>
      </c>
      <c r="M34" s="14">
        <v>78.288064680000005</v>
      </c>
      <c r="N34" s="16">
        <v>0.39312282999999998</v>
      </c>
      <c r="O34" s="14">
        <v>0</v>
      </c>
      <c r="P34" s="16">
        <v>0</v>
      </c>
      <c r="Q34" s="14">
        <v>0</v>
      </c>
      <c r="R34" s="16">
        <v>0</v>
      </c>
    </row>
    <row r="35" spans="1:18"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row>
    <row r="36" spans="1:18" x14ac:dyDescent="0.25">
      <c r="A36" s="11" t="s">
        <v>79</v>
      </c>
      <c r="B36" s="13">
        <v>6736</v>
      </c>
      <c r="C36" s="14">
        <f>(204/B36*100)</f>
        <v>3.0285035629453683</v>
      </c>
      <c r="D36" s="15">
        <v>6532</v>
      </c>
      <c r="E36" s="14">
        <v>6.5643235500000001</v>
      </c>
      <c r="F36" s="16">
        <v>0.31512444000000001</v>
      </c>
      <c r="G36" s="14">
        <v>17.209895320000001</v>
      </c>
      <c r="H36" s="16">
        <v>0.34781949000000001</v>
      </c>
      <c r="I36" s="14">
        <v>0</v>
      </c>
      <c r="J36" s="16">
        <v>0</v>
      </c>
      <c r="K36" s="14" t="s">
        <v>51</v>
      </c>
      <c r="L36" s="16" t="s">
        <v>51</v>
      </c>
      <c r="M36" s="14">
        <v>76.225781130000001</v>
      </c>
      <c r="N36" s="16">
        <v>0.26020125999999999</v>
      </c>
      <c r="O36" s="14">
        <v>0</v>
      </c>
      <c r="P36" s="16">
        <v>0</v>
      </c>
      <c r="Q36" s="14">
        <v>0</v>
      </c>
      <c r="R36" s="16">
        <v>0</v>
      </c>
    </row>
    <row r="37" spans="1:18"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row>
    <row r="38" spans="1:18"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row>
    <row r="39" spans="1:18"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row>
    <row r="40" spans="1:18"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row>
    <row r="41" spans="1:18" x14ac:dyDescent="0.25">
      <c r="A41" s="11" t="s">
        <v>84</v>
      </c>
      <c r="B41" s="13">
        <v>5712</v>
      </c>
      <c r="C41" s="14">
        <f>(168/B41*100)</f>
        <v>2.9411764705882351</v>
      </c>
      <c r="D41" s="15">
        <v>5544</v>
      </c>
      <c r="E41" s="14">
        <v>10.89486488</v>
      </c>
      <c r="F41" s="16">
        <v>0.40523603000000002</v>
      </c>
      <c r="G41" s="14">
        <v>12.875774359999999</v>
      </c>
      <c r="H41" s="16">
        <v>0.51517617000000004</v>
      </c>
      <c r="I41" s="14">
        <v>0</v>
      </c>
      <c r="J41" s="16">
        <v>0</v>
      </c>
      <c r="K41" s="14" t="s">
        <v>51</v>
      </c>
      <c r="L41" s="16" t="s">
        <v>51</v>
      </c>
      <c r="M41" s="14">
        <v>76.229360760000006</v>
      </c>
      <c r="N41" s="16">
        <v>0.37516265999999998</v>
      </c>
      <c r="O41" s="14">
        <v>0</v>
      </c>
      <c r="P41" s="16">
        <v>0</v>
      </c>
      <c r="Q41" s="14">
        <v>0</v>
      </c>
      <c r="R41" s="16">
        <v>0</v>
      </c>
    </row>
    <row r="42" spans="1:18" x14ac:dyDescent="0.25">
      <c r="A42" s="11" t="s">
        <v>85</v>
      </c>
      <c r="B42" s="13">
        <f>IF(COUNT(B7:B41) &gt; 0, AVERAGE(B7:B41), "\u2014")</f>
        <v>8058.4</v>
      </c>
      <c r="C42" s="14">
        <f>IF(COUNT(C7:C41) &gt; 0, AVERAGE(C7:C41), "—")</f>
        <v>5.6849781476605363</v>
      </c>
      <c r="D42" s="15">
        <f>IF(COUNT(D7:D41) &gt; 0, AVERAGE(D7:D41), "—")</f>
        <v>7456.6</v>
      </c>
      <c r="E42" s="14">
        <f>IF(COUNT(E7:E41) &gt; 0, AVERAGE(E7:E41), "—")</f>
        <v>12.791194026000001</v>
      </c>
      <c r="F42" s="16">
        <f>IF(COUNT(F7:F41) &gt; 0, SQRT(SUMSQ(F7:F41)/(COUNT(F7:F41)*COUNT(F7:F41)) ), "—")</f>
        <v>0.12712625487731313</v>
      </c>
      <c r="G42" s="14">
        <f>IF(COUNT(G7:G41) &gt; 0, AVERAGE(G7:G41), "—")</f>
        <v>19.220050324999995</v>
      </c>
      <c r="H42" s="16">
        <f>IF(COUNT(H7:H41) &gt; 0, SQRT(SUMSQ(H7:H41)/(COUNT(H7:H41)*COUNT(H7:H41)) ), "—")</f>
        <v>0.14727847546530393</v>
      </c>
      <c r="I42" s="14">
        <f>IF(COUNT(I7:I41) &gt; 0, AVERAGE(I7:I41), "—")</f>
        <v>0</v>
      </c>
      <c r="J42" s="16">
        <f>IF(COUNT(J7:J41) &gt; 0, SQRT(SUMSQ(J7:J41)/(COUNT(J7:J41)*COUNT(J7:J41)) ), "—")</f>
        <v>0</v>
      </c>
      <c r="K42" s="14" t="str">
        <f>IF(COUNT(K7:K41) &gt; 0, AVERAGE(K7:K41), "—")</f>
        <v>—</v>
      </c>
      <c r="L42" s="16" t="str">
        <f>IF(COUNT(L7:L41) &gt; 0, SQRT(SUMSQ(L7:L41)/(COUNT(L7:L41)*COUNT(L7:L41)) ), "—")</f>
        <v>—</v>
      </c>
      <c r="M42" s="14">
        <f>IF(COUNT(M7:M41) &gt; 0, AVERAGE(M7:M41), "—")</f>
        <v>67.988755649000012</v>
      </c>
      <c r="N42" s="16">
        <f>IF(COUNT(N7:N41) &gt; 0, SQRT(SUMSQ(N7:N41)/(COUNT(N7:N41)*COUNT(N7:N41)) ), "—")</f>
        <v>0.1129594235474967</v>
      </c>
      <c r="O42" s="14">
        <f>IF(COUNT(O7:O41) &gt; 0, AVERAGE(O7:O41), "—")</f>
        <v>0</v>
      </c>
      <c r="P42" s="16">
        <f>IF(COUNT(P7:P41) &gt; 0, SQRT(SUMSQ(P7:P41)/(COUNT(P7:P41)*COUNT(P7:P41)) ), "—")</f>
        <v>0</v>
      </c>
      <c r="Q42" s="14">
        <f>IF(COUNT(Q7:Q41) &gt; 0, AVERAGE(Q7:Q41), "—")</f>
        <v>0</v>
      </c>
      <c r="R42" s="16">
        <f>IF(COUNT(R7:R41) &gt; 0, SQRT(SUMSQ(R7:R41)/(COUNT(R7:R41)*COUNT(R7:R41)) ), "—")</f>
        <v>0</v>
      </c>
    </row>
    <row r="43" spans="1:18" x14ac:dyDescent="0.25">
      <c r="A43" s="9" t="s">
        <v>86</v>
      </c>
      <c r="B43" s="10"/>
      <c r="C43" s="10"/>
      <c r="D43" s="11"/>
      <c r="E43" s="10"/>
      <c r="F43" s="11"/>
      <c r="G43" s="10"/>
      <c r="H43" s="11"/>
      <c r="I43" s="10"/>
      <c r="J43" s="11"/>
      <c r="K43" s="10"/>
      <c r="L43" s="11"/>
      <c r="M43" s="10"/>
      <c r="N43" s="11"/>
      <c r="O43" s="10"/>
      <c r="P43" s="11"/>
      <c r="Q43" s="10"/>
      <c r="R43" s="12"/>
    </row>
    <row r="44" spans="1:18"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row>
    <row r="45" spans="1:18"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row>
    <row r="46" spans="1:18" x14ac:dyDescent="0.25">
      <c r="A46" s="11" t="s">
        <v>89</v>
      </c>
      <c r="B46" s="13">
        <v>23141</v>
      </c>
      <c r="C46" s="14">
        <f>(3928/B46*100)</f>
        <v>16.974201633464414</v>
      </c>
      <c r="D46" s="15">
        <v>19213</v>
      </c>
      <c r="E46" s="14">
        <v>3.9553590000000001</v>
      </c>
      <c r="F46" s="16">
        <v>0.21352293999999999</v>
      </c>
      <c r="G46" s="14">
        <v>8.2899448200000005</v>
      </c>
      <c r="H46" s="16">
        <v>0.29507106999999999</v>
      </c>
      <c r="I46" s="14">
        <v>0</v>
      </c>
      <c r="J46" s="16">
        <v>0</v>
      </c>
      <c r="K46" s="14" t="s">
        <v>51</v>
      </c>
      <c r="L46" s="16" t="s">
        <v>51</v>
      </c>
      <c r="M46" s="14">
        <v>87.754696179999996</v>
      </c>
      <c r="N46" s="16">
        <v>0.36923122000000003</v>
      </c>
      <c r="O46" s="14">
        <v>0</v>
      </c>
      <c r="P46" s="16">
        <v>0</v>
      </c>
      <c r="Q46" s="14">
        <v>0</v>
      </c>
      <c r="R46" s="16">
        <v>0</v>
      </c>
    </row>
    <row r="47" spans="1:18"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row>
    <row r="48" spans="1:18" x14ac:dyDescent="0.25">
      <c r="A48" s="11" t="s">
        <v>91</v>
      </c>
      <c r="B48" s="13">
        <v>9841</v>
      </c>
      <c r="C48" s="14">
        <f>(98/B48*100)</f>
        <v>0.99583375673203944</v>
      </c>
      <c r="D48" s="15">
        <v>9743</v>
      </c>
      <c r="E48" s="14">
        <v>5.3059971499999996</v>
      </c>
      <c r="F48" s="16">
        <v>0.33158618000000001</v>
      </c>
      <c r="G48" s="14">
        <v>19.511039589999999</v>
      </c>
      <c r="H48" s="16">
        <v>0.39030804000000002</v>
      </c>
      <c r="I48" s="14">
        <v>0</v>
      </c>
      <c r="J48" s="16">
        <v>0</v>
      </c>
      <c r="K48" s="14" t="s">
        <v>51</v>
      </c>
      <c r="L48" s="16" t="s">
        <v>51</v>
      </c>
      <c r="M48" s="14">
        <v>75.182963259999994</v>
      </c>
      <c r="N48" s="16">
        <v>0.29779539999999999</v>
      </c>
      <c r="O48" s="14">
        <v>0</v>
      </c>
      <c r="P48" s="16">
        <v>0</v>
      </c>
      <c r="Q48" s="14">
        <v>0</v>
      </c>
      <c r="R48" s="16">
        <v>0</v>
      </c>
    </row>
    <row r="49" spans="1:18"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row>
    <row r="50" spans="1:18"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row>
    <row r="51" spans="1:18"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row>
    <row r="52" spans="1:18"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row>
    <row r="53" spans="1:18"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row>
    <row r="54" spans="1:18"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row>
    <row r="55" spans="1:18"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row>
    <row r="56" spans="1:18"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row>
    <row r="57" spans="1:18"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row>
    <row r="58" spans="1:18"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row>
    <row r="59" spans="1:18"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row>
    <row r="60" spans="1:18"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row>
    <row r="61" spans="1:18" x14ac:dyDescent="0.25">
      <c r="A61" s="11" t="s">
        <v>104</v>
      </c>
      <c r="B61" s="13">
        <v>6525</v>
      </c>
      <c r="C61" s="14">
        <f>(192/B61*100)</f>
        <v>2.9425287356321839</v>
      </c>
      <c r="D61" s="15">
        <v>6333</v>
      </c>
      <c r="E61" s="14">
        <v>8.6993777800000007</v>
      </c>
      <c r="F61" s="16">
        <v>0.38465315</v>
      </c>
      <c r="G61" s="14">
        <v>15.751043279999999</v>
      </c>
      <c r="H61" s="16">
        <v>0.50941588000000004</v>
      </c>
      <c r="I61" s="14">
        <v>0</v>
      </c>
      <c r="J61" s="16">
        <v>0</v>
      </c>
      <c r="K61" s="14" t="s">
        <v>51</v>
      </c>
      <c r="L61" s="16" t="s">
        <v>51</v>
      </c>
      <c r="M61" s="14">
        <v>75.549578940000004</v>
      </c>
      <c r="N61" s="16">
        <v>0.41882154999999999</v>
      </c>
      <c r="O61" s="14">
        <v>0</v>
      </c>
      <c r="P61" s="16">
        <v>0</v>
      </c>
      <c r="Q61" s="14">
        <v>0</v>
      </c>
      <c r="R61" s="16">
        <v>0</v>
      </c>
    </row>
    <row r="62" spans="1:18"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row>
    <row r="63" spans="1:18"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row>
    <row r="64" spans="1:18"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row>
    <row r="65" spans="1:18"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row>
    <row r="66" spans="1:18"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row>
    <row r="67" spans="1:18" x14ac:dyDescent="0.25">
      <c r="A67" s="11" t="s">
        <v>110</v>
      </c>
      <c r="B67" s="13">
        <v>6971</v>
      </c>
      <c r="C67" s="14">
        <f>(757/B67*100)</f>
        <v>10.859274135705062</v>
      </c>
      <c r="D67" s="15">
        <v>6214</v>
      </c>
      <c r="E67" s="14">
        <v>7.3277558799999998</v>
      </c>
      <c r="F67" s="16">
        <v>0.33928565999999999</v>
      </c>
      <c r="G67" s="14">
        <v>9.5585186699999998</v>
      </c>
      <c r="H67" s="16">
        <v>0.39063832999999998</v>
      </c>
      <c r="I67" s="14">
        <v>0</v>
      </c>
      <c r="J67" s="16">
        <v>0</v>
      </c>
      <c r="K67" s="14" t="s">
        <v>51</v>
      </c>
      <c r="L67" s="16" t="s">
        <v>51</v>
      </c>
      <c r="M67" s="14">
        <v>83.113725450000004</v>
      </c>
      <c r="N67" s="16">
        <v>0.54542581000000001</v>
      </c>
      <c r="O67" s="14">
        <v>0</v>
      </c>
      <c r="P67" s="16">
        <v>0</v>
      </c>
      <c r="Q67" s="14">
        <v>0</v>
      </c>
      <c r="R67" s="16">
        <v>0</v>
      </c>
    </row>
    <row r="68" spans="1:18"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row>
    <row r="69" spans="1:18"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row>
    <row r="70" spans="1:18" x14ac:dyDescent="0.25">
      <c r="A70" s="11" t="s">
        <v>113</v>
      </c>
      <c r="B70" s="13">
        <v>6036</v>
      </c>
      <c r="C70" s="14">
        <f>(407/B70*100)</f>
        <v>6.7428760768721006</v>
      </c>
      <c r="D70" s="15">
        <v>5629</v>
      </c>
      <c r="E70" s="14">
        <v>8.7511255699999992</v>
      </c>
      <c r="F70" s="16">
        <v>0.41493043000000002</v>
      </c>
      <c r="G70" s="14">
        <v>11.49339451</v>
      </c>
      <c r="H70" s="16">
        <v>0.37767194999999998</v>
      </c>
      <c r="I70" s="14">
        <v>0</v>
      </c>
      <c r="J70" s="16">
        <v>0</v>
      </c>
      <c r="K70" s="14" t="s">
        <v>51</v>
      </c>
      <c r="L70" s="16" t="s">
        <v>51</v>
      </c>
      <c r="M70" s="14">
        <v>79.755479919999999</v>
      </c>
      <c r="N70" s="16">
        <v>0.52583760999999996</v>
      </c>
      <c r="O70" s="14">
        <v>0</v>
      </c>
      <c r="P70" s="16">
        <v>0</v>
      </c>
      <c r="Q70" s="14">
        <v>0</v>
      </c>
      <c r="R70" s="16">
        <v>0</v>
      </c>
    </row>
    <row r="71" spans="1:18"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row>
    <row r="72" spans="1:18"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row>
    <row r="73" spans="1:18"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row>
    <row r="74" spans="1:18"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row>
    <row r="75" spans="1:18"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row>
    <row r="76" spans="1:18"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row>
    <row r="77" spans="1:18"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row>
    <row r="78" spans="1:18"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row>
    <row r="79" spans="1:18"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row>
    <row r="80" spans="1:18"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row>
    <row r="81" spans="1:18"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row>
    <row r="82" spans="1:18"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row>
    <row r="83" spans="1:18" x14ac:dyDescent="0.25">
      <c r="A83" s="3" t="s">
        <v>126</v>
      </c>
    </row>
    <row r="84" spans="1:18" x14ac:dyDescent="0.25">
      <c r="A84" s="26" t="s">
        <v>127</v>
      </c>
      <c r="B84" s="24"/>
      <c r="C84" s="24"/>
      <c r="D84" s="24"/>
      <c r="E84" s="24"/>
      <c r="F84" s="24"/>
      <c r="G84" s="24"/>
      <c r="H84" s="24"/>
      <c r="I84" s="24"/>
      <c r="J84" s="24"/>
      <c r="K84" s="24"/>
      <c r="L84" s="24"/>
      <c r="M84" s="24"/>
      <c r="N84" s="24"/>
      <c r="O84" s="24"/>
      <c r="P84" s="24"/>
      <c r="Q84" s="24"/>
      <c r="R84" s="24"/>
    </row>
    <row r="85" spans="1:18" x14ac:dyDescent="0.25">
      <c r="A85" s="26" t="s">
        <v>128</v>
      </c>
      <c r="B85" s="24"/>
      <c r="C85" s="24"/>
      <c r="D85" s="24"/>
      <c r="E85" s="24"/>
      <c r="F85" s="24"/>
      <c r="G85" s="24"/>
      <c r="H85" s="24"/>
      <c r="I85" s="24"/>
      <c r="J85" s="24"/>
      <c r="K85" s="24"/>
      <c r="L85" s="24"/>
      <c r="M85" s="24"/>
      <c r="N85" s="24"/>
      <c r="O85" s="24"/>
      <c r="P85" s="24"/>
      <c r="Q85" s="24"/>
      <c r="R85" s="24"/>
    </row>
    <row r="86" spans="1:18" ht="30" customHeight="1" x14ac:dyDescent="0.25">
      <c r="A86" s="26" t="s">
        <v>129</v>
      </c>
      <c r="B86" s="24"/>
      <c r="C86" s="24"/>
      <c r="D86" s="24"/>
      <c r="E86" s="24"/>
      <c r="F86" s="24"/>
      <c r="G86" s="24"/>
      <c r="H86" s="24"/>
      <c r="I86" s="24"/>
      <c r="J86" s="24"/>
      <c r="K86" s="24"/>
      <c r="L86" s="24"/>
      <c r="M86" s="24"/>
      <c r="N86" s="24"/>
      <c r="O86" s="24"/>
      <c r="P86" s="24"/>
      <c r="Q86" s="24"/>
      <c r="R86" s="24"/>
    </row>
    <row r="87" spans="1:18" ht="30" customHeight="1" x14ac:dyDescent="0.25">
      <c r="A87" s="26" t="s">
        <v>125</v>
      </c>
      <c r="B87" s="24"/>
      <c r="C87" s="24"/>
      <c r="D87" s="24"/>
      <c r="E87" s="24"/>
      <c r="F87" s="24"/>
      <c r="G87" s="24"/>
      <c r="H87" s="24"/>
      <c r="I87" s="24"/>
      <c r="J87" s="24"/>
      <c r="K87" s="24"/>
      <c r="L87" s="24"/>
      <c r="M87" s="24"/>
      <c r="N87" s="24"/>
      <c r="O87" s="24"/>
      <c r="P87" s="24"/>
      <c r="Q87" s="24"/>
      <c r="R87" s="24"/>
    </row>
    <row r="88" spans="1:18" ht="30" customHeight="1" x14ac:dyDescent="0.25">
      <c r="A88" s="26" t="s">
        <v>130</v>
      </c>
      <c r="B88" s="24"/>
      <c r="C88" s="24"/>
      <c r="D88" s="24"/>
      <c r="E88" s="24"/>
      <c r="F88" s="24"/>
      <c r="G88" s="24"/>
      <c r="H88" s="24"/>
      <c r="I88" s="24"/>
      <c r="J88" s="24"/>
      <c r="K88" s="24"/>
      <c r="L88" s="24"/>
      <c r="M88" s="24"/>
      <c r="N88" s="24"/>
      <c r="O88" s="24"/>
      <c r="P88" s="24"/>
      <c r="Q88" s="24"/>
      <c r="R88" s="24"/>
    </row>
    <row r="89" spans="1:18" ht="30" customHeight="1" x14ac:dyDescent="0.25">
      <c r="A89" s="26" t="s">
        <v>131</v>
      </c>
      <c r="B89" s="24"/>
      <c r="C89" s="24"/>
      <c r="D89" s="24"/>
      <c r="E89" s="24"/>
      <c r="F89" s="24"/>
      <c r="G89" s="24"/>
      <c r="H89" s="24"/>
      <c r="I89" s="24"/>
      <c r="J89" s="24"/>
      <c r="K89" s="24"/>
      <c r="L89" s="24"/>
      <c r="M89" s="24"/>
      <c r="N89" s="24"/>
      <c r="O89" s="24"/>
      <c r="P89" s="24"/>
      <c r="Q89" s="24"/>
      <c r="R89" s="24"/>
    </row>
    <row r="90" spans="1:18" ht="30" customHeight="1" x14ac:dyDescent="0.25">
      <c r="A90" s="26" t="s">
        <v>132</v>
      </c>
      <c r="B90" s="24"/>
      <c r="C90" s="24"/>
      <c r="D90" s="24"/>
      <c r="E90" s="24"/>
      <c r="F90" s="24"/>
      <c r="G90" s="24"/>
      <c r="H90" s="24"/>
      <c r="I90" s="24"/>
      <c r="J90" s="24"/>
      <c r="K90" s="24"/>
      <c r="L90" s="24"/>
      <c r="M90" s="24"/>
      <c r="N90" s="24"/>
      <c r="O90" s="24"/>
      <c r="P90" s="24"/>
      <c r="Q90" s="24"/>
      <c r="R90" s="24"/>
    </row>
    <row r="91" spans="1:18" ht="30" customHeight="1" x14ac:dyDescent="0.25">
      <c r="A91" s="26" t="s">
        <v>133</v>
      </c>
      <c r="B91" s="24"/>
      <c r="C91" s="24"/>
      <c r="D91" s="24"/>
      <c r="E91" s="24"/>
      <c r="F91" s="24"/>
      <c r="G91" s="24"/>
      <c r="H91" s="24"/>
      <c r="I91" s="24"/>
      <c r="J91" s="24"/>
      <c r="K91" s="24"/>
      <c r="L91" s="24"/>
      <c r="M91" s="24"/>
      <c r="N91" s="24"/>
      <c r="O91" s="24"/>
      <c r="P91" s="24"/>
      <c r="Q91" s="24"/>
      <c r="R91" s="24"/>
    </row>
    <row r="92" spans="1:18" ht="30" customHeight="1" x14ac:dyDescent="0.25">
      <c r="A92" s="26" t="s">
        <v>134</v>
      </c>
      <c r="B92" s="24"/>
      <c r="C92" s="24"/>
      <c r="D92" s="24"/>
      <c r="E92" s="24"/>
      <c r="F92" s="24"/>
      <c r="G92" s="24"/>
      <c r="H92" s="24"/>
      <c r="I92" s="24"/>
      <c r="J92" s="24"/>
      <c r="K92" s="24"/>
      <c r="L92" s="24"/>
      <c r="M92" s="24"/>
      <c r="N92" s="24"/>
      <c r="O92" s="24"/>
      <c r="P92" s="24"/>
      <c r="Q92" s="24"/>
      <c r="R92" s="24"/>
    </row>
    <row r="93" spans="1:18" ht="30" customHeight="1" x14ac:dyDescent="0.25">
      <c r="A93" s="26" t="s">
        <v>135</v>
      </c>
      <c r="B93" s="24"/>
      <c r="C93" s="24"/>
      <c r="D93" s="24"/>
      <c r="E93" s="24"/>
      <c r="F93" s="24"/>
      <c r="G93" s="24"/>
      <c r="H93" s="24"/>
      <c r="I93" s="24"/>
      <c r="J93" s="24"/>
      <c r="K93" s="24"/>
      <c r="L93" s="24"/>
      <c r="M93" s="24"/>
      <c r="N93" s="24"/>
      <c r="O93" s="24"/>
      <c r="P93" s="24"/>
      <c r="Q93" s="24"/>
      <c r="R93" s="24"/>
    </row>
    <row r="94" spans="1:18" ht="30" customHeight="1" x14ac:dyDescent="0.25">
      <c r="A94" s="26" t="s">
        <v>136</v>
      </c>
      <c r="B94" s="24"/>
      <c r="C94" s="24"/>
      <c r="D94" s="24"/>
      <c r="E94" s="24"/>
      <c r="F94" s="24"/>
      <c r="G94" s="24"/>
      <c r="H94" s="24"/>
      <c r="I94" s="24"/>
      <c r="J94" s="24"/>
      <c r="K94" s="24"/>
      <c r="L94" s="24"/>
      <c r="M94" s="24"/>
      <c r="N94" s="24"/>
      <c r="O94" s="24"/>
      <c r="P94" s="24"/>
      <c r="Q94" s="24"/>
      <c r="R94" s="24"/>
    </row>
    <row r="95" spans="1:18" ht="30" customHeight="1" x14ac:dyDescent="0.25">
      <c r="A95" s="26" t="s">
        <v>137</v>
      </c>
      <c r="B95" s="24"/>
      <c r="C95" s="24"/>
      <c r="D95" s="24"/>
      <c r="E95" s="24"/>
      <c r="F95" s="24"/>
      <c r="G95" s="24"/>
      <c r="H95" s="24"/>
      <c r="I95" s="24"/>
      <c r="J95" s="24"/>
      <c r="K95" s="24"/>
      <c r="L95" s="24"/>
      <c r="M95" s="24"/>
      <c r="N95" s="24"/>
      <c r="O95" s="24"/>
      <c r="P95" s="24"/>
      <c r="Q95" s="24"/>
      <c r="R95" s="24"/>
    </row>
    <row r="96" spans="1:18" ht="30" customHeight="1" x14ac:dyDescent="0.25">
      <c r="A96" s="26" t="s">
        <v>138</v>
      </c>
      <c r="B96" s="24"/>
      <c r="C96" s="24"/>
      <c r="D96" s="24"/>
      <c r="E96" s="24"/>
      <c r="F96" s="24"/>
      <c r="G96" s="24"/>
      <c r="H96" s="24"/>
      <c r="I96" s="24"/>
      <c r="J96" s="24"/>
      <c r="K96" s="24"/>
      <c r="L96" s="24"/>
      <c r="M96" s="24"/>
      <c r="N96" s="24"/>
      <c r="O96" s="24"/>
      <c r="P96" s="24"/>
      <c r="Q96" s="24"/>
      <c r="R96" s="24"/>
    </row>
    <row r="97" spans="1:24" ht="27" customHeight="1" x14ac:dyDescent="0.25">
      <c r="A97" s="28" t="s">
        <v>171</v>
      </c>
      <c r="B97" s="24"/>
      <c r="C97" s="24"/>
      <c r="D97" s="24"/>
      <c r="E97" s="24"/>
      <c r="F97" s="24"/>
      <c r="G97" s="24"/>
      <c r="H97" s="24"/>
      <c r="I97" s="24"/>
      <c r="J97" s="24"/>
      <c r="K97" s="24"/>
      <c r="L97" s="24"/>
      <c r="M97" s="24"/>
      <c r="N97" s="24"/>
      <c r="O97" s="24"/>
      <c r="P97" s="24"/>
      <c r="Q97" s="24"/>
      <c r="R97" s="24"/>
      <c r="S97" s="24"/>
      <c r="T97" s="24"/>
      <c r="U97" s="24"/>
      <c r="V97" s="24"/>
      <c r="W97" s="24"/>
      <c r="X97" s="24"/>
    </row>
  </sheetData>
  <mergeCells count="23">
    <mergeCell ref="A95:R95"/>
    <mergeCell ref="A96:R96"/>
    <mergeCell ref="A97:X97"/>
    <mergeCell ref="A90:R90"/>
    <mergeCell ref="A91:R91"/>
    <mergeCell ref="A92:R92"/>
    <mergeCell ref="A93:R93"/>
    <mergeCell ref="A94:R94"/>
    <mergeCell ref="A85:R85"/>
    <mergeCell ref="A86:R86"/>
    <mergeCell ref="A87:R87"/>
    <mergeCell ref="A88:R88"/>
    <mergeCell ref="A89:R89"/>
    <mergeCell ref="O4:P4"/>
    <mergeCell ref="Q4:R4"/>
    <mergeCell ref="A1:R1"/>
    <mergeCell ref="A2:R2"/>
    <mergeCell ref="A84:R84"/>
    <mergeCell ref="E4:F4"/>
    <mergeCell ref="G4:H4"/>
    <mergeCell ref="I4:J4"/>
    <mergeCell ref="K4:L4"/>
    <mergeCell ref="M4:N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tabSelected="1" topLeftCell="A73"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18" x14ac:dyDescent="0.25">
      <c r="A1" s="23" t="s">
        <v>33</v>
      </c>
      <c r="B1" s="24"/>
      <c r="C1" s="24"/>
      <c r="D1" s="24"/>
      <c r="E1" s="24"/>
      <c r="F1" s="24"/>
      <c r="G1" s="24"/>
      <c r="H1" s="24"/>
      <c r="I1" s="24"/>
      <c r="J1" s="24"/>
      <c r="K1" s="24"/>
      <c r="L1" s="24"/>
      <c r="M1" s="24"/>
      <c r="N1" s="24"/>
      <c r="O1" s="24"/>
      <c r="P1" s="24"/>
      <c r="Q1" s="24"/>
      <c r="R1" s="24"/>
    </row>
    <row r="2" spans="1:18" x14ac:dyDescent="0.25">
      <c r="A2" s="25" t="s">
        <v>140</v>
      </c>
      <c r="B2" s="24"/>
      <c r="C2" s="24"/>
      <c r="D2" s="24"/>
      <c r="E2" s="24"/>
      <c r="F2" s="24"/>
      <c r="G2" s="24"/>
      <c r="H2" s="24"/>
      <c r="I2" s="24"/>
      <c r="J2" s="24"/>
      <c r="K2" s="24"/>
      <c r="L2" s="24"/>
      <c r="M2" s="24"/>
      <c r="N2" s="24"/>
      <c r="O2" s="24"/>
      <c r="P2" s="24"/>
      <c r="Q2" s="24"/>
      <c r="R2" s="24"/>
    </row>
    <row r="4" spans="1:18" ht="30" customHeight="1" x14ac:dyDescent="0.25">
      <c r="A4" s="4"/>
      <c r="B4" s="5" t="s">
        <v>35</v>
      </c>
      <c r="C4" s="5" t="s">
        <v>36</v>
      </c>
      <c r="D4" s="6" t="s">
        <v>35</v>
      </c>
      <c r="E4" s="21" t="s">
        <v>37</v>
      </c>
      <c r="F4" s="22"/>
      <c r="G4" s="21" t="s">
        <v>38</v>
      </c>
      <c r="H4" s="22"/>
      <c r="I4" s="21" t="s">
        <v>39</v>
      </c>
      <c r="J4" s="22"/>
      <c r="K4" s="21" t="s">
        <v>40</v>
      </c>
      <c r="L4" s="22"/>
      <c r="M4" s="21" t="s">
        <v>41</v>
      </c>
      <c r="N4" s="22"/>
      <c r="O4" s="21" t="s">
        <v>42</v>
      </c>
      <c r="P4" s="22"/>
      <c r="Q4" s="21" t="s">
        <v>43</v>
      </c>
      <c r="R4" s="22"/>
    </row>
    <row r="5" spans="1:18"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row>
    <row r="6" spans="1:18" x14ac:dyDescent="0.25">
      <c r="A6" s="9" t="s">
        <v>49</v>
      </c>
      <c r="B6" s="10"/>
      <c r="C6" s="10"/>
      <c r="D6" s="11"/>
      <c r="E6" s="10"/>
      <c r="F6" s="11"/>
      <c r="G6" s="10"/>
      <c r="H6" s="11"/>
      <c r="I6" s="10"/>
      <c r="J6" s="11"/>
      <c r="K6" s="10"/>
      <c r="L6" s="11"/>
      <c r="M6" s="10"/>
      <c r="N6" s="11"/>
      <c r="O6" s="10"/>
      <c r="P6" s="11"/>
      <c r="Q6" s="10"/>
      <c r="R6" s="12"/>
    </row>
    <row r="7" spans="1:18" x14ac:dyDescent="0.25">
      <c r="A7" s="11" t="s">
        <v>50</v>
      </c>
      <c r="B7" s="13">
        <v>14530</v>
      </c>
      <c r="C7" s="14">
        <f>(3644/B7*100)</f>
        <v>25.079146593255334</v>
      </c>
      <c r="D7" s="15">
        <v>10886</v>
      </c>
      <c r="E7" s="14">
        <v>35.995980160000002</v>
      </c>
      <c r="F7" s="16">
        <v>0.63314588999999999</v>
      </c>
      <c r="G7" s="14">
        <v>64.004019839999998</v>
      </c>
      <c r="H7" s="16">
        <v>0.63314588999999999</v>
      </c>
      <c r="I7" s="14">
        <v>0</v>
      </c>
      <c r="J7" s="16">
        <v>0</v>
      </c>
      <c r="K7" s="14" t="s">
        <v>51</v>
      </c>
      <c r="L7" s="16" t="s">
        <v>51</v>
      </c>
      <c r="M7" s="14">
        <v>0</v>
      </c>
      <c r="N7" s="16">
        <v>0</v>
      </c>
      <c r="O7" s="14">
        <v>0</v>
      </c>
      <c r="P7" s="16">
        <v>0</v>
      </c>
      <c r="Q7" s="14">
        <v>0</v>
      </c>
      <c r="R7" s="16">
        <v>0</v>
      </c>
    </row>
    <row r="8" spans="1:18"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row>
    <row r="9" spans="1:18" x14ac:dyDescent="0.25">
      <c r="A9" s="11" t="s">
        <v>172</v>
      </c>
      <c r="B9" s="13">
        <v>5675</v>
      </c>
      <c r="C9" s="14">
        <f>(354/B9*100)</f>
        <v>6.2378854625550657</v>
      </c>
      <c r="D9" s="15">
        <v>5321</v>
      </c>
      <c r="E9" s="14">
        <v>6.52054928</v>
      </c>
      <c r="F9" s="16">
        <v>0.31686202000000002</v>
      </c>
      <c r="G9" s="14">
        <v>13.33091795</v>
      </c>
      <c r="H9" s="16">
        <v>0.48445145000000001</v>
      </c>
      <c r="I9" s="14">
        <v>0</v>
      </c>
      <c r="J9" s="16">
        <v>0</v>
      </c>
      <c r="K9" s="14" t="s">
        <v>51</v>
      </c>
      <c r="L9" s="16" t="s">
        <v>51</v>
      </c>
      <c r="M9" s="14">
        <v>80.148532770000003</v>
      </c>
      <c r="N9" s="16">
        <v>0.56187430000000005</v>
      </c>
      <c r="O9" s="14">
        <v>0</v>
      </c>
      <c r="P9" s="16">
        <v>0</v>
      </c>
      <c r="Q9" s="14">
        <v>0</v>
      </c>
      <c r="R9" s="16">
        <v>0</v>
      </c>
    </row>
    <row r="10" spans="1:18" x14ac:dyDescent="0.25">
      <c r="A10" s="11" t="s">
        <v>173</v>
      </c>
      <c r="B10" s="13">
        <v>13082</v>
      </c>
      <c r="C10" s="14">
        <f>(323/B10*100)</f>
        <v>2.4690414309738573</v>
      </c>
      <c r="D10" s="15">
        <v>12759</v>
      </c>
      <c r="E10" s="14">
        <v>11.60229825</v>
      </c>
      <c r="F10" s="16">
        <v>0.36729300999999998</v>
      </c>
      <c r="G10" s="14">
        <v>12.91503769</v>
      </c>
      <c r="H10" s="16">
        <v>0.38695952</v>
      </c>
      <c r="I10" s="14">
        <v>0</v>
      </c>
      <c r="J10" s="16">
        <v>0</v>
      </c>
      <c r="K10" s="14" t="s">
        <v>51</v>
      </c>
      <c r="L10" s="16" t="s">
        <v>51</v>
      </c>
      <c r="M10" s="14">
        <v>75.482664060000005</v>
      </c>
      <c r="N10" s="16">
        <v>0.35583084999999998</v>
      </c>
      <c r="O10" s="14">
        <v>0</v>
      </c>
      <c r="P10" s="16">
        <v>0</v>
      </c>
      <c r="Q10" s="14">
        <v>0</v>
      </c>
      <c r="R10" s="16">
        <v>0</v>
      </c>
    </row>
    <row r="11" spans="1:18" x14ac:dyDescent="0.25">
      <c r="A11" s="11" t="s">
        <v>54</v>
      </c>
      <c r="B11" s="13">
        <v>7053</v>
      </c>
      <c r="C11" s="14">
        <f>(266/B11*100)</f>
        <v>3.7714447752729336</v>
      </c>
      <c r="D11" s="15">
        <v>6787</v>
      </c>
      <c r="E11" s="14">
        <v>11.286215199999999</v>
      </c>
      <c r="F11" s="16">
        <v>0.36016445000000002</v>
      </c>
      <c r="G11" s="14">
        <v>11.182544269999999</v>
      </c>
      <c r="H11" s="16">
        <v>0.36062921999999997</v>
      </c>
      <c r="I11" s="14">
        <v>0</v>
      </c>
      <c r="J11" s="16">
        <v>0</v>
      </c>
      <c r="K11" s="14" t="s">
        <v>51</v>
      </c>
      <c r="L11" s="16" t="s">
        <v>51</v>
      </c>
      <c r="M11" s="14">
        <v>77.531240530000005</v>
      </c>
      <c r="N11" s="16">
        <v>0.38581239000000001</v>
      </c>
      <c r="O11" s="14">
        <v>0</v>
      </c>
      <c r="P11" s="16">
        <v>0</v>
      </c>
      <c r="Q11" s="14">
        <v>0</v>
      </c>
      <c r="R11" s="16">
        <v>0</v>
      </c>
    </row>
    <row r="12" spans="1:18"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row>
    <row r="13" spans="1:18"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row>
    <row r="14" spans="1:18"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row>
    <row r="15" spans="1:18"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row>
    <row r="16" spans="1:18"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row>
    <row r="17" spans="1:18"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row>
    <row r="18" spans="1:18"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row>
    <row r="19" spans="1:18"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row>
    <row r="20" spans="1:18"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row>
    <row r="21" spans="1:18"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row>
    <row r="22" spans="1:18"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row>
    <row r="23" spans="1:18" x14ac:dyDescent="0.25">
      <c r="A23" s="11" t="s">
        <v>66</v>
      </c>
      <c r="B23" s="13">
        <v>11583</v>
      </c>
      <c r="C23" s="14">
        <f>(669/B23*100)</f>
        <v>5.7757057757057755</v>
      </c>
      <c r="D23" s="15">
        <v>10914</v>
      </c>
      <c r="E23" s="14">
        <v>8.5946900399999997</v>
      </c>
      <c r="F23" s="16">
        <v>0.29228786000000001</v>
      </c>
      <c r="G23" s="14">
        <v>13.332564939999999</v>
      </c>
      <c r="H23" s="16">
        <v>0.35297167000000002</v>
      </c>
      <c r="I23" s="14">
        <v>0</v>
      </c>
      <c r="J23" s="16">
        <v>0</v>
      </c>
      <c r="K23" s="14" t="s">
        <v>51</v>
      </c>
      <c r="L23" s="16" t="s">
        <v>51</v>
      </c>
      <c r="M23" s="14">
        <v>78.072745019999999</v>
      </c>
      <c r="N23" s="16">
        <v>0.36270903999999998</v>
      </c>
      <c r="O23" s="14">
        <v>0</v>
      </c>
      <c r="P23" s="16">
        <v>0</v>
      </c>
      <c r="Q23" s="14">
        <v>0</v>
      </c>
      <c r="R23" s="16">
        <v>0</v>
      </c>
    </row>
    <row r="24" spans="1:18"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row>
    <row r="25" spans="1:18"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row>
    <row r="26" spans="1:18"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row>
    <row r="27" spans="1:18"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row>
    <row r="28" spans="1:18"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row>
    <row r="29" spans="1:18" x14ac:dyDescent="0.25">
      <c r="A29" s="11" t="s">
        <v>72</v>
      </c>
      <c r="B29" s="13">
        <v>5385</v>
      </c>
      <c r="C29" s="14">
        <f>(69/B29*100)</f>
        <v>1.2813370473537604</v>
      </c>
      <c r="D29" s="15">
        <v>5316</v>
      </c>
      <c r="E29" s="14">
        <v>8.1943509999999993</v>
      </c>
      <c r="F29" s="16">
        <v>0.41916088000000001</v>
      </c>
      <c r="G29" s="14">
        <v>16.26513173</v>
      </c>
      <c r="H29" s="16">
        <v>0.35750278000000002</v>
      </c>
      <c r="I29" s="14">
        <v>0</v>
      </c>
      <c r="J29" s="16">
        <v>0</v>
      </c>
      <c r="K29" s="14" t="s">
        <v>51</v>
      </c>
      <c r="L29" s="16" t="s">
        <v>51</v>
      </c>
      <c r="M29" s="14">
        <v>75.540517269999995</v>
      </c>
      <c r="N29" s="16">
        <v>0.31169571000000001</v>
      </c>
      <c r="O29" s="14">
        <v>0</v>
      </c>
      <c r="P29" s="16">
        <v>0</v>
      </c>
      <c r="Q29" s="14">
        <v>0</v>
      </c>
      <c r="R29" s="16">
        <v>0</v>
      </c>
    </row>
    <row r="30" spans="1:18"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row>
    <row r="31" spans="1:18"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row>
    <row r="32" spans="1:18" x14ac:dyDescent="0.25">
      <c r="A32" s="11" t="s">
        <v>75</v>
      </c>
      <c r="B32" s="13">
        <v>4478</v>
      </c>
      <c r="C32" s="14">
        <f>(92/B32*100)</f>
        <v>2.0544886109870477</v>
      </c>
      <c r="D32" s="15">
        <v>4386</v>
      </c>
      <c r="E32" s="14">
        <v>7.7497920100000002</v>
      </c>
      <c r="F32" s="16">
        <v>0.38787307999999998</v>
      </c>
      <c r="G32" s="14">
        <v>29.82584069</v>
      </c>
      <c r="H32" s="16">
        <v>0.50524760000000002</v>
      </c>
      <c r="I32" s="14">
        <v>0</v>
      </c>
      <c r="J32" s="16">
        <v>0</v>
      </c>
      <c r="K32" s="14" t="s">
        <v>51</v>
      </c>
      <c r="L32" s="16" t="s">
        <v>51</v>
      </c>
      <c r="M32" s="14">
        <v>62.4243673</v>
      </c>
      <c r="N32" s="16">
        <v>0.36306243999999999</v>
      </c>
      <c r="O32" s="14">
        <v>0</v>
      </c>
      <c r="P32" s="16">
        <v>0</v>
      </c>
      <c r="Q32" s="14">
        <v>0</v>
      </c>
      <c r="R32" s="16">
        <v>0</v>
      </c>
    </row>
    <row r="33" spans="1:18"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row>
    <row r="34" spans="1:18" x14ac:dyDescent="0.25">
      <c r="A34" s="11" t="s">
        <v>77</v>
      </c>
      <c r="B34" s="13">
        <v>6350</v>
      </c>
      <c r="C34" s="14">
        <f>(300/B34*100)</f>
        <v>4.7244094488188972</v>
      </c>
      <c r="D34" s="15">
        <v>6050</v>
      </c>
      <c r="E34" s="14">
        <v>13.235370209999999</v>
      </c>
      <c r="F34" s="16">
        <v>0.39645207999999998</v>
      </c>
      <c r="G34" s="14">
        <v>8.4762297899999997</v>
      </c>
      <c r="H34" s="16">
        <v>0.33059056999999997</v>
      </c>
      <c r="I34" s="14">
        <v>0</v>
      </c>
      <c r="J34" s="16">
        <v>0</v>
      </c>
      <c r="K34" s="14" t="s">
        <v>51</v>
      </c>
      <c r="L34" s="16" t="s">
        <v>51</v>
      </c>
      <c r="M34" s="14">
        <v>78.288399999999996</v>
      </c>
      <c r="N34" s="16">
        <v>0.39527384999999998</v>
      </c>
      <c r="O34" s="14">
        <v>0</v>
      </c>
      <c r="P34" s="16">
        <v>0</v>
      </c>
      <c r="Q34" s="14">
        <v>0</v>
      </c>
      <c r="R34" s="16">
        <v>0</v>
      </c>
    </row>
    <row r="35" spans="1:18"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row>
    <row r="36" spans="1:18" x14ac:dyDescent="0.25">
      <c r="A36" s="11" t="s">
        <v>79</v>
      </c>
      <c r="B36" s="13">
        <v>6736</v>
      </c>
      <c r="C36" s="14">
        <f>(216/B36*100)</f>
        <v>3.2066508313539197</v>
      </c>
      <c r="D36" s="15">
        <v>6520</v>
      </c>
      <c r="E36" s="14">
        <v>7.4806152199999998</v>
      </c>
      <c r="F36" s="16">
        <v>0.34822718000000003</v>
      </c>
      <c r="G36" s="14">
        <v>16.137807989999999</v>
      </c>
      <c r="H36" s="16">
        <v>0.35659220000000003</v>
      </c>
      <c r="I36" s="14">
        <v>0</v>
      </c>
      <c r="J36" s="16">
        <v>0</v>
      </c>
      <c r="K36" s="14" t="s">
        <v>51</v>
      </c>
      <c r="L36" s="16" t="s">
        <v>51</v>
      </c>
      <c r="M36" s="14">
        <v>76.381576780000003</v>
      </c>
      <c r="N36" s="16">
        <v>0.25588045999999998</v>
      </c>
      <c r="O36" s="14">
        <v>0</v>
      </c>
      <c r="P36" s="16">
        <v>0</v>
      </c>
      <c r="Q36" s="14">
        <v>0</v>
      </c>
      <c r="R36" s="16">
        <v>0</v>
      </c>
    </row>
    <row r="37" spans="1:18"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row>
    <row r="38" spans="1:18"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row>
    <row r="39" spans="1:18"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row>
    <row r="40" spans="1:18"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row>
    <row r="41" spans="1:18" x14ac:dyDescent="0.25">
      <c r="A41" s="11" t="s">
        <v>84</v>
      </c>
      <c r="B41" s="13">
        <v>5712</v>
      </c>
      <c r="C41" s="14">
        <f>(170/B41*100)</f>
        <v>2.9761904761904758</v>
      </c>
      <c r="D41" s="15">
        <v>5542</v>
      </c>
      <c r="E41" s="14">
        <v>12.419954949999999</v>
      </c>
      <c r="F41" s="16">
        <v>0.35700082</v>
      </c>
      <c r="G41" s="14">
        <v>11.34153382</v>
      </c>
      <c r="H41" s="16">
        <v>0.35329248000000002</v>
      </c>
      <c r="I41" s="14">
        <v>0</v>
      </c>
      <c r="J41" s="16">
        <v>0</v>
      </c>
      <c r="K41" s="14" t="s">
        <v>51</v>
      </c>
      <c r="L41" s="16" t="s">
        <v>51</v>
      </c>
      <c r="M41" s="14">
        <v>76.23851123</v>
      </c>
      <c r="N41" s="16">
        <v>0.36657722999999998</v>
      </c>
      <c r="O41" s="14">
        <v>0</v>
      </c>
      <c r="P41" s="16">
        <v>0</v>
      </c>
      <c r="Q41" s="14">
        <v>0</v>
      </c>
      <c r="R41" s="16">
        <v>0</v>
      </c>
    </row>
    <row r="42" spans="1:18" x14ac:dyDescent="0.25">
      <c r="A42" s="11" t="s">
        <v>85</v>
      </c>
      <c r="B42" s="13">
        <f>IF(COUNT(B7:B41) &gt; 0, AVERAGE(B7:B41), "\u2014")</f>
        <v>8058.4</v>
      </c>
      <c r="C42" s="14">
        <f>IF(COUNT(C7:C41) &gt; 0, AVERAGE(C7:C41), "—")</f>
        <v>5.7576300452467066</v>
      </c>
      <c r="D42" s="15">
        <f>IF(COUNT(D7:D41) &gt; 0, AVERAGE(D7:D41), "—")</f>
        <v>7448.1</v>
      </c>
      <c r="E42" s="14">
        <f>IF(COUNT(E7:E41) &gt; 0, AVERAGE(E7:E41), "—")</f>
        <v>12.307981632000001</v>
      </c>
      <c r="F42" s="16">
        <f>IF(COUNT(F7:F41) &gt; 0, SQRT(SUMSQ(F7:F41)/(COUNT(F7:F41)*COUNT(F7:F41)) ), "—")</f>
        <v>0.1258315307346782</v>
      </c>
      <c r="G42" s="14">
        <f>IF(COUNT(G7:G41) &gt; 0, AVERAGE(G7:G41), "—")</f>
        <v>19.681162870999998</v>
      </c>
      <c r="H42" s="16">
        <f>IF(COUNT(H7:H41) &gt; 0, SQRT(SUMSQ(H7:H41)/(COUNT(H7:H41)*COUNT(H7:H41)) ), "—")</f>
        <v>0.13357747202286119</v>
      </c>
      <c r="I42" s="14">
        <f>IF(COUNT(I7:I41) &gt; 0, AVERAGE(I7:I41), "—")</f>
        <v>0</v>
      </c>
      <c r="J42" s="16">
        <f>IF(COUNT(J7:J41) &gt; 0, SQRT(SUMSQ(J7:J41)/(COUNT(J7:J41)*COUNT(J7:J41)) ), "—")</f>
        <v>0</v>
      </c>
      <c r="K42" s="14" t="str">
        <f>IF(COUNT(K7:K41) &gt; 0, AVERAGE(K7:K41), "—")</f>
        <v>—</v>
      </c>
      <c r="L42" s="16" t="str">
        <f>IF(COUNT(L7:L41) &gt; 0, SQRT(SUMSQ(L7:L41)/(COUNT(L7:L41)*COUNT(L7:L41)) ), "—")</f>
        <v>—</v>
      </c>
      <c r="M42" s="14">
        <f>IF(COUNT(M7:M41) &gt; 0, AVERAGE(M7:M41), "—")</f>
        <v>68.010855496000005</v>
      </c>
      <c r="N42" s="16">
        <f>IF(COUNT(N7:N41) &gt; 0, SQRT(SUMSQ(N7:N41)/(COUNT(N7:N41)*COUNT(N7:N41)) ), "—")</f>
        <v>0.11435869068928303</v>
      </c>
      <c r="O42" s="14">
        <f>IF(COUNT(O7:O41) &gt; 0, AVERAGE(O7:O41), "—")</f>
        <v>0</v>
      </c>
      <c r="P42" s="16">
        <f>IF(COUNT(P7:P41) &gt; 0, SQRT(SUMSQ(P7:P41)/(COUNT(P7:P41)*COUNT(P7:P41)) ), "—")</f>
        <v>0</v>
      </c>
      <c r="Q42" s="14">
        <f>IF(COUNT(Q7:Q41) &gt; 0, AVERAGE(Q7:Q41), "—")</f>
        <v>0</v>
      </c>
      <c r="R42" s="16">
        <f>IF(COUNT(R7:R41) &gt; 0, SQRT(SUMSQ(R7:R41)/(COUNT(R7:R41)*COUNT(R7:R41)) ), "—")</f>
        <v>0</v>
      </c>
    </row>
    <row r="43" spans="1:18" x14ac:dyDescent="0.25">
      <c r="A43" s="9" t="s">
        <v>86</v>
      </c>
      <c r="B43" s="10"/>
      <c r="C43" s="10"/>
      <c r="D43" s="11"/>
      <c r="E43" s="10"/>
      <c r="F43" s="11"/>
      <c r="G43" s="10"/>
      <c r="H43" s="11"/>
      <c r="I43" s="10"/>
      <c r="J43" s="11"/>
      <c r="K43" s="10"/>
      <c r="L43" s="11"/>
      <c r="M43" s="10"/>
      <c r="N43" s="11"/>
      <c r="O43" s="10"/>
      <c r="P43" s="11"/>
      <c r="Q43" s="10"/>
      <c r="R43" s="12"/>
    </row>
    <row r="44" spans="1:18"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row>
    <row r="45" spans="1:18"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row>
    <row r="46" spans="1:18" x14ac:dyDescent="0.25">
      <c r="A46" s="11" t="s">
        <v>89</v>
      </c>
      <c r="B46" s="13">
        <v>23141</v>
      </c>
      <c r="C46" s="14">
        <f>(3892/B46*100)</f>
        <v>16.818633594053843</v>
      </c>
      <c r="D46" s="15">
        <v>19249</v>
      </c>
      <c r="E46" s="14">
        <v>6.5337758099999999</v>
      </c>
      <c r="F46" s="16">
        <v>0.23311630999999999</v>
      </c>
      <c r="G46" s="14">
        <v>5.9552413399999997</v>
      </c>
      <c r="H46" s="16">
        <v>0.27844949000000002</v>
      </c>
      <c r="I46" s="14">
        <v>0</v>
      </c>
      <c r="J46" s="16">
        <v>0</v>
      </c>
      <c r="K46" s="14" t="s">
        <v>51</v>
      </c>
      <c r="L46" s="16" t="s">
        <v>51</v>
      </c>
      <c r="M46" s="14">
        <v>87.510982850000005</v>
      </c>
      <c r="N46" s="16">
        <v>0.37470818</v>
      </c>
      <c r="O46" s="14">
        <v>0</v>
      </c>
      <c r="P46" s="16">
        <v>0</v>
      </c>
      <c r="Q46" s="14">
        <v>0</v>
      </c>
      <c r="R46" s="16">
        <v>0</v>
      </c>
    </row>
    <row r="47" spans="1:18"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row>
    <row r="48" spans="1:18" x14ac:dyDescent="0.25">
      <c r="A48" s="11" t="s">
        <v>91</v>
      </c>
      <c r="B48" s="13">
        <v>9841</v>
      </c>
      <c r="C48" s="14">
        <f>(102/B48*100)</f>
        <v>1.0364800325170207</v>
      </c>
      <c r="D48" s="15">
        <v>9739</v>
      </c>
      <c r="E48" s="14">
        <v>8.3435444600000004</v>
      </c>
      <c r="F48" s="16">
        <v>0.37958254000000002</v>
      </c>
      <c r="G48" s="14">
        <v>16.47154136</v>
      </c>
      <c r="H48" s="16">
        <v>0.40770820000000002</v>
      </c>
      <c r="I48" s="14">
        <v>0</v>
      </c>
      <c r="J48" s="16">
        <v>0</v>
      </c>
      <c r="K48" s="14" t="s">
        <v>51</v>
      </c>
      <c r="L48" s="16" t="s">
        <v>51</v>
      </c>
      <c r="M48" s="14">
        <v>75.184914180000007</v>
      </c>
      <c r="N48" s="16">
        <v>0.30093511000000001</v>
      </c>
      <c r="O48" s="14">
        <v>0</v>
      </c>
      <c r="P48" s="16">
        <v>0</v>
      </c>
      <c r="Q48" s="14">
        <v>0</v>
      </c>
      <c r="R48" s="16">
        <v>0</v>
      </c>
    </row>
    <row r="49" spans="1:18"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row>
    <row r="50" spans="1:18"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row>
    <row r="51" spans="1:18"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row>
    <row r="52" spans="1:18"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row>
    <row r="53" spans="1:18"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row>
    <row r="54" spans="1:18"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row>
    <row r="55" spans="1:18"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row>
    <row r="56" spans="1:18"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row>
    <row r="57" spans="1:18"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row>
    <row r="58" spans="1:18"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row>
    <row r="59" spans="1:18"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row>
    <row r="60" spans="1:18"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row>
    <row r="61" spans="1:18" x14ac:dyDescent="0.25">
      <c r="A61" s="11" t="s">
        <v>104</v>
      </c>
      <c r="B61" s="13">
        <v>6525</v>
      </c>
      <c r="C61" s="14">
        <f>(180/B61*100)</f>
        <v>2.7586206896551726</v>
      </c>
      <c r="D61" s="15">
        <v>6345</v>
      </c>
      <c r="E61" s="14">
        <v>16.191741660000002</v>
      </c>
      <c r="F61" s="16">
        <v>0.36070289999999999</v>
      </c>
      <c r="G61" s="14">
        <v>8.3941919299999999</v>
      </c>
      <c r="H61" s="16">
        <v>0.34553929999999999</v>
      </c>
      <c r="I61" s="14">
        <v>0</v>
      </c>
      <c r="J61" s="16">
        <v>0</v>
      </c>
      <c r="K61" s="14" t="s">
        <v>51</v>
      </c>
      <c r="L61" s="16" t="s">
        <v>51</v>
      </c>
      <c r="M61" s="14">
        <v>75.414066410000004</v>
      </c>
      <c r="N61" s="16">
        <v>0.40271553999999998</v>
      </c>
      <c r="O61" s="14">
        <v>0</v>
      </c>
      <c r="P61" s="16">
        <v>0</v>
      </c>
      <c r="Q61" s="14">
        <v>0</v>
      </c>
      <c r="R61" s="16">
        <v>0</v>
      </c>
    </row>
    <row r="62" spans="1:18"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row>
    <row r="63" spans="1:18"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row>
    <row r="64" spans="1:18"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row>
    <row r="65" spans="1:18"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row>
    <row r="66" spans="1:18"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row>
    <row r="67" spans="1:18" x14ac:dyDescent="0.25">
      <c r="A67" s="11" t="s">
        <v>110</v>
      </c>
      <c r="B67" s="13">
        <v>6971</v>
      </c>
      <c r="C67" s="14">
        <f>(751/B67*100)</f>
        <v>10.77320327069287</v>
      </c>
      <c r="D67" s="15">
        <v>6220</v>
      </c>
      <c r="E67" s="14">
        <v>12.02698373</v>
      </c>
      <c r="F67" s="16">
        <v>0.44249186000000001</v>
      </c>
      <c r="G67" s="14">
        <v>4.9314147500000001</v>
      </c>
      <c r="H67" s="16">
        <v>0.30762685000000001</v>
      </c>
      <c r="I67" s="14">
        <v>0</v>
      </c>
      <c r="J67" s="16">
        <v>0</v>
      </c>
      <c r="K67" s="14" t="s">
        <v>51</v>
      </c>
      <c r="L67" s="16" t="s">
        <v>51</v>
      </c>
      <c r="M67" s="14">
        <v>83.041601510000007</v>
      </c>
      <c r="N67" s="16">
        <v>0.54635677000000005</v>
      </c>
      <c r="O67" s="14">
        <v>0</v>
      </c>
      <c r="P67" s="16">
        <v>0</v>
      </c>
      <c r="Q67" s="14">
        <v>0</v>
      </c>
      <c r="R67" s="16">
        <v>0</v>
      </c>
    </row>
    <row r="68" spans="1:18"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row>
    <row r="69" spans="1:18"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row>
    <row r="70" spans="1:18" x14ac:dyDescent="0.25">
      <c r="A70" s="11" t="s">
        <v>113</v>
      </c>
      <c r="B70" s="13">
        <v>6036</v>
      </c>
      <c r="C70" s="14">
        <f>(406/B70*100)</f>
        <v>6.7263088137839624</v>
      </c>
      <c r="D70" s="15">
        <v>5630</v>
      </c>
      <c r="E70" s="14">
        <v>9.7656253999999993</v>
      </c>
      <c r="F70" s="16">
        <v>0.37062221000000001</v>
      </c>
      <c r="G70" s="14">
        <v>10.503958470000001</v>
      </c>
      <c r="H70" s="16">
        <v>0.43562729</v>
      </c>
      <c r="I70" s="14">
        <v>0</v>
      </c>
      <c r="J70" s="16">
        <v>0</v>
      </c>
      <c r="K70" s="14" t="s">
        <v>51</v>
      </c>
      <c r="L70" s="16" t="s">
        <v>51</v>
      </c>
      <c r="M70" s="14">
        <v>79.730416120000001</v>
      </c>
      <c r="N70" s="16">
        <v>0.51407524999999998</v>
      </c>
      <c r="O70" s="14">
        <v>0</v>
      </c>
      <c r="P70" s="16">
        <v>0</v>
      </c>
      <c r="Q70" s="14">
        <v>0</v>
      </c>
      <c r="R70" s="16">
        <v>0</v>
      </c>
    </row>
    <row r="71" spans="1:18"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row>
    <row r="72" spans="1:18"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row>
    <row r="73" spans="1:18"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row>
    <row r="74" spans="1:18"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row>
    <row r="75" spans="1:18"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row>
    <row r="76" spans="1:18"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row>
    <row r="77" spans="1:18"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row>
    <row r="78" spans="1:18"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row>
    <row r="79" spans="1:18"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row>
    <row r="80" spans="1:18"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row>
    <row r="81" spans="1:18"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row>
    <row r="82" spans="1:18"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row>
    <row r="83" spans="1:18" x14ac:dyDescent="0.25">
      <c r="A83" s="3" t="s">
        <v>126</v>
      </c>
    </row>
    <row r="84" spans="1:18" x14ac:dyDescent="0.25">
      <c r="A84" s="26" t="s">
        <v>127</v>
      </c>
      <c r="B84" s="24"/>
      <c r="C84" s="24"/>
      <c r="D84" s="24"/>
      <c r="E84" s="24"/>
      <c r="F84" s="24"/>
      <c r="G84" s="24"/>
      <c r="H84" s="24"/>
      <c r="I84" s="24"/>
      <c r="J84" s="24"/>
      <c r="K84" s="24"/>
      <c r="L84" s="24"/>
      <c r="M84" s="24"/>
      <c r="N84" s="24"/>
      <c r="O84" s="24"/>
      <c r="P84" s="24"/>
      <c r="Q84" s="24"/>
      <c r="R84" s="24"/>
    </row>
    <row r="85" spans="1:18" x14ac:dyDescent="0.25">
      <c r="A85" s="26" t="s">
        <v>128</v>
      </c>
      <c r="B85" s="24"/>
      <c r="C85" s="24"/>
      <c r="D85" s="24"/>
      <c r="E85" s="24"/>
      <c r="F85" s="24"/>
      <c r="G85" s="24"/>
      <c r="H85" s="24"/>
      <c r="I85" s="24"/>
      <c r="J85" s="24"/>
      <c r="K85" s="24"/>
      <c r="L85" s="24"/>
      <c r="M85" s="24"/>
      <c r="N85" s="24"/>
      <c r="O85" s="24"/>
      <c r="P85" s="24"/>
      <c r="Q85" s="24"/>
      <c r="R85" s="24"/>
    </row>
    <row r="86" spans="1:18" ht="30" customHeight="1" x14ac:dyDescent="0.25">
      <c r="A86" s="26" t="s">
        <v>129</v>
      </c>
      <c r="B86" s="24"/>
      <c r="C86" s="24"/>
      <c r="D86" s="24"/>
      <c r="E86" s="24"/>
      <c r="F86" s="24"/>
      <c r="G86" s="24"/>
      <c r="H86" s="24"/>
      <c r="I86" s="24"/>
      <c r="J86" s="24"/>
      <c r="K86" s="24"/>
      <c r="L86" s="24"/>
      <c r="M86" s="24"/>
      <c r="N86" s="24"/>
      <c r="O86" s="24"/>
      <c r="P86" s="24"/>
      <c r="Q86" s="24"/>
      <c r="R86" s="24"/>
    </row>
    <row r="87" spans="1:18" ht="30" customHeight="1" x14ac:dyDescent="0.25">
      <c r="A87" s="26" t="s">
        <v>125</v>
      </c>
      <c r="B87" s="24"/>
      <c r="C87" s="24"/>
      <c r="D87" s="24"/>
      <c r="E87" s="24"/>
      <c r="F87" s="24"/>
      <c r="G87" s="24"/>
      <c r="H87" s="24"/>
      <c r="I87" s="24"/>
      <c r="J87" s="24"/>
      <c r="K87" s="24"/>
      <c r="L87" s="24"/>
      <c r="M87" s="24"/>
      <c r="N87" s="24"/>
      <c r="O87" s="24"/>
      <c r="P87" s="24"/>
      <c r="Q87" s="24"/>
      <c r="R87" s="24"/>
    </row>
    <row r="88" spans="1:18" ht="30" customHeight="1" x14ac:dyDescent="0.25">
      <c r="A88" s="26" t="s">
        <v>130</v>
      </c>
      <c r="B88" s="24"/>
      <c r="C88" s="24"/>
      <c r="D88" s="24"/>
      <c r="E88" s="24"/>
      <c r="F88" s="24"/>
      <c r="G88" s="24"/>
      <c r="H88" s="24"/>
      <c r="I88" s="24"/>
      <c r="J88" s="24"/>
      <c r="K88" s="24"/>
      <c r="L88" s="24"/>
      <c r="M88" s="24"/>
      <c r="N88" s="24"/>
      <c r="O88" s="24"/>
      <c r="P88" s="24"/>
      <c r="Q88" s="24"/>
      <c r="R88" s="24"/>
    </row>
    <row r="89" spans="1:18" ht="30" customHeight="1" x14ac:dyDescent="0.25">
      <c r="A89" s="26" t="s">
        <v>131</v>
      </c>
      <c r="B89" s="24"/>
      <c r="C89" s="24"/>
      <c r="D89" s="24"/>
      <c r="E89" s="24"/>
      <c r="F89" s="24"/>
      <c r="G89" s="24"/>
      <c r="H89" s="24"/>
      <c r="I89" s="24"/>
      <c r="J89" s="24"/>
      <c r="K89" s="24"/>
      <c r="L89" s="24"/>
      <c r="M89" s="24"/>
      <c r="N89" s="24"/>
      <c r="O89" s="24"/>
      <c r="P89" s="24"/>
      <c r="Q89" s="24"/>
      <c r="R89" s="24"/>
    </row>
    <row r="90" spans="1:18" ht="30" customHeight="1" x14ac:dyDescent="0.25">
      <c r="A90" s="26" t="s">
        <v>132</v>
      </c>
      <c r="B90" s="24"/>
      <c r="C90" s="24"/>
      <c r="D90" s="24"/>
      <c r="E90" s="24"/>
      <c r="F90" s="24"/>
      <c r="G90" s="24"/>
      <c r="H90" s="24"/>
      <c r="I90" s="24"/>
      <c r="J90" s="24"/>
      <c r="K90" s="24"/>
      <c r="L90" s="24"/>
      <c r="M90" s="24"/>
      <c r="N90" s="24"/>
      <c r="O90" s="24"/>
      <c r="P90" s="24"/>
      <c r="Q90" s="24"/>
      <c r="R90" s="24"/>
    </row>
    <row r="91" spans="1:18" ht="30" customHeight="1" x14ac:dyDescent="0.25">
      <c r="A91" s="26" t="s">
        <v>133</v>
      </c>
      <c r="B91" s="24"/>
      <c r="C91" s="24"/>
      <c r="D91" s="24"/>
      <c r="E91" s="24"/>
      <c r="F91" s="24"/>
      <c r="G91" s="24"/>
      <c r="H91" s="24"/>
      <c r="I91" s="24"/>
      <c r="J91" s="24"/>
      <c r="K91" s="24"/>
      <c r="L91" s="24"/>
      <c r="M91" s="24"/>
      <c r="N91" s="24"/>
      <c r="O91" s="24"/>
      <c r="P91" s="24"/>
      <c r="Q91" s="24"/>
      <c r="R91" s="24"/>
    </row>
    <row r="92" spans="1:18" ht="30" customHeight="1" x14ac:dyDescent="0.25">
      <c r="A92" s="26" t="s">
        <v>134</v>
      </c>
      <c r="B92" s="24"/>
      <c r="C92" s="24"/>
      <c r="D92" s="24"/>
      <c r="E92" s="24"/>
      <c r="F92" s="24"/>
      <c r="G92" s="24"/>
      <c r="H92" s="24"/>
      <c r="I92" s="24"/>
      <c r="J92" s="24"/>
      <c r="K92" s="24"/>
      <c r="L92" s="24"/>
      <c r="M92" s="24"/>
      <c r="N92" s="24"/>
      <c r="O92" s="24"/>
      <c r="P92" s="24"/>
      <c r="Q92" s="24"/>
      <c r="R92" s="24"/>
    </row>
    <row r="93" spans="1:18" ht="30" customHeight="1" x14ac:dyDescent="0.25">
      <c r="A93" s="26" t="s">
        <v>135</v>
      </c>
      <c r="B93" s="24"/>
      <c r="C93" s="24"/>
      <c r="D93" s="24"/>
      <c r="E93" s="24"/>
      <c r="F93" s="24"/>
      <c r="G93" s="24"/>
      <c r="H93" s="24"/>
      <c r="I93" s="24"/>
      <c r="J93" s="24"/>
      <c r="K93" s="24"/>
      <c r="L93" s="24"/>
      <c r="M93" s="24"/>
      <c r="N93" s="24"/>
      <c r="O93" s="24"/>
      <c r="P93" s="24"/>
      <c r="Q93" s="24"/>
      <c r="R93" s="24"/>
    </row>
    <row r="94" spans="1:18" ht="30" customHeight="1" x14ac:dyDescent="0.25">
      <c r="A94" s="26" t="s">
        <v>136</v>
      </c>
      <c r="B94" s="24"/>
      <c r="C94" s="24"/>
      <c r="D94" s="24"/>
      <c r="E94" s="24"/>
      <c r="F94" s="24"/>
      <c r="G94" s="24"/>
      <c r="H94" s="24"/>
      <c r="I94" s="24"/>
      <c r="J94" s="24"/>
      <c r="K94" s="24"/>
      <c r="L94" s="24"/>
      <c r="M94" s="24"/>
      <c r="N94" s="24"/>
      <c r="O94" s="24"/>
      <c r="P94" s="24"/>
      <c r="Q94" s="24"/>
      <c r="R94" s="24"/>
    </row>
    <row r="95" spans="1:18" ht="30" customHeight="1" x14ac:dyDescent="0.25">
      <c r="A95" s="26" t="s">
        <v>137</v>
      </c>
      <c r="B95" s="24"/>
      <c r="C95" s="24"/>
      <c r="D95" s="24"/>
      <c r="E95" s="24"/>
      <c r="F95" s="24"/>
      <c r="G95" s="24"/>
      <c r="H95" s="24"/>
      <c r="I95" s="24"/>
      <c r="J95" s="24"/>
      <c r="K95" s="24"/>
      <c r="L95" s="24"/>
      <c r="M95" s="24"/>
      <c r="N95" s="24"/>
      <c r="O95" s="24"/>
      <c r="P95" s="24"/>
      <c r="Q95" s="24"/>
      <c r="R95" s="24"/>
    </row>
    <row r="96" spans="1:18" ht="30" customHeight="1" x14ac:dyDescent="0.25">
      <c r="A96" s="26" t="s">
        <v>138</v>
      </c>
      <c r="B96" s="24"/>
      <c r="C96" s="24"/>
      <c r="D96" s="24"/>
      <c r="E96" s="24"/>
      <c r="F96" s="24"/>
      <c r="G96" s="24"/>
      <c r="H96" s="24"/>
      <c r="I96" s="24"/>
      <c r="J96" s="24"/>
      <c r="K96" s="24"/>
      <c r="L96" s="24"/>
      <c r="M96" s="24"/>
      <c r="N96" s="24"/>
      <c r="O96" s="24"/>
      <c r="P96" s="24"/>
      <c r="Q96" s="24"/>
      <c r="R96" s="24"/>
    </row>
    <row r="97" spans="1:1" ht="30" customHeight="1" x14ac:dyDescent="0.25">
      <c r="A97" s="27" t="s">
        <v>171</v>
      </c>
    </row>
  </sheetData>
  <mergeCells count="22">
    <mergeCell ref="A95:R95"/>
    <mergeCell ref="A96:R96"/>
    <mergeCell ref="A90:R90"/>
    <mergeCell ref="A91:R91"/>
    <mergeCell ref="A92:R92"/>
    <mergeCell ref="A93:R93"/>
    <mergeCell ref="A94:R94"/>
    <mergeCell ref="A85:R85"/>
    <mergeCell ref="A86:R86"/>
    <mergeCell ref="A87:R87"/>
    <mergeCell ref="A88:R88"/>
    <mergeCell ref="A89:R89"/>
    <mergeCell ref="O4:P4"/>
    <mergeCell ref="Q4:R4"/>
    <mergeCell ref="A1:R1"/>
    <mergeCell ref="A2:R2"/>
    <mergeCell ref="A84:R84"/>
    <mergeCell ref="E4:F4"/>
    <mergeCell ref="G4:H4"/>
    <mergeCell ref="I4:J4"/>
    <mergeCell ref="K4:L4"/>
    <mergeCell ref="M4:N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7"/>
  <sheetViews>
    <sheetView tabSelected="1" topLeftCell="A67"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22" x14ac:dyDescent="0.25">
      <c r="A1" s="23" t="s">
        <v>33</v>
      </c>
      <c r="B1" s="24"/>
      <c r="C1" s="24"/>
      <c r="D1" s="24"/>
      <c r="E1" s="24"/>
      <c r="F1" s="24"/>
      <c r="G1" s="24"/>
      <c r="H1" s="24"/>
      <c r="I1" s="24"/>
      <c r="J1" s="24"/>
      <c r="K1" s="24"/>
      <c r="L1" s="24"/>
      <c r="M1" s="24"/>
      <c r="N1" s="24"/>
      <c r="O1" s="24"/>
      <c r="P1" s="24"/>
      <c r="Q1" s="24"/>
      <c r="R1" s="24"/>
      <c r="S1" s="24"/>
      <c r="T1" s="24"/>
      <c r="U1" s="24"/>
      <c r="V1" s="24"/>
    </row>
    <row r="2" spans="1:22" x14ac:dyDescent="0.25">
      <c r="A2" s="25" t="s">
        <v>141</v>
      </c>
      <c r="B2" s="24"/>
      <c r="C2" s="24"/>
      <c r="D2" s="24"/>
      <c r="E2" s="24"/>
      <c r="F2" s="24"/>
      <c r="G2" s="24"/>
      <c r="H2" s="24"/>
      <c r="I2" s="24"/>
      <c r="J2" s="24"/>
      <c r="K2" s="24"/>
      <c r="L2" s="24"/>
      <c r="M2" s="24"/>
      <c r="N2" s="24"/>
      <c r="O2" s="24"/>
      <c r="P2" s="24"/>
      <c r="Q2" s="24"/>
      <c r="R2" s="24"/>
      <c r="S2" s="24"/>
      <c r="T2" s="24"/>
      <c r="U2" s="24"/>
      <c r="V2" s="24"/>
    </row>
    <row r="4" spans="1:22" ht="30" customHeight="1" x14ac:dyDescent="0.25">
      <c r="A4" s="4"/>
      <c r="B4" s="5" t="s">
        <v>35</v>
      </c>
      <c r="C4" s="5" t="s">
        <v>36</v>
      </c>
      <c r="D4" s="6" t="s">
        <v>35</v>
      </c>
      <c r="E4" s="21" t="s">
        <v>142</v>
      </c>
      <c r="F4" s="22"/>
      <c r="G4" s="21" t="s">
        <v>143</v>
      </c>
      <c r="H4" s="22"/>
      <c r="I4" s="21" t="s">
        <v>144</v>
      </c>
      <c r="J4" s="22"/>
      <c r="K4" s="21" t="s">
        <v>145</v>
      </c>
      <c r="L4" s="22"/>
      <c r="M4" s="21" t="s">
        <v>39</v>
      </c>
      <c r="N4" s="22"/>
      <c r="O4" s="21" t="s">
        <v>40</v>
      </c>
      <c r="P4" s="22"/>
      <c r="Q4" s="21" t="s">
        <v>41</v>
      </c>
      <c r="R4" s="22"/>
      <c r="S4" s="21" t="s">
        <v>42</v>
      </c>
      <c r="T4" s="22"/>
      <c r="U4" s="21" t="s">
        <v>43</v>
      </c>
      <c r="V4" s="22"/>
    </row>
    <row r="5" spans="1:22"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c r="S5" s="8" t="s">
        <v>47</v>
      </c>
      <c r="T5" s="7" t="s">
        <v>48</v>
      </c>
      <c r="U5" s="8" t="s">
        <v>47</v>
      </c>
      <c r="V5" s="7" t="s">
        <v>48</v>
      </c>
    </row>
    <row r="6" spans="1:22" x14ac:dyDescent="0.25">
      <c r="A6" s="9" t="s">
        <v>49</v>
      </c>
      <c r="B6" s="10"/>
      <c r="C6" s="10"/>
      <c r="D6" s="11"/>
      <c r="E6" s="10"/>
      <c r="F6" s="11"/>
      <c r="G6" s="10"/>
      <c r="H6" s="11"/>
      <c r="I6" s="10"/>
      <c r="J6" s="11"/>
      <c r="K6" s="10"/>
      <c r="L6" s="11"/>
      <c r="M6" s="10"/>
      <c r="N6" s="11"/>
      <c r="O6" s="10"/>
      <c r="P6" s="11"/>
      <c r="Q6" s="10"/>
      <c r="R6" s="11"/>
      <c r="S6" s="10"/>
      <c r="T6" s="11"/>
      <c r="U6" s="10"/>
      <c r="V6" s="12"/>
    </row>
    <row r="7" spans="1:22" x14ac:dyDescent="0.25">
      <c r="A7" s="11" t="s">
        <v>50</v>
      </c>
      <c r="B7" s="13">
        <v>14530</v>
      </c>
      <c r="C7" s="14">
        <f>(3370/B7*100)</f>
        <v>23.193392980041295</v>
      </c>
      <c r="D7" s="15">
        <v>11160</v>
      </c>
      <c r="E7" s="14">
        <v>15.666938719999999</v>
      </c>
      <c r="F7" s="16">
        <v>0.40139773000000001</v>
      </c>
      <c r="G7" s="14">
        <v>34.872583929999998</v>
      </c>
      <c r="H7" s="16">
        <v>0.55730703999999998</v>
      </c>
      <c r="I7" s="14">
        <v>37.076550490000002</v>
      </c>
      <c r="J7" s="16">
        <v>0.63499011000000005</v>
      </c>
      <c r="K7" s="14">
        <v>12.383926860000001</v>
      </c>
      <c r="L7" s="16">
        <v>0.35993059999999999</v>
      </c>
      <c r="M7" s="14">
        <v>0</v>
      </c>
      <c r="N7" s="16">
        <v>0</v>
      </c>
      <c r="O7" s="14" t="s">
        <v>51</v>
      </c>
      <c r="P7" s="16" t="s">
        <v>51</v>
      </c>
      <c r="Q7" s="14">
        <v>0</v>
      </c>
      <c r="R7" s="16">
        <v>0</v>
      </c>
      <c r="S7" s="14">
        <v>0</v>
      </c>
      <c r="T7" s="16">
        <v>0</v>
      </c>
      <c r="U7" s="14">
        <v>0</v>
      </c>
      <c r="V7" s="16">
        <v>0</v>
      </c>
    </row>
    <row r="8" spans="1:22"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c r="S8" s="17" t="s">
        <v>53</v>
      </c>
      <c r="T8" s="18" t="s">
        <v>53</v>
      </c>
      <c r="U8" s="17" t="s">
        <v>53</v>
      </c>
      <c r="V8" s="18" t="s">
        <v>53</v>
      </c>
    </row>
    <row r="9" spans="1:22" x14ac:dyDescent="0.25">
      <c r="A9" s="11" t="s">
        <v>172</v>
      </c>
      <c r="B9" s="13">
        <v>5675</v>
      </c>
      <c r="C9" s="14">
        <f>(346/B9*100)</f>
        <v>6.0969162995594708</v>
      </c>
      <c r="D9" s="15">
        <v>5329</v>
      </c>
      <c r="E9" s="14">
        <v>3.2237673600000001</v>
      </c>
      <c r="F9" s="16">
        <v>0.23782492999999999</v>
      </c>
      <c r="G9" s="14">
        <v>7.4893665599999997</v>
      </c>
      <c r="H9" s="16">
        <v>0.36524141999999998</v>
      </c>
      <c r="I9" s="14">
        <v>6.5562073999999999</v>
      </c>
      <c r="J9" s="16">
        <v>0.36932582000000003</v>
      </c>
      <c r="K9" s="14">
        <v>2.7280789699999999</v>
      </c>
      <c r="L9" s="16">
        <v>0.21588270000000001</v>
      </c>
      <c r="M9" s="14">
        <v>0</v>
      </c>
      <c r="N9" s="16">
        <v>0</v>
      </c>
      <c r="O9" s="14" t="s">
        <v>51</v>
      </c>
      <c r="P9" s="16" t="s">
        <v>51</v>
      </c>
      <c r="Q9" s="14">
        <v>80.00257972</v>
      </c>
      <c r="R9" s="16">
        <v>0.57385558999999997</v>
      </c>
      <c r="S9" s="14">
        <v>0</v>
      </c>
      <c r="T9" s="16">
        <v>0</v>
      </c>
      <c r="U9" s="14">
        <v>0</v>
      </c>
      <c r="V9" s="16">
        <v>0</v>
      </c>
    </row>
    <row r="10" spans="1:22" x14ac:dyDescent="0.25">
      <c r="A10" s="11" t="s">
        <v>173</v>
      </c>
      <c r="B10" s="13">
        <v>13082</v>
      </c>
      <c r="C10" s="14">
        <f>(293/B10*100)</f>
        <v>2.2397186974468735</v>
      </c>
      <c r="D10" s="15">
        <v>12789</v>
      </c>
      <c r="E10" s="14">
        <v>3.2355926799999999</v>
      </c>
      <c r="F10" s="16">
        <v>0.2001472</v>
      </c>
      <c r="G10" s="14">
        <v>8.1454477399999998</v>
      </c>
      <c r="H10" s="16">
        <v>0.35405534</v>
      </c>
      <c r="I10" s="14">
        <v>8.9875136599999994</v>
      </c>
      <c r="J10" s="16">
        <v>0.3507789</v>
      </c>
      <c r="K10" s="14">
        <v>4.2887672400000003</v>
      </c>
      <c r="L10" s="16">
        <v>0.28586144000000002</v>
      </c>
      <c r="M10" s="14">
        <v>0</v>
      </c>
      <c r="N10" s="16">
        <v>0</v>
      </c>
      <c r="O10" s="14" t="s">
        <v>51</v>
      </c>
      <c r="P10" s="16" t="s">
        <v>51</v>
      </c>
      <c r="Q10" s="14">
        <v>75.342678669999998</v>
      </c>
      <c r="R10" s="16">
        <v>0.35142633000000001</v>
      </c>
      <c r="S10" s="14">
        <v>0</v>
      </c>
      <c r="T10" s="16">
        <v>0</v>
      </c>
      <c r="U10" s="14">
        <v>0</v>
      </c>
      <c r="V10" s="16">
        <v>0</v>
      </c>
    </row>
    <row r="11" spans="1:22" x14ac:dyDescent="0.25">
      <c r="A11" s="11" t="s">
        <v>54</v>
      </c>
      <c r="B11" s="13">
        <v>7053</v>
      </c>
      <c r="C11" s="14">
        <f>(272/B11*100)</f>
        <v>3.8565149581738267</v>
      </c>
      <c r="D11" s="15">
        <v>6781</v>
      </c>
      <c r="E11" s="14">
        <v>4.2118437899999996</v>
      </c>
      <c r="F11" s="16">
        <v>0.27832593</v>
      </c>
      <c r="G11" s="14">
        <v>6.5234545900000001</v>
      </c>
      <c r="H11" s="16">
        <v>0.27480779999999999</v>
      </c>
      <c r="I11" s="14">
        <v>6.6555923400000001</v>
      </c>
      <c r="J11" s="16">
        <v>0.36307516000000001</v>
      </c>
      <c r="K11" s="14">
        <v>5.0734738200000002</v>
      </c>
      <c r="L11" s="16">
        <v>0.27659974999999998</v>
      </c>
      <c r="M11" s="14">
        <v>0</v>
      </c>
      <c r="N11" s="16">
        <v>0</v>
      </c>
      <c r="O11" s="14" t="s">
        <v>51</v>
      </c>
      <c r="P11" s="16" t="s">
        <v>51</v>
      </c>
      <c r="Q11" s="14">
        <v>77.535635459999995</v>
      </c>
      <c r="R11" s="16">
        <v>0.40504134000000003</v>
      </c>
      <c r="S11" s="14">
        <v>0</v>
      </c>
      <c r="T11" s="16">
        <v>0</v>
      </c>
      <c r="U11" s="14">
        <v>0</v>
      </c>
      <c r="V11" s="16">
        <v>0</v>
      </c>
    </row>
    <row r="12" spans="1:22"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c r="S12" s="17" t="s">
        <v>53</v>
      </c>
      <c r="T12" s="18" t="s">
        <v>53</v>
      </c>
      <c r="U12" s="17" t="s">
        <v>53</v>
      </c>
      <c r="V12" s="18" t="s">
        <v>53</v>
      </c>
    </row>
    <row r="13" spans="1:22"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c r="S13" s="17" t="s">
        <v>53</v>
      </c>
      <c r="T13" s="18" t="s">
        <v>53</v>
      </c>
      <c r="U13" s="17" t="s">
        <v>53</v>
      </c>
      <c r="V13" s="18" t="s">
        <v>53</v>
      </c>
    </row>
    <row r="14" spans="1:22"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c r="S14" s="17" t="s">
        <v>53</v>
      </c>
      <c r="T14" s="18" t="s">
        <v>53</v>
      </c>
      <c r="U14" s="17" t="s">
        <v>53</v>
      </c>
      <c r="V14" s="18" t="s">
        <v>53</v>
      </c>
    </row>
    <row r="15" spans="1:22"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c r="S15" s="17" t="s">
        <v>53</v>
      </c>
      <c r="T15" s="18" t="s">
        <v>53</v>
      </c>
      <c r="U15" s="17" t="s">
        <v>53</v>
      </c>
      <c r="V15" s="18" t="s">
        <v>53</v>
      </c>
    </row>
    <row r="16" spans="1:22"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c r="S16" s="17" t="s">
        <v>53</v>
      </c>
      <c r="T16" s="18" t="s">
        <v>53</v>
      </c>
      <c r="U16" s="17" t="s">
        <v>53</v>
      </c>
      <c r="V16" s="18" t="s">
        <v>53</v>
      </c>
    </row>
    <row r="17" spans="1:22"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c r="S17" s="17" t="s">
        <v>53</v>
      </c>
      <c r="T17" s="18" t="s">
        <v>53</v>
      </c>
      <c r="U17" s="17" t="s">
        <v>53</v>
      </c>
      <c r="V17" s="18" t="s">
        <v>53</v>
      </c>
    </row>
    <row r="18" spans="1:22"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c r="S18" s="17" t="s">
        <v>53</v>
      </c>
      <c r="T18" s="18" t="s">
        <v>53</v>
      </c>
      <c r="U18" s="17" t="s">
        <v>53</v>
      </c>
      <c r="V18" s="18" t="s">
        <v>53</v>
      </c>
    </row>
    <row r="19" spans="1:22"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c r="S19" s="17" t="s">
        <v>53</v>
      </c>
      <c r="T19" s="18" t="s">
        <v>53</v>
      </c>
      <c r="U19" s="17" t="s">
        <v>53</v>
      </c>
      <c r="V19" s="18" t="s">
        <v>53</v>
      </c>
    </row>
    <row r="20" spans="1:22"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c r="S20" s="17" t="s">
        <v>53</v>
      </c>
      <c r="T20" s="18" t="s">
        <v>53</v>
      </c>
      <c r="U20" s="17" t="s">
        <v>53</v>
      </c>
      <c r="V20" s="18" t="s">
        <v>53</v>
      </c>
    </row>
    <row r="21" spans="1:22"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c r="S21" s="17" t="s">
        <v>53</v>
      </c>
      <c r="T21" s="18" t="s">
        <v>53</v>
      </c>
      <c r="U21" s="17" t="s">
        <v>53</v>
      </c>
      <c r="V21" s="18" t="s">
        <v>53</v>
      </c>
    </row>
    <row r="22" spans="1:22"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c r="S22" s="17" t="s">
        <v>53</v>
      </c>
      <c r="T22" s="18" t="s">
        <v>53</v>
      </c>
      <c r="U22" s="17" t="s">
        <v>53</v>
      </c>
      <c r="V22" s="18" t="s">
        <v>53</v>
      </c>
    </row>
    <row r="23" spans="1:22" x14ac:dyDescent="0.25">
      <c r="A23" s="11" t="s">
        <v>66</v>
      </c>
      <c r="B23" s="13">
        <v>11583</v>
      </c>
      <c r="C23" s="14">
        <f>(678/B23*100)</f>
        <v>5.8534058534058531</v>
      </c>
      <c r="D23" s="15">
        <v>10905</v>
      </c>
      <c r="E23" s="14">
        <v>3.84705035</v>
      </c>
      <c r="F23" s="16">
        <v>0.26865320999999998</v>
      </c>
      <c r="G23" s="14">
        <v>5.5432422299999997</v>
      </c>
      <c r="H23" s="16">
        <v>0.27431220000000001</v>
      </c>
      <c r="I23" s="14">
        <v>7.5525780600000001</v>
      </c>
      <c r="J23" s="16">
        <v>0.33942802999999999</v>
      </c>
      <c r="K23" s="14">
        <v>4.9615402900000003</v>
      </c>
      <c r="L23" s="16">
        <v>0.30822722000000002</v>
      </c>
      <c r="M23" s="14">
        <v>0</v>
      </c>
      <c r="N23" s="16">
        <v>0</v>
      </c>
      <c r="O23" s="14" t="s">
        <v>51</v>
      </c>
      <c r="P23" s="16" t="s">
        <v>51</v>
      </c>
      <c r="Q23" s="14">
        <v>78.095589070000003</v>
      </c>
      <c r="R23" s="16">
        <v>0.35351028000000001</v>
      </c>
      <c r="S23" s="14">
        <v>0</v>
      </c>
      <c r="T23" s="16">
        <v>0</v>
      </c>
      <c r="U23" s="14">
        <v>0</v>
      </c>
      <c r="V23" s="16">
        <v>0</v>
      </c>
    </row>
    <row r="24" spans="1:22"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c r="S24" s="17" t="s">
        <v>53</v>
      </c>
      <c r="T24" s="18" t="s">
        <v>53</v>
      </c>
      <c r="U24" s="17" t="s">
        <v>53</v>
      </c>
      <c r="V24" s="18" t="s">
        <v>53</v>
      </c>
    </row>
    <row r="25" spans="1:22"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c r="S25" s="17" t="s">
        <v>53</v>
      </c>
      <c r="T25" s="18" t="s">
        <v>53</v>
      </c>
      <c r="U25" s="17" t="s">
        <v>53</v>
      </c>
      <c r="V25" s="18" t="s">
        <v>53</v>
      </c>
    </row>
    <row r="26" spans="1:22"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c r="S26" s="17" t="s">
        <v>53</v>
      </c>
      <c r="T26" s="18" t="s">
        <v>53</v>
      </c>
      <c r="U26" s="17" t="s">
        <v>53</v>
      </c>
      <c r="V26" s="18" t="s">
        <v>53</v>
      </c>
    </row>
    <row r="27" spans="1:22"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c r="S27" s="17" t="s">
        <v>53</v>
      </c>
      <c r="T27" s="18" t="s">
        <v>53</v>
      </c>
      <c r="U27" s="17" t="s">
        <v>53</v>
      </c>
      <c r="V27" s="18" t="s">
        <v>53</v>
      </c>
    </row>
    <row r="28" spans="1:22"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c r="S28" s="17" t="s">
        <v>53</v>
      </c>
      <c r="T28" s="18" t="s">
        <v>53</v>
      </c>
      <c r="U28" s="17" t="s">
        <v>53</v>
      </c>
      <c r="V28" s="18" t="s">
        <v>53</v>
      </c>
    </row>
    <row r="29" spans="1:22" x14ac:dyDescent="0.25">
      <c r="A29" s="11" t="s">
        <v>72</v>
      </c>
      <c r="B29" s="13">
        <v>5385</v>
      </c>
      <c r="C29" s="14">
        <f>(52/B29*100)</f>
        <v>0.9656453110492107</v>
      </c>
      <c r="D29" s="15">
        <v>5333</v>
      </c>
      <c r="E29" s="14">
        <v>3.2406473</v>
      </c>
      <c r="F29" s="16">
        <v>0.21627774</v>
      </c>
      <c r="G29" s="14">
        <v>8.7978619400000007</v>
      </c>
      <c r="H29" s="16">
        <v>0.40027481999999998</v>
      </c>
      <c r="I29" s="14">
        <v>9.0653946800000007</v>
      </c>
      <c r="J29" s="16">
        <v>0.30919319000000001</v>
      </c>
      <c r="K29" s="14">
        <v>3.59123188</v>
      </c>
      <c r="L29" s="16">
        <v>0.26485332</v>
      </c>
      <c r="M29" s="14">
        <v>0</v>
      </c>
      <c r="N29" s="16">
        <v>0</v>
      </c>
      <c r="O29" s="14" t="s">
        <v>51</v>
      </c>
      <c r="P29" s="16" t="s">
        <v>51</v>
      </c>
      <c r="Q29" s="14">
        <v>75.304864199999997</v>
      </c>
      <c r="R29" s="16">
        <v>0.30669406999999999</v>
      </c>
      <c r="S29" s="14">
        <v>0</v>
      </c>
      <c r="T29" s="16">
        <v>0</v>
      </c>
      <c r="U29" s="14">
        <v>0</v>
      </c>
      <c r="V29" s="16">
        <v>0</v>
      </c>
    </row>
    <row r="30" spans="1:22"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c r="S30" s="17" t="s">
        <v>53</v>
      </c>
      <c r="T30" s="18" t="s">
        <v>53</v>
      </c>
      <c r="U30" s="17" t="s">
        <v>53</v>
      </c>
      <c r="V30" s="18" t="s">
        <v>53</v>
      </c>
    </row>
    <row r="31" spans="1:22"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c r="S31" s="17" t="s">
        <v>53</v>
      </c>
      <c r="T31" s="18" t="s">
        <v>53</v>
      </c>
      <c r="U31" s="17" t="s">
        <v>53</v>
      </c>
      <c r="V31" s="18" t="s">
        <v>53</v>
      </c>
    </row>
    <row r="32" spans="1:22" x14ac:dyDescent="0.25">
      <c r="A32" s="11" t="s">
        <v>75</v>
      </c>
      <c r="B32" s="13">
        <v>4478</v>
      </c>
      <c r="C32" s="14">
        <f>(70/B32*100)</f>
        <v>1.5631978561857971</v>
      </c>
      <c r="D32" s="15">
        <v>4408</v>
      </c>
      <c r="E32" s="14">
        <v>5.9438539600000002</v>
      </c>
      <c r="F32" s="16">
        <v>0.37019215999999999</v>
      </c>
      <c r="G32" s="14">
        <v>13.26103183</v>
      </c>
      <c r="H32" s="16">
        <v>0.47027930000000001</v>
      </c>
      <c r="I32" s="14">
        <v>13.12905765</v>
      </c>
      <c r="J32" s="16">
        <v>0.43909439</v>
      </c>
      <c r="K32" s="14">
        <v>5.5705804299999997</v>
      </c>
      <c r="L32" s="16">
        <v>0.32253927999999998</v>
      </c>
      <c r="M32" s="14">
        <v>0</v>
      </c>
      <c r="N32" s="16">
        <v>0</v>
      </c>
      <c r="O32" s="14" t="s">
        <v>51</v>
      </c>
      <c r="P32" s="16" t="s">
        <v>51</v>
      </c>
      <c r="Q32" s="14">
        <v>62.095476120000001</v>
      </c>
      <c r="R32" s="16">
        <v>0.36050112000000001</v>
      </c>
      <c r="S32" s="14">
        <v>0</v>
      </c>
      <c r="T32" s="16">
        <v>0</v>
      </c>
      <c r="U32" s="14">
        <v>0</v>
      </c>
      <c r="V32" s="16">
        <v>0</v>
      </c>
    </row>
    <row r="33" spans="1:22"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c r="S33" s="17" t="s">
        <v>53</v>
      </c>
      <c r="T33" s="18" t="s">
        <v>53</v>
      </c>
      <c r="U33" s="17" t="s">
        <v>53</v>
      </c>
      <c r="V33" s="18" t="s">
        <v>53</v>
      </c>
    </row>
    <row r="34" spans="1:22" x14ac:dyDescent="0.25">
      <c r="A34" s="11" t="s">
        <v>77</v>
      </c>
      <c r="B34" s="13">
        <v>6350</v>
      </c>
      <c r="C34" s="14">
        <f>(271/B34*100)</f>
        <v>4.2677165354330704</v>
      </c>
      <c r="D34" s="15">
        <v>6079</v>
      </c>
      <c r="E34" s="14">
        <v>4.4588721700000002</v>
      </c>
      <c r="F34" s="16">
        <v>0.29906747</v>
      </c>
      <c r="G34" s="14">
        <v>7.4265154400000002</v>
      </c>
      <c r="H34" s="16">
        <v>0.37801772</v>
      </c>
      <c r="I34" s="14">
        <v>6.8568212700000002</v>
      </c>
      <c r="J34" s="16">
        <v>0.30632714</v>
      </c>
      <c r="K34" s="14">
        <v>3.3367568900000002</v>
      </c>
      <c r="L34" s="16">
        <v>0.24533519000000001</v>
      </c>
      <c r="M34" s="14">
        <v>0</v>
      </c>
      <c r="N34" s="16">
        <v>0</v>
      </c>
      <c r="O34" s="14" t="s">
        <v>51</v>
      </c>
      <c r="P34" s="16" t="s">
        <v>51</v>
      </c>
      <c r="Q34" s="14">
        <v>77.921034230000004</v>
      </c>
      <c r="R34" s="16">
        <v>0.38149383999999997</v>
      </c>
      <c r="S34" s="14">
        <v>0</v>
      </c>
      <c r="T34" s="16">
        <v>0</v>
      </c>
      <c r="U34" s="14">
        <v>0</v>
      </c>
      <c r="V34" s="16">
        <v>0</v>
      </c>
    </row>
    <row r="35" spans="1:22"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c r="S35" s="17" t="s">
        <v>53</v>
      </c>
      <c r="T35" s="18" t="s">
        <v>53</v>
      </c>
      <c r="U35" s="17" t="s">
        <v>53</v>
      </c>
      <c r="V35" s="18" t="s">
        <v>53</v>
      </c>
    </row>
    <row r="36" spans="1:22" x14ac:dyDescent="0.25">
      <c r="A36" s="11" t="s">
        <v>79</v>
      </c>
      <c r="B36" s="13">
        <v>6736</v>
      </c>
      <c r="C36" s="14">
        <f>(185/B36*100)</f>
        <v>2.7464370546318291</v>
      </c>
      <c r="D36" s="15">
        <v>6551</v>
      </c>
      <c r="E36" s="14">
        <v>5.1748221900000004</v>
      </c>
      <c r="F36" s="16">
        <v>0.23356203</v>
      </c>
      <c r="G36" s="14">
        <v>6.7314178199999999</v>
      </c>
      <c r="H36" s="16">
        <v>0.31459637000000001</v>
      </c>
      <c r="I36" s="14">
        <v>7.69532493</v>
      </c>
      <c r="J36" s="16">
        <v>0.36059859999999999</v>
      </c>
      <c r="K36" s="14">
        <v>4.3966260799999999</v>
      </c>
      <c r="L36" s="16">
        <v>0.27785513000000001</v>
      </c>
      <c r="M36" s="14">
        <v>0</v>
      </c>
      <c r="N36" s="16">
        <v>0</v>
      </c>
      <c r="O36" s="14" t="s">
        <v>51</v>
      </c>
      <c r="P36" s="16" t="s">
        <v>51</v>
      </c>
      <c r="Q36" s="14">
        <v>76.001808969999999</v>
      </c>
      <c r="R36" s="16">
        <v>0.27136202999999998</v>
      </c>
      <c r="S36" s="14">
        <v>0</v>
      </c>
      <c r="T36" s="16">
        <v>0</v>
      </c>
      <c r="U36" s="14">
        <v>0</v>
      </c>
      <c r="V36" s="16">
        <v>0</v>
      </c>
    </row>
    <row r="37" spans="1:22"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c r="S37" s="17" t="s">
        <v>53</v>
      </c>
      <c r="T37" s="18" t="s">
        <v>53</v>
      </c>
      <c r="U37" s="17" t="s">
        <v>53</v>
      </c>
      <c r="V37" s="18" t="s">
        <v>53</v>
      </c>
    </row>
    <row r="38" spans="1:22"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c r="S38" s="17" t="s">
        <v>53</v>
      </c>
      <c r="T38" s="18" t="s">
        <v>53</v>
      </c>
      <c r="U38" s="17" t="s">
        <v>53</v>
      </c>
      <c r="V38" s="18" t="s">
        <v>53</v>
      </c>
    </row>
    <row r="39" spans="1:22"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c r="S39" s="17" t="s">
        <v>53</v>
      </c>
      <c r="T39" s="18" t="s">
        <v>53</v>
      </c>
      <c r="U39" s="17" t="s">
        <v>53</v>
      </c>
      <c r="V39" s="18" t="s">
        <v>53</v>
      </c>
    </row>
    <row r="40" spans="1:22"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c r="S40" s="17" t="s">
        <v>53</v>
      </c>
      <c r="T40" s="18" t="s">
        <v>53</v>
      </c>
      <c r="U40" s="17" t="s">
        <v>53</v>
      </c>
      <c r="V40" s="18" t="s">
        <v>53</v>
      </c>
    </row>
    <row r="41" spans="1:22" x14ac:dyDescent="0.25">
      <c r="A41" s="11" t="s">
        <v>84</v>
      </c>
      <c r="B41" s="13">
        <v>5712</v>
      </c>
      <c r="C41" s="14">
        <f>(159/B41*100)</f>
        <v>2.7836134453781516</v>
      </c>
      <c r="D41" s="15">
        <v>5553</v>
      </c>
      <c r="E41" s="14">
        <v>2.9333306399999999</v>
      </c>
      <c r="F41" s="16">
        <v>0.22816819999999999</v>
      </c>
      <c r="G41" s="14">
        <v>7.7570984699999999</v>
      </c>
      <c r="H41" s="16">
        <v>0.35309020000000002</v>
      </c>
      <c r="I41" s="14">
        <v>8.1572093900000002</v>
      </c>
      <c r="J41" s="16">
        <v>0.43565500000000001</v>
      </c>
      <c r="K41" s="14">
        <v>5.0777471199999997</v>
      </c>
      <c r="L41" s="16">
        <v>0.30104458000000001</v>
      </c>
      <c r="M41" s="14">
        <v>0</v>
      </c>
      <c r="N41" s="16">
        <v>0</v>
      </c>
      <c r="O41" s="14" t="s">
        <v>51</v>
      </c>
      <c r="P41" s="16" t="s">
        <v>51</v>
      </c>
      <c r="Q41" s="14">
        <v>76.074614370000006</v>
      </c>
      <c r="R41" s="16">
        <v>0.36889316</v>
      </c>
      <c r="S41" s="14">
        <v>0</v>
      </c>
      <c r="T41" s="16">
        <v>0</v>
      </c>
      <c r="U41" s="14">
        <v>0</v>
      </c>
      <c r="V41" s="16">
        <v>0</v>
      </c>
    </row>
    <row r="42" spans="1:22" x14ac:dyDescent="0.25">
      <c r="A42" s="11" t="s">
        <v>85</v>
      </c>
      <c r="B42" s="13">
        <f>IF(COUNT(B7:B41) &gt; 0, AVERAGE(B7:B41), "\u2014")</f>
        <v>8058.4</v>
      </c>
      <c r="C42" s="14">
        <f>IF(COUNT(C7:C41) &gt; 0, AVERAGE(C7:C41), "—")</f>
        <v>5.3566558991305371</v>
      </c>
      <c r="D42" s="15">
        <f>IF(COUNT(D7:D41) &gt; 0, AVERAGE(D7:D41), "—")</f>
        <v>7488.8</v>
      </c>
      <c r="E42" s="14">
        <f>IF(COUNT(E7:E41) &gt; 0, AVERAGE(E7:E41), "—")</f>
        <v>5.1936719160000004</v>
      </c>
      <c r="F42" s="16">
        <f>IF(COUNT(F7:F41) &gt; 0, SQRT(SUMSQ(F7:F41)/(COUNT(F7:F41)*COUNT(F7:F41)) ), "—")</f>
        <v>8.8727177589862607E-2</v>
      </c>
      <c r="G42" s="14">
        <f>IF(COUNT(G7:G41) &gt; 0, AVERAGE(G7:G41), "—")</f>
        <v>10.654802055000001</v>
      </c>
      <c r="H42" s="16">
        <f>IF(COUNT(H7:H41) &gt; 0, SQRT(SUMSQ(H7:H41)/(COUNT(H7:H41)*COUNT(H7:H41)) ), "—")</f>
        <v>0.12116260310141538</v>
      </c>
      <c r="I42" s="14">
        <f>IF(COUNT(I7:I41) &gt; 0, AVERAGE(I7:I41), "—")</f>
        <v>11.173224987000001</v>
      </c>
      <c r="J42" s="16">
        <f>IF(COUNT(J7:J41) &gt; 0, SQRT(SUMSQ(J7:J41)/(COUNT(J7:J41)*COUNT(J7:J41)) ), "—")</f>
        <v>0.12695519112189893</v>
      </c>
      <c r="K42" s="14">
        <f>IF(COUNT(K7:K41) &gt; 0, AVERAGE(K7:K41), "—")</f>
        <v>5.1408729579999992</v>
      </c>
      <c r="L42" s="16">
        <f>IF(COUNT(L7:L41) &gt; 0, SQRT(SUMSQ(L7:L41)/(COUNT(L7:L41)*COUNT(L7:L41)) ), "—")</f>
        <v>9.1191179224116015E-2</v>
      </c>
      <c r="M42" s="14">
        <f>IF(COUNT(M7:M41) &gt; 0, AVERAGE(M7:M41), "—")</f>
        <v>0</v>
      </c>
      <c r="N42" s="16">
        <f>IF(COUNT(N7:N41) &gt; 0, SQRT(SUMSQ(N7:N41)/(COUNT(N7:N41)*COUNT(N7:N41)) ), "—")</f>
        <v>0</v>
      </c>
      <c r="O42" s="14" t="str">
        <f>IF(COUNT(O7:O41) &gt; 0, AVERAGE(O7:O41), "—")</f>
        <v>—</v>
      </c>
      <c r="P42" s="16" t="str">
        <f>IF(COUNT(P7:P41) &gt; 0, SQRT(SUMSQ(P7:P41)/(COUNT(P7:P41)*COUNT(P7:P41)) ), "—")</f>
        <v>—</v>
      </c>
      <c r="Q42" s="14">
        <f>IF(COUNT(Q7:Q41) &gt; 0, AVERAGE(Q7:Q41), "—")</f>
        <v>67.837428081000013</v>
      </c>
      <c r="R42" s="16">
        <f>IF(COUNT(R7:R41) &gt; 0, SQRT(SUMSQ(R7:R41)/(COUNT(R7:R41)*COUNT(R7:R41)) ), "—")</f>
        <v>0.11493990097607802</v>
      </c>
      <c r="S42" s="14">
        <f>IF(COUNT(S7:S41) &gt; 0, AVERAGE(S7:S41), "—")</f>
        <v>0</v>
      </c>
      <c r="T42" s="16">
        <f>IF(COUNT(T7:T41) &gt; 0, SQRT(SUMSQ(T7:T41)/(COUNT(T7:T41)*COUNT(T7:T41)) ), "—")</f>
        <v>0</v>
      </c>
      <c r="U42" s="14">
        <f>IF(COUNT(U7:U41) &gt; 0, AVERAGE(U7:U41), "—")</f>
        <v>0</v>
      </c>
      <c r="V42" s="16">
        <f>IF(COUNT(V7:V41) &gt; 0, SQRT(SUMSQ(V7:V41)/(COUNT(V7:V41)*COUNT(V7:V41)) ), "—")</f>
        <v>0</v>
      </c>
    </row>
    <row r="43" spans="1:22" x14ac:dyDescent="0.25">
      <c r="A43" s="9" t="s">
        <v>86</v>
      </c>
      <c r="B43" s="10"/>
      <c r="C43" s="10"/>
      <c r="D43" s="11"/>
      <c r="E43" s="10"/>
      <c r="F43" s="11"/>
      <c r="G43" s="10"/>
      <c r="H43" s="11"/>
      <c r="I43" s="10"/>
      <c r="J43" s="11"/>
      <c r="K43" s="10"/>
      <c r="L43" s="11"/>
      <c r="M43" s="10"/>
      <c r="N43" s="11"/>
      <c r="O43" s="10"/>
      <c r="P43" s="11"/>
      <c r="Q43" s="10"/>
      <c r="R43" s="11"/>
      <c r="S43" s="10"/>
      <c r="T43" s="11"/>
      <c r="U43" s="10"/>
      <c r="V43" s="12"/>
    </row>
    <row r="44" spans="1:22"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c r="S44" s="17" t="s">
        <v>53</v>
      </c>
      <c r="T44" s="18" t="s">
        <v>53</v>
      </c>
      <c r="U44" s="17" t="s">
        <v>53</v>
      </c>
      <c r="V44" s="18" t="s">
        <v>53</v>
      </c>
    </row>
    <row r="45" spans="1:22"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c r="S45" s="17" t="s">
        <v>53</v>
      </c>
      <c r="T45" s="18" t="s">
        <v>53</v>
      </c>
      <c r="U45" s="17" t="s">
        <v>53</v>
      </c>
      <c r="V45" s="18" t="s">
        <v>53</v>
      </c>
    </row>
    <row r="46" spans="1:22" x14ac:dyDescent="0.25">
      <c r="A46" s="11" t="s">
        <v>89</v>
      </c>
      <c r="B46" s="13">
        <v>23141</v>
      </c>
      <c r="C46" s="14">
        <f>(3895/B46*100)</f>
        <v>16.831597597338057</v>
      </c>
      <c r="D46" s="15">
        <v>19246</v>
      </c>
      <c r="E46" s="14">
        <v>3.1042095999999999</v>
      </c>
      <c r="F46" s="16">
        <v>0.17365332999999999</v>
      </c>
      <c r="G46" s="14">
        <v>2.9332023999999999</v>
      </c>
      <c r="H46" s="16">
        <v>0.18269066</v>
      </c>
      <c r="I46" s="14">
        <v>2.9108679199999998</v>
      </c>
      <c r="J46" s="16">
        <v>0.17817738</v>
      </c>
      <c r="K46" s="14">
        <v>3.5615630299999999</v>
      </c>
      <c r="L46" s="16">
        <v>0.17299627000000001</v>
      </c>
      <c r="M46" s="14">
        <v>0</v>
      </c>
      <c r="N46" s="16">
        <v>0</v>
      </c>
      <c r="O46" s="14" t="s">
        <v>51</v>
      </c>
      <c r="P46" s="16" t="s">
        <v>51</v>
      </c>
      <c r="Q46" s="14">
        <v>87.490157049999993</v>
      </c>
      <c r="R46" s="16">
        <v>0.37305343000000002</v>
      </c>
      <c r="S46" s="14">
        <v>0</v>
      </c>
      <c r="T46" s="16">
        <v>0</v>
      </c>
      <c r="U46" s="14">
        <v>0</v>
      </c>
      <c r="V46" s="16">
        <v>0</v>
      </c>
    </row>
    <row r="47" spans="1:22"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c r="S47" s="17" t="s">
        <v>53</v>
      </c>
      <c r="T47" s="18" t="s">
        <v>53</v>
      </c>
      <c r="U47" s="17" t="s">
        <v>53</v>
      </c>
      <c r="V47" s="18" t="s">
        <v>53</v>
      </c>
    </row>
    <row r="48" spans="1:22" x14ac:dyDescent="0.25">
      <c r="A48" s="11" t="s">
        <v>91</v>
      </c>
      <c r="B48" s="13">
        <v>9841</v>
      </c>
      <c r="C48" s="14">
        <f>(93/B48*100)</f>
        <v>0.94502591200081287</v>
      </c>
      <c r="D48" s="15">
        <v>9748</v>
      </c>
      <c r="E48" s="14">
        <v>5.4076592899999998</v>
      </c>
      <c r="F48" s="16">
        <v>0.30713778000000003</v>
      </c>
      <c r="G48" s="14">
        <v>10.04495309</v>
      </c>
      <c r="H48" s="16">
        <v>0.32420789</v>
      </c>
      <c r="I48" s="14">
        <v>7.36569158</v>
      </c>
      <c r="J48" s="16">
        <v>0.34386963999999998</v>
      </c>
      <c r="K48" s="14">
        <v>1.9842196999999999</v>
      </c>
      <c r="L48" s="16">
        <v>0.17905219999999999</v>
      </c>
      <c r="M48" s="14">
        <v>0</v>
      </c>
      <c r="N48" s="16">
        <v>0</v>
      </c>
      <c r="O48" s="14" t="s">
        <v>51</v>
      </c>
      <c r="P48" s="16" t="s">
        <v>51</v>
      </c>
      <c r="Q48" s="14">
        <v>75.197476350000002</v>
      </c>
      <c r="R48" s="16">
        <v>0.31696579000000003</v>
      </c>
      <c r="S48" s="14">
        <v>0</v>
      </c>
      <c r="T48" s="16">
        <v>0</v>
      </c>
      <c r="U48" s="14">
        <v>0</v>
      </c>
      <c r="V48" s="16">
        <v>0</v>
      </c>
    </row>
    <row r="49" spans="1:22"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c r="S49" s="17" t="s">
        <v>53</v>
      </c>
      <c r="T49" s="18" t="s">
        <v>53</v>
      </c>
      <c r="U49" s="17" t="s">
        <v>53</v>
      </c>
      <c r="V49" s="18" t="s">
        <v>53</v>
      </c>
    </row>
    <row r="50" spans="1:22"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c r="S50" s="17" t="s">
        <v>53</v>
      </c>
      <c r="T50" s="18" t="s">
        <v>53</v>
      </c>
      <c r="U50" s="17" t="s">
        <v>53</v>
      </c>
      <c r="V50" s="18" t="s">
        <v>53</v>
      </c>
    </row>
    <row r="51" spans="1:22"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c r="S51" s="17" t="s">
        <v>53</v>
      </c>
      <c r="T51" s="18" t="s">
        <v>53</v>
      </c>
      <c r="U51" s="17" t="s">
        <v>53</v>
      </c>
      <c r="V51" s="18" t="s">
        <v>53</v>
      </c>
    </row>
    <row r="52" spans="1:22"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c r="S52" s="17" t="s">
        <v>53</v>
      </c>
      <c r="T52" s="18" t="s">
        <v>53</v>
      </c>
      <c r="U52" s="17" t="s">
        <v>53</v>
      </c>
      <c r="V52" s="18" t="s">
        <v>53</v>
      </c>
    </row>
    <row r="53" spans="1:22"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c r="S53" s="17" t="s">
        <v>53</v>
      </c>
      <c r="T53" s="18" t="s">
        <v>53</v>
      </c>
      <c r="U53" s="17" t="s">
        <v>53</v>
      </c>
      <c r="V53" s="18" t="s">
        <v>53</v>
      </c>
    </row>
    <row r="54" spans="1:22"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c r="S54" s="17" t="s">
        <v>53</v>
      </c>
      <c r="T54" s="18" t="s">
        <v>53</v>
      </c>
      <c r="U54" s="17" t="s">
        <v>53</v>
      </c>
      <c r="V54" s="18" t="s">
        <v>53</v>
      </c>
    </row>
    <row r="55" spans="1:22"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c r="S55" s="17" t="s">
        <v>53</v>
      </c>
      <c r="T55" s="18" t="s">
        <v>53</v>
      </c>
      <c r="U55" s="17" t="s">
        <v>53</v>
      </c>
      <c r="V55" s="18" t="s">
        <v>53</v>
      </c>
    </row>
    <row r="56" spans="1:22"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c r="S56" s="17" t="s">
        <v>53</v>
      </c>
      <c r="T56" s="18" t="s">
        <v>53</v>
      </c>
      <c r="U56" s="17" t="s">
        <v>53</v>
      </c>
      <c r="V56" s="18" t="s">
        <v>53</v>
      </c>
    </row>
    <row r="57" spans="1:22"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c r="S57" s="17" t="s">
        <v>53</v>
      </c>
      <c r="T57" s="18" t="s">
        <v>53</v>
      </c>
      <c r="U57" s="17" t="s">
        <v>53</v>
      </c>
      <c r="V57" s="18" t="s">
        <v>53</v>
      </c>
    </row>
    <row r="58" spans="1:22"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c r="S58" s="17" t="s">
        <v>53</v>
      </c>
      <c r="T58" s="18" t="s">
        <v>53</v>
      </c>
      <c r="U58" s="17" t="s">
        <v>53</v>
      </c>
      <c r="V58" s="18" t="s">
        <v>53</v>
      </c>
    </row>
    <row r="59" spans="1:22"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c r="S59" s="17" t="s">
        <v>53</v>
      </c>
      <c r="T59" s="18" t="s">
        <v>53</v>
      </c>
      <c r="U59" s="17" t="s">
        <v>53</v>
      </c>
      <c r="V59" s="18" t="s">
        <v>53</v>
      </c>
    </row>
    <row r="60" spans="1:22"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c r="S60" s="17" t="s">
        <v>53</v>
      </c>
      <c r="T60" s="18" t="s">
        <v>53</v>
      </c>
      <c r="U60" s="17" t="s">
        <v>53</v>
      </c>
      <c r="V60" s="18" t="s">
        <v>53</v>
      </c>
    </row>
    <row r="61" spans="1:22" x14ac:dyDescent="0.25">
      <c r="A61" s="11" t="s">
        <v>104</v>
      </c>
      <c r="B61" s="13">
        <v>6525</v>
      </c>
      <c r="C61" s="14">
        <f>(128/B61*100)</f>
        <v>1.9616858237547892</v>
      </c>
      <c r="D61" s="15">
        <v>6397</v>
      </c>
      <c r="E61" s="14">
        <v>2.9213275099999998</v>
      </c>
      <c r="F61" s="16">
        <v>0.24474636999999999</v>
      </c>
      <c r="G61" s="14">
        <v>6.8797111800000001</v>
      </c>
      <c r="H61" s="16">
        <v>0.31792179999999998</v>
      </c>
      <c r="I61" s="14">
        <v>9.5536939200000006</v>
      </c>
      <c r="J61" s="16">
        <v>0.35458356000000002</v>
      </c>
      <c r="K61" s="14">
        <v>5.7945419500000002</v>
      </c>
      <c r="L61" s="16">
        <v>0.30571894999999999</v>
      </c>
      <c r="M61" s="14">
        <v>0</v>
      </c>
      <c r="N61" s="16">
        <v>0</v>
      </c>
      <c r="O61" s="14" t="s">
        <v>51</v>
      </c>
      <c r="P61" s="16" t="s">
        <v>51</v>
      </c>
      <c r="Q61" s="14">
        <v>74.850725429999997</v>
      </c>
      <c r="R61" s="16">
        <v>0.39072574999999998</v>
      </c>
      <c r="S61" s="14">
        <v>0</v>
      </c>
      <c r="T61" s="16">
        <v>0</v>
      </c>
      <c r="U61" s="14">
        <v>0</v>
      </c>
      <c r="V61" s="16">
        <v>0</v>
      </c>
    </row>
    <row r="62" spans="1:22"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c r="S62" s="17" t="s">
        <v>53</v>
      </c>
      <c r="T62" s="18" t="s">
        <v>53</v>
      </c>
      <c r="U62" s="17" t="s">
        <v>53</v>
      </c>
      <c r="V62" s="18" t="s">
        <v>53</v>
      </c>
    </row>
    <row r="63" spans="1:22"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c r="S63" s="17" t="s">
        <v>53</v>
      </c>
      <c r="T63" s="18" t="s">
        <v>53</v>
      </c>
      <c r="U63" s="17" t="s">
        <v>53</v>
      </c>
      <c r="V63" s="18" t="s">
        <v>53</v>
      </c>
    </row>
    <row r="64" spans="1:22"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c r="S64" s="17" t="s">
        <v>53</v>
      </c>
      <c r="T64" s="18" t="s">
        <v>53</v>
      </c>
      <c r="U64" s="17" t="s">
        <v>53</v>
      </c>
      <c r="V64" s="18" t="s">
        <v>53</v>
      </c>
    </row>
    <row r="65" spans="1:22"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c r="S65" s="17" t="s">
        <v>53</v>
      </c>
      <c r="T65" s="18" t="s">
        <v>53</v>
      </c>
      <c r="U65" s="17" t="s">
        <v>53</v>
      </c>
      <c r="V65" s="18" t="s">
        <v>53</v>
      </c>
    </row>
    <row r="66" spans="1:22"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c r="S66" s="17" t="s">
        <v>53</v>
      </c>
      <c r="T66" s="18" t="s">
        <v>53</v>
      </c>
      <c r="U66" s="17" t="s">
        <v>53</v>
      </c>
      <c r="V66" s="18" t="s">
        <v>53</v>
      </c>
    </row>
    <row r="67" spans="1:22" x14ac:dyDescent="0.25">
      <c r="A67" s="11" t="s">
        <v>110</v>
      </c>
      <c r="B67" s="13">
        <v>6971</v>
      </c>
      <c r="C67" s="14">
        <f>(758/B67*100)</f>
        <v>10.873619279873763</v>
      </c>
      <c r="D67" s="15">
        <v>6213</v>
      </c>
      <c r="E67" s="14">
        <v>3.1980584400000001</v>
      </c>
      <c r="F67" s="16">
        <v>0.22696796</v>
      </c>
      <c r="G67" s="14">
        <v>4.58308537</v>
      </c>
      <c r="H67" s="16">
        <v>0.30420390000000003</v>
      </c>
      <c r="I67" s="14">
        <v>4.6188681899999997</v>
      </c>
      <c r="J67" s="16">
        <v>0.28606263999999998</v>
      </c>
      <c r="K67" s="14">
        <v>4.5066200199999997</v>
      </c>
      <c r="L67" s="16">
        <v>0.29113303000000001</v>
      </c>
      <c r="M67" s="14">
        <v>0</v>
      </c>
      <c r="N67" s="16">
        <v>0</v>
      </c>
      <c r="O67" s="14" t="s">
        <v>51</v>
      </c>
      <c r="P67" s="16" t="s">
        <v>51</v>
      </c>
      <c r="Q67" s="14">
        <v>83.093367979999996</v>
      </c>
      <c r="R67" s="16">
        <v>0.54813023999999999</v>
      </c>
      <c r="S67" s="14">
        <v>0</v>
      </c>
      <c r="T67" s="16">
        <v>0</v>
      </c>
      <c r="U67" s="14">
        <v>0</v>
      </c>
      <c r="V67" s="16">
        <v>0</v>
      </c>
    </row>
    <row r="68" spans="1:22"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c r="S68" s="17" t="s">
        <v>53</v>
      </c>
      <c r="T68" s="18" t="s">
        <v>53</v>
      </c>
      <c r="U68" s="17" t="s">
        <v>53</v>
      </c>
      <c r="V68" s="18" t="s">
        <v>53</v>
      </c>
    </row>
    <row r="69" spans="1:22"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c r="S69" s="17" t="s">
        <v>53</v>
      </c>
      <c r="T69" s="18" t="s">
        <v>53</v>
      </c>
      <c r="U69" s="17" t="s">
        <v>53</v>
      </c>
      <c r="V69" s="18" t="s">
        <v>53</v>
      </c>
    </row>
    <row r="70" spans="1:22" x14ac:dyDescent="0.25">
      <c r="A70" s="11" t="s">
        <v>113</v>
      </c>
      <c r="B70" s="13">
        <v>6036</v>
      </c>
      <c r="C70" s="14">
        <f>(399/B70*100)</f>
        <v>6.6103379721669979</v>
      </c>
      <c r="D70" s="15">
        <v>5637</v>
      </c>
      <c r="E70" s="14">
        <v>2.9757007999999998</v>
      </c>
      <c r="F70" s="16">
        <v>0.21300867000000001</v>
      </c>
      <c r="G70" s="14">
        <v>5.9514334800000004</v>
      </c>
      <c r="H70" s="16">
        <v>0.41849292999999999</v>
      </c>
      <c r="I70" s="14">
        <v>7.3251359100000002</v>
      </c>
      <c r="J70" s="16">
        <v>0.42376931000000001</v>
      </c>
      <c r="K70" s="14">
        <v>4.14353835</v>
      </c>
      <c r="L70" s="16">
        <v>0.28017133999999999</v>
      </c>
      <c r="M70" s="14">
        <v>0</v>
      </c>
      <c r="N70" s="16">
        <v>0</v>
      </c>
      <c r="O70" s="14" t="s">
        <v>51</v>
      </c>
      <c r="P70" s="16" t="s">
        <v>51</v>
      </c>
      <c r="Q70" s="14">
        <v>79.604191450000002</v>
      </c>
      <c r="R70" s="16">
        <v>0.53693267</v>
      </c>
      <c r="S70" s="14">
        <v>0</v>
      </c>
      <c r="T70" s="16">
        <v>0</v>
      </c>
      <c r="U70" s="14">
        <v>0</v>
      </c>
      <c r="V70" s="16">
        <v>0</v>
      </c>
    </row>
    <row r="71" spans="1:22"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c r="S71" s="17" t="s">
        <v>53</v>
      </c>
      <c r="T71" s="18" t="s">
        <v>53</v>
      </c>
      <c r="U71" s="17" t="s">
        <v>53</v>
      </c>
      <c r="V71" s="18" t="s">
        <v>53</v>
      </c>
    </row>
    <row r="72" spans="1:22"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c r="S72" s="17" t="s">
        <v>53</v>
      </c>
      <c r="T72" s="18" t="s">
        <v>53</v>
      </c>
      <c r="U72" s="17" t="s">
        <v>53</v>
      </c>
      <c r="V72" s="18" t="s">
        <v>53</v>
      </c>
    </row>
    <row r="73" spans="1:22"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c r="S73" s="17" t="s">
        <v>53</v>
      </c>
      <c r="T73" s="18" t="s">
        <v>53</v>
      </c>
      <c r="U73" s="17" t="s">
        <v>53</v>
      </c>
      <c r="V73" s="18" t="s">
        <v>53</v>
      </c>
    </row>
    <row r="74" spans="1:22"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c r="S74" s="17" t="s">
        <v>53</v>
      </c>
      <c r="T74" s="18" t="s">
        <v>53</v>
      </c>
      <c r="U74" s="17" t="s">
        <v>53</v>
      </c>
      <c r="V74" s="18" t="s">
        <v>53</v>
      </c>
    </row>
    <row r="75" spans="1:22"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c r="S75" s="17" t="s">
        <v>53</v>
      </c>
      <c r="T75" s="18" t="s">
        <v>53</v>
      </c>
      <c r="U75" s="17" t="s">
        <v>53</v>
      </c>
      <c r="V75" s="18" t="s">
        <v>53</v>
      </c>
    </row>
    <row r="76" spans="1:22"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c r="S76" s="17" t="s">
        <v>53</v>
      </c>
      <c r="T76" s="18" t="s">
        <v>53</v>
      </c>
      <c r="U76" s="17" t="s">
        <v>53</v>
      </c>
      <c r="V76" s="18" t="s">
        <v>53</v>
      </c>
    </row>
    <row r="77" spans="1:22"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c r="S77" s="17" t="s">
        <v>53</v>
      </c>
      <c r="T77" s="18" t="s">
        <v>53</v>
      </c>
      <c r="U77" s="17" t="s">
        <v>53</v>
      </c>
      <c r="V77" s="18" t="s">
        <v>53</v>
      </c>
    </row>
    <row r="78" spans="1:22"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c r="S78" s="17" t="s">
        <v>53</v>
      </c>
      <c r="T78" s="18" t="s">
        <v>53</v>
      </c>
      <c r="U78" s="17" t="s">
        <v>53</v>
      </c>
      <c r="V78" s="18" t="s">
        <v>53</v>
      </c>
    </row>
    <row r="79" spans="1:22"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c r="S79" s="17" t="s">
        <v>53</v>
      </c>
      <c r="T79" s="18" t="s">
        <v>53</v>
      </c>
      <c r="U79" s="17" t="s">
        <v>53</v>
      </c>
      <c r="V79" s="18" t="s">
        <v>53</v>
      </c>
    </row>
    <row r="80" spans="1:22"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c r="S80" s="17" t="s">
        <v>53</v>
      </c>
      <c r="T80" s="18" t="s">
        <v>53</v>
      </c>
      <c r="U80" s="17" t="s">
        <v>53</v>
      </c>
      <c r="V80" s="18" t="s">
        <v>53</v>
      </c>
    </row>
    <row r="81" spans="1:22"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c r="S81" s="17" t="s">
        <v>53</v>
      </c>
      <c r="T81" s="18" t="s">
        <v>53</v>
      </c>
      <c r="U81" s="17" t="s">
        <v>53</v>
      </c>
      <c r="V81" s="18" t="s">
        <v>53</v>
      </c>
    </row>
    <row r="82" spans="1:22"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c r="S82" s="20" t="s">
        <v>125</v>
      </c>
      <c r="T82" s="20" t="s">
        <v>125</v>
      </c>
      <c r="U82" s="20" t="s">
        <v>125</v>
      </c>
      <c r="V82" s="20" t="s">
        <v>125</v>
      </c>
    </row>
    <row r="83" spans="1:22" x14ac:dyDescent="0.25">
      <c r="A83" s="3" t="s">
        <v>126</v>
      </c>
    </row>
    <row r="84" spans="1:22" x14ac:dyDescent="0.25">
      <c r="A84" s="26" t="s">
        <v>127</v>
      </c>
      <c r="B84" s="24"/>
      <c r="C84" s="24"/>
      <c r="D84" s="24"/>
      <c r="E84" s="24"/>
      <c r="F84" s="24"/>
      <c r="G84" s="24"/>
      <c r="H84" s="24"/>
      <c r="I84" s="24"/>
      <c r="J84" s="24"/>
      <c r="K84" s="24"/>
      <c r="L84" s="24"/>
      <c r="M84" s="24"/>
      <c r="N84" s="24"/>
      <c r="O84" s="24"/>
      <c r="P84" s="24"/>
      <c r="Q84" s="24"/>
      <c r="R84" s="24"/>
      <c r="S84" s="24"/>
      <c r="T84" s="24"/>
      <c r="U84" s="24"/>
      <c r="V84" s="24"/>
    </row>
    <row r="85" spans="1:22" x14ac:dyDescent="0.25">
      <c r="A85" s="26" t="s">
        <v>128</v>
      </c>
      <c r="B85" s="24"/>
      <c r="C85" s="24"/>
      <c r="D85" s="24"/>
      <c r="E85" s="24"/>
      <c r="F85" s="24"/>
      <c r="G85" s="24"/>
      <c r="H85" s="24"/>
      <c r="I85" s="24"/>
      <c r="J85" s="24"/>
      <c r="K85" s="24"/>
      <c r="L85" s="24"/>
      <c r="M85" s="24"/>
      <c r="N85" s="24"/>
      <c r="O85" s="24"/>
      <c r="P85" s="24"/>
      <c r="Q85" s="24"/>
      <c r="R85" s="24"/>
      <c r="S85" s="24"/>
      <c r="T85" s="24"/>
      <c r="U85" s="24"/>
      <c r="V85" s="24"/>
    </row>
    <row r="86" spans="1:22" ht="30" customHeight="1" x14ac:dyDescent="0.25">
      <c r="A86" s="26" t="s">
        <v>129</v>
      </c>
      <c r="B86" s="24"/>
      <c r="C86" s="24"/>
      <c r="D86" s="24"/>
      <c r="E86" s="24"/>
      <c r="F86" s="24"/>
      <c r="G86" s="24"/>
      <c r="H86" s="24"/>
      <c r="I86" s="24"/>
      <c r="J86" s="24"/>
      <c r="K86" s="24"/>
      <c r="L86" s="24"/>
      <c r="M86" s="24"/>
      <c r="N86" s="24"/>
      <c r="O86" s="24"/>
      <c r="P86" s="24"/>
      <c r="Q86" s="24"/>
      <c r="R86" s="24"/>
      <c r="S86" s="24"/>
      <c r="T86" s="24"/>
      <c r="U86" s="24"/>
      <c r="V86" s="24"/>
    </row>
    <row r="87" spans="1:22" ht="30" customHeight="1" x14ac:dyDescent="0.25">
      <c r="A87" s="26" t="s">
        <v>125</v>
      </c>
      <c r="B87" s="24"/>
      <c r="C87" s="24"/>
      <c r="D87" s="24"/>
      <c r="E87" s="24"/>
      <c r="F87" s="24"/>
      <c r="G87" s="24"/>
      <c r="H87" s="24"/>
      <c r="I87" s="24"/>
      <c r="J87" s="24"/>
      <c r="K87" s="24"/>
      <c r="L87" s="24"/>
      <c r="M87" s="24"/>
      <c r="N87" s="24"/>
      <c r="O87" s="24"/>
      <c r="P87" s="24"/>
      <c r="Q87" s="24"/>
      <c r="R87" s="24"/>
      <c r="S87" s="24"/>
      <c r="T87" s="24"/>
      <c r="U87" s="24"/>
      <c r="V87" s="24"/>
    </row>
    <row r="88" spans="1:22" ht="30" customHeight="1" x14ac:dyDescent="0.25">
      <c r="A88" s="26" t="s">
        <v>130</v>
      </c>
      <c r="B88" s="24"/>
      <c r="C88" s="24"/>
      <c r="D88" s="24"/>
      <c r="E88" s="24"/>
      <c r="F88" s="24"/>
      <c r="G88" s="24"/>
      <c r="H88" s="24"/>
      <c r="I88" s="24"/>
      <c r="J88" s="24"/>
      <c r="K88" s="24"/>
      <c r="L88" s="24"/>
      <c r="M88" s="24"/>
      <c r="N88" s="24"/>
      <c r="O88" s="24"/>
      <c r="P88" s="24"/>
      <c r="Q88" s="24"/>
      <c r="R88" s="24"/>
      <c r="S88" s="24"/>
      <c r="T88" s="24"/>
      <c r="U88" s="24"/>
      <c r="V88" s="24"/>
    </row>
    <row r="89" spans="1:22" ht="30" customHeight="1" x14ac:dyDescent="0.25">
      <c r="A89" s="26" t="s">
        <v>131</v>
      </c>
      <c r="B89" s="24"/>
      <c r="C89" s="24"/>
      <c r="D89" s="24"/>
      <c r="E89" s="24"/>
      <c r="F89" s="24"/>
      <c r="G89" s="24"/>
      <c r="H89" s="24"/>
      <c r="I89" s="24"/>
      <c r="J89" s="24"/>
      <c r="K89" s="24"/>
      <c r="L89" s="24"/>
      <c r="M89" s="24"/>
      <c r="N89" s="24"/>
      <c r="O89" s="24"/>
      <c r="P89" s="24"/>
      <c r="Q89" s="24"/>
      <c r="R89" s="24"/>
      <c r="S89" s="24"/>
      <c r="T89" s="24"/>
      <c r="U89" s="24"/>
      <c r="V89" s="24"/>
    </row>
    <row r="90" spans="1:22" ht="30" customHeight="1" x14ac:dyDescent="0.25">
      <c r="A90" s="26" t="s">
        <v>132</v>
      </c>
      <c r="B90" s="24"/>
      <c r="C90" s="24"/>
      <c r="D90" s="24"/>
      <c r="E90" s="24"/>
      <c r="F90" s="24"/>
      <c r="G90" s="24"/>
      <c r="H90" s="24"/>
      <c r="I90" s="24"/>
      <c r="J90" s="24"/>
      <c r="K90" s="24"/>
      <c r="L90" s="24"/>
      <c r="M90" s="24"/>
      <c r="N90" s="24"/>
      <c r="O90" s="24"/>
      <c r="P90" s="24"/>
      <c r="Q90" s="24"/>
      <c r="R90" s="24"/>
      <c r="S90" s="24"/>
      <c r="T90" s="24"/>
      <c r="U90" s="24"/>
      <c r="V90" s="24"/>
    </row>
    <row r="91" spans="1:22" ht="30" customHeight="1" x14ac:dyDescent="0.25">
      <c r="A91" s="26" t="s">
        <v>133</v>
      </c>
      <c r="B91" s="24"/>
      <c r="C91" s="24"/>
      <c r="D91" s="24"/>
      <c r="E91" s="24"/>
      <c r="F91" s="24"/>
      <c r="G91" s="24"/>
      <c r="H91" s="24"/>
      <c r="I91" s="24"/>
      <c r="J91" s="24"/>
      <c r="K91" s="24"/>
      <c r="L91" s="24"/>
      <c r="M91" s="24"/>
      <c r="N91" s="24"/>
      <c r="O91" s="24"/>
      <c r="P91" s="24"/>
      <c r="Q91" s="24"/>
      <c r="R91" s="24"/>
      <c r="S91" s="24"/>
      <c r="T91" s="24"/>
      <c r="U91" s="24"/>
      <c r="V91" s="24"/>
    </row>
    <row r="92" spans="1:22" ht="30" customHeight="1" x14ac:dyDescent="0.25">
      <c r="A92" s="26" t="s">
        <v>134</v>
      </c>
      <c r="B92" s="24"/>
      <c r="C92" s="24"/>
      <c r="D92" s="24"/>
      <c r="E92" s="24"/>
      <c r="F92" s="24"/>
      <c r="G92" s="24"/>
      <c r="H92" s="24"/>
      <c r="I92" s="24"/>
      <c r="J92" s="24"/>
      <c r="K92" s="24"/>
      <c r="L92" s="24"/>
      <c r="M92" s="24"/>
      <c r="N92" s="24"/>
      <c r="O92" s="24"/>
      <c r="P92" s="24"/>
      <c r="Q92" s="24"/>
      <c r="R92" s="24"/>
      <c r="S92" s="24"/>
      <c r="T92" s="24"/>
      <c r="U92" s="24"/>
      <c r="V92" s="24"/>
    </row>
    <row r="93" spans="1:22" ht="30" customHeight="1" x14ac:dyDescent="0.25">
      <c r="A93" s="26" t="s">
        <v>135</v>
      </c>
      <c r="B93" s="24"/>
      <c r="C93" s="24"/>
      <c r="D93" s="24"/>
      <c r="E93" s="24"/>
      <c r="F93" s="24"/>
      <c r="G93" s="24"/>
      <c r="H93" s="24"/>
      <c r="I93" s="24"/>
      <c r="J93" s="24"/>
      <c r="K93" s="24"/>
      <c r="L93" s="24"/>
      <c r="M93" s="24"/>
      <c r="N93" s="24"/>
      <c r="O93" s="24"/>
      <c r="P93" s="24"/>
      <c r="Q93" s="24"/>
      <c r="R93" s="24"/>
      <c r="S93" s="24"/>
      <c r="T93" s="24"/>
      <c r="U93" s="24"/>
      <c r="V93" s="24"/>
    </row>
    <row r="94" spans="1:22" ht="30" customHeight="1" x14ac:dyDescent="0.25">
      <c r="A94" s="26" t="s">
        <v>136</v>
      </c>
      <c r="B94" s="24"/>
      <c r="C94" s="24"/>
      <c r="D94" s="24"/>
      <c r="E94" s="24"/>
      <c r="F94" s="24"/>
      <c r="G94" s="24"/>
      <c r="H94" s="24"/>
      <c r="I94" s="24"/>
      <c r="J94" s="24"/>
      <c r="K94" s="24"/>
      <c r="L94" s="24"/>
      <c r="M94" s="24"/>
      <c r="N94" s="24"/>
      <c r="O94" s="24"/>
      <c r="P94" s="24"/>
      <c r="Q94" s="24"/>
      <c r="R94" s="24"/>
      <c r="S94" s="24"/>
      <c r="T94" s="24"/>
      <c r="U94" s="24"/>
      <c r="V94" s="24"/>
    </row>
    <row r="95" spans="1:22" ht="30" customHeight="1" x14ac:dyDescent="0.25">
      <c r="A95" s="26" t="s">
        <v>137</v>
      </c>
      <c r="B95" s="24"/>
      <c r="C95" s="24"/>
      <c r="D95" s="24"/>
      <c r="E95" s="24"/>
      <c r="F95" s="24"/>
      <c r="G95" s="24"/>
      <c r="H95" s="24"/>
      <c r="I95" s="24"/>
      <c r="J95" s="24"/>
      <c r="K95" s="24"/>
      <c r="L95" s="24"/>
      <c r="M95" s="24"/>
      <c r="N95" s="24"/>
      <c r="O95" s="24"/>
      <c r="P95" s="24"/>
      <c r="Q95" s="24"/>
      <c r="R95" s="24"/>
      <c r="S95" s="24"/>
      <c r="T95" s="24"/>
      <c r="U95" s="24"/>
      <c r="V95" s="24"/>
    </row>
    <row r="96" spans="1:22" ht="30" customHeight="1" x14ac:dyDescent="0.25">
      <c r="A96" s="26" t="s">
        <v>138</v>
      </c>
      <c r="B96" s="24"/>
      <c r="C96" s="24"/>
      <c r="D96" s="24"/>
      <c r="E96" s="24"/>
      <c r="F96" s="24"/>
      <c r="G96" s="24"/>
      <c r="H96" s="24"/>
      <c r="I96" s="24"/>
      <c r="J96" s="24"/>
      <c r="K96" s="24"/>
      <c r="L96" s="24"/>
      <c r="M96" s="24"/>
      <c r="N96" s="24"/>
      <c r="O96" s="24"/>
      <c r="P96" s="24"/>
      <c r="Q96" s="24"/>
      <c r="R96" s="24"/>
      <c r="S96" s="24"/>
      <c r="T96" s="24"/>
      <c r="U96" s="24"/>
      <c r="V96" s="24"/>
    </row>
    <row r="97" spans="1:1" ht="30" customHeight="1" x14ac:dyDescent="0.25">
      <c r="A97" s="27" t="s">
        <v>171</v>
      </c>
    </row>
  </sheetData>
  <mergeCells count="24">
    <mergeCell ref="A94:V94"/>
    <mergeCell ref="A95:V95"/>
    <mergeCell ref="A96:V96"/>
    <mergeCell ref="A89:V89"/>
    <mergeCell ref="A90:V90"/>
    <mergeCell ref="A91:V91"/>
    <mergeCell ref="A92:V92"/>
    <mergeCell ref="A93:V93"/>
    <mergeCell ref="A84:V84"/>
    <mergeCell ref="A85:V85"/>
    <mergeCell ref="A86:V86"/>
    <mergeCell ref="A87:V87"/>
    <mergeCell ref="A88:V88"/>
    <mergeCell ref="O4:P4"/>
    <mergeCell ref="Q4:R4"/>
    <mergeCell ref="S4:T4"/>
    <mergeCell ref="U4:V4"/>
    <mergeCell ref="A1:V1"/>
    <mergeCell ref="A2:V2"/>
    <mergeCell ref="E4:F4"/>
    <mergeCell ref="G4:H4"/>
    <mergeCell ref="I4:J4"/>
    <mergeCell ref="K4:L4"/>
    <mergeCell ref="M4:N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7"/>
  <sheetViews>
    <sheetView tabSelected="1" topLeftCell="A67"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22" x14ac:dyDescent="0.25">
      <c r="A1" s="23" t="s">
        <v>33</v>
      </c>
      <c r="B1" s="24"/>
      <c r="C1" s="24"/>
      <c r="D1" s="24"/>
      <c r="E1" s="24"/>
      <c r="F1" s="24"/>
      <c r="G1" s="24"/>
      <c r="H1" s="24"/>
      <c r="I1" s="24"/>
      <c r="J1" s="24"/>
      <c r="K1" s="24"/>
      <c r="L1" s="24"/>
      <c r="M1" s="24"/>
      <c r="N1" s="24"/>
      <c r="O1" s="24"/>
      <c r="P1" s="24"/>
      <c r="Q1" s="24"/>
      <c r="R1" s="24"/>
      <c r="S1" s="24"/>
      <c r="T1" s="24"/>
      <c r="U1" s="24"/>
      <c r="V1" s="24"/>
    </row>
    <row r="2" spans="1:22" x14ac:dyDescent="0.25">
      <c r="A2" s="25" t="s">
        <v>146</v>
      </c>
      <c r="B2" s="24"/>
      <c r="C2" s="24"/>
      <c r="D2" s="24"/>
      <c r="E2" s="24"/>
      <c r="F2" s="24"/>
      <c r="G2" s="24"/>
      <c r="H2" s="24"/>
      <c r="I2" s="24"/>
      <c r="J2" s="24"/>
      <c r="K2" s="24"/>
      <c r="L2" s="24"/>
      <c r="M2" s="24"/>
      <c r="N2" s="24"/>
      <c r="O2" s="24"/>
      <c r="P2" s="24"/>
      <c r="Q2" s="24"/>
      <c r="R2" s="24"/>
      <c r="S2" s="24"/>
      <c r="T2" s="24"/>
      <c r="U2" s="24"/>
      <c r="V2" s="24"/>
    </row>
    <row r="4" spans="1:22" ht="30" customHeight="1" x14ac:dyDescent="0.25">
      <c r="A4" s="4"/>
      <c r="B4" s="5" t="s">
        <v>35</v>
      </c>
      <c r="C4" s="5" t="s">
        <v>36</v>
      </c>
      <c r="D4" s="6" t="s">
        <v>35</v>
      </c>
      <c r="E4" s="21" t="s">
        <v>142</v>
      </c>
      <c r="F4" s="22"/>
      <c r="G4" s="21" t="s">
        <v>143</v>
      </c>
      <c r="H4" s="22"/>
      <c r="I4" s="21" t="s">
        <v>144</v>
      </c>
      <c r="J4" s="22"/>
      <c r="K4" s="21" t="s">
        <v>145</v>
      </c>
      <c r="L4" s="22"/>
      <c r="M4" s="21" t="s">
        <v>39</v>
      </c>
      <c r="N4" s="22"/>
      <c r="O4" s="21" t="s">
        <v>40</v>
      </c>
      <c r="P4" s="22"/>
      <c r="Q4" s="21" t="s">
        <v>41</v>
      </c>
      <c r="R4" s="22"/>
      <c r="S4" s="21" t="s">
        <v>42</v>
      </c>
      <c r="T4" s="22"/>
      <c r="U4" s="21" t="s">
        <v>43</v>
      </c>
      <c r="V4" s="22"/>
    </row>
    <row r="5" spans="1:22"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c r="S5" s="8" t="s">
        <v>47</v>
      </c>
      <c r="T5" s="7" t="s">
        <v>48</v>
      </c>
      <c r="U5" s="8" t="s">
        <v>47</v>
      </c>
      <c r="V5" s="7" t="s">
        <v>48</v>
      </c>
    </row>
    <row r="6" spans="1:22" x14ac:dyDescent="0.25">
      <c r="A6" s="9" t="s">
        <v>49</v>
      </c>
      <c r="B6" s="10"/>
      <c r="C6" s="10"/>
      <c r="D6" s="11"/>
      <c r="E6" s="10"/>
      <c r="F6" s="11"/>
      <c r="G6" s="10"/>
      <c r="H6" s="11"/>
      <c r="I6" s="10"/>
      <c r="J6" s="11"/>
      <c r="K6" s="10"/>
      <c r="L6" s="11"/>
      <c r="M6" s="10"/>
      <c r="N6" s="11"/>
      <c r="O6" s="10"/>
      <c r="P6" s="11"/>
      <c r="Q6" s="10"/>
      <c r="R6" s="11"/>
      <c r="S6" s="10"/>
      <c r="T6" s="11"/>
      <c r="U6" s="10"/>
      <c r="V6" s="12"/>
    </row>
    <row r="7" spans="1:22" x14ac:dyDescent="0.25">
      <c r="A7" s="11" t="s">
        <v>50</v>
      </c>
      <c r="B7" s="13">
        <v>14530</v>
      </c>
      <c r="C7" s="14">
        <f>(3455/B7*100)</f>
        <v>23.778389538885065</v>
      </c>
      <c r="D7" s="15">
        <v>11075</v>
      </c>
      <c r="E7" s="14">
        <v>38.536131820000001</v>
      </c>
      <c r="F7" s="16">
        <v>0.52258941999999997</v>
      </c>
      <c r="G7" s="14">
        <v>34.317355419999998</v>
      </c>
      <c r="H7" s="16">
        <v>0.45815625999999998</v>
      </c>
      <c r="I7" s="14">
        <v>21.000636979999999</v>
      </c>
      <c r="J7" s="16">
        <v>0.46320842000000001</v>
      </c>
      <c r="K7" s="14">
        <v>6.1458757899999998</v>
      </c>
      <c r="L7" s="16">
        <v>0.30189830000000001</v>
      </c>
      <c r="M7" s="14">
        <v>0</v>
      </c>
      <c r="N7" s="16">
        <v>0</v>
      </c>
      <c r="O7" s="14" t="s">
        <v>51</v>
      </c>
      <c r="P7" s="16" t="s">
        <v>51</v>
      </c>
      <c r="Q7" s="14">
        <v>0</v>
      </c>
      <c r="R7" s="16">
        <v>0</v>
      </c>
      <c r="S7" s="14">
        <v>0</v>
      </c>
      <c r="T7" s="16">
        <v>0</v>
      </c>
      <c r="U7" s="14">
        <v>0</v>
      </c>
      <c r="V7" s="16">
        <v>0</v>
      </c>
    </row>
    <row r="8" spans="1:22"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c r="S8" s="17" t="s">
        <v>53</v>
      </c>
      <c r="T8" s="18" t="s">
        <v>53</v>
      </c>
      <c r="U8" s="17" t="s">
        <v>53</v>
      </c>
      <c r="V8" s="18" t="s">
        <v>53</v>
      </c>
    </row>
    <row r="9" spans="1:22" x14ac:dyDescent="0.25">
      <c r="A9" s="11" t="s">
        <v>172</v>
      </c>
      <c r="B9" s="13">
        <v>5675</v>
      </c>
      <c r="C9" s="14">
        <f>(354/B9*100)</f>
        <v>6.2378854625550657</v>
      </c>
      <c r="D9" s="15">
        <v>5321</v>
      </c>
      <c r="E9" s="14">
        <v>9.4228456099999995</v>
      </c>
      <c r="F9" s="16">
        <v>0.46608652</v>
      </c>
      <c r="G9" s="14">
        <v>6.0156948699999999</v>
      </c>
      <c r="H9" s="16">
        <v>0.34321487000000001</v>
      </c>
      <c r="I9" s="14">
        <v>3.4508146000000002</v>
      </c>
      <c r="J9" s="16">
        <v>0.26825655999999998</v>
      </c>
      <c r="K9" s="14">
        <v>0.99418101999999997</v>
      </c>
      <c r="L9" s="16">
        <v>0.15474746</v>
      </c>
      <c r="M9" s="14">
        <v>0</v>
      </c>
      <c r="N9" s="16">
        <v>0</v>
      </c>
      <c r="O9" s="14" t="s">
        <v>51</v>
      </c>
      <c r="P9" s="16" t="s">
        <v>51</v>
      </c>
      <c r="Q9" s="14">
        <v>80.116463890000006</v>
      </c>
      <c r="R9" s="16">
        <v>0.57737947999999994</v>
      </c>
      <c r="S9" s="14">
        <v>0</v>
      </c>
      <c r="T9" s="16">
        <v>0</v>
      </c>
      <c r="U9" s="14">
        <v>0</v>
      </c>
      <c r="V9" s="16">
        <v>0</v>
      </c>
    </row>
    <row r="10" spans="1:22" x14ac:dyDescent="0.25">
      <c r="A10" s="11" t="s">
        <v>173</v>
      </c>
      <c r="B10" s="13">
        <v>13082</v>
      </c>
      <c r="C10" s="14">
        <f>(312/B10*100)</f>
        <v>2.38495642868063</v>
      </c>
      <c r="D10" s="15">
        <v>12770</v>
      </c>
      <c r="E10" s="14">
        <v>10.394910210000001</v>
      </c>
      <c r="F10" s="16">
        <v>0.36038524</v>
      </c>
      <c r="G10" s="14">
        <v>7.6744693899999996</v>
      </c>
      <c r="H10" s="16">
        <v>0.32098349999999998</v>
      </c>
      <c r="I10" s="14">
        <v>5.01193987</v>
      </c>
      <c r="J10" s="16">
        <v>0.24622854999999999</v>
      </c>
      <c r="K10" s="14">
        <v>1.5212735100000001</v>
      </c>
      <c r="L10" s="16">
        <v>0.13951232</v>
      </c>
      <c r="M10" s="14">
        <v>0</v>
      </c>
      <c r="N10" s="16">
        <v>0</v>
      </c>
      <c r="O10" s="14" t="s">
        <v>51</v>
      </c>
      <c r="P10" s="16" t="s">
        <v>51</v>
      </c>
      <c r="Q10" s="14">
        <v>75.397407020000003</v>
      </c>
      <c r="R10" s="16">
        <v>0.35250748999999998</v>
      </c>
      <c r="S10" s="14">
        <v>0</v>
      </c>
      <c r="T10" s="16">
        <v>0</v>
      </c>
      <c r="U10" s="14">
        <v>0</v>
      </c>
      <c r="V10" s="16">
        <v>0</v>
      </c>
    </row>
    <row r="11" spans="1:22" x14ac:dyDescent="0.25">
      <c r="A11" s="11" t="s">
        <v>54</v>
      </c>
      <c r="B11" s="13">
        <v>7053</v>
      </c>
      <c r="C11" s="14">
        <f>(283/B11*100)</f>
        <v>4.0124769601587982</v>
      </c>
      <c r="D11" s="15">
        <v>6770</v>
      </c>
      <c r="E11" s="14">
        <v>9.5183778300000004</v>
      </c>
      <c r="F11" s="16">
        <v>0.37453864999999997</v>
      </c>
      <c r="G11" s="14">
        <v>6.3174465700000004</v>
      </c>
      <c r="H11" s="16">
        <v>0.30366247000000002</v>
      </c>
      <c r="I11" s="14">
        <v>4.65364617</v>
      </c>
      <c r="J11" s="16">
        <v>0.28565470999999998</v>
      </c>
      <c r="K11" s="14">
        <v>1.8356434800000001</v>
      </c>
      <c r="L11" s="16">
        <v>0.19002413000000001</v>
      </c>
      <c r="M11" s="14">
        <v>0</v>
      </c>
      <c r="N11" s="16">
        <v>0</v>
      </c>
      <c r="O11" s="14" t="s">
        <v>51</v>
      </c>
      <c r="P11" s="16" t="s">
        <v>51</v>
      </c>
      <c r="Q11" s="14">
        <v>77.674885939999996</v>
      </c>
      <c r="R11" s="16">
        <v>0.41607989000000001</v>
      </c>
      <c r="S11" s="14">
        <v>0</v>
      </c>
      <c r="T11" s="16">
        <v>0</v>
      </c>
      <c r="U11" s="14">
        <v>0</v>
      </c>
      <c r="V11" s="16">
        <v>0</v>
      </c>
    </row>
    <row r="12" spans="1:22"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c r="S12" s="17" t="s">
        <v>53</v>
      </c>
      <c r="T12" s="18" t="s">
        <v>53</v>
      </c>
      <c r="U12" s="17" t="s">
        <v>53</v>
      </c>
      <c r="V12" s="18" t="s">
        <v>53</v>
      </c>
    </row>
    <row r="13" spans="1:22"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c r="S13" s="17" t="s">
        <v>53</v>
      </c>
      <c r="T13" s="18" t="s">
        <v>53</v>
      </c>
      <c r="U13" s="17" t="s">
        <v>53</v>
      </c>
      <c r="V13" s="18" t="s">
        <v>53</v>
      </c>
    </row>
    <row r="14" spans="1:22"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c r="S14" s="17" t="s">
        <v>53</v>
      </c>
      <c r="T14" s="18" t="s">
        <v>53</v>
      </c>
      <c r="U14" s="17" t="s">
        <v>53</v>
      </c>
      <c r="V14" s="18" t="s">
        <v>53</v>
      </c>
    </row>
    <row r="15" spans="1:22"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c r="S15" s="17" t="s">
        <v>53</v>
      </c>
      <c r="T15" s="18" t="s">
        <v>53</v>
      </c>
      <c r="U15" s="17" t="s">
        <v>53</v>
      </c>
      <c r="V15" s="18" t="s">
        <v>53</v>
      </c>
    </row>
    <row r="16" spans="1:22"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c r="S16" s="17" t="s">
        <v>53</v>
      </c>
      <c r="T16" s="18" t="s">
        <v>53</v>
      </c>
      <c r="U16" s="17" t="s">
        <v>53</v>
      </c>
      <c r="V16" s="18" t="s">
        <v>53</v>
      </c>
    </row>
    <row r="17" spans="1:22"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c r="S17" s="17" t="s">
        <v>53</v>
      </c>
      <c r="T17" s="18" t="s">
        <v>53</v>
      </c>
      <c r="U17" s="17" t="s">
        <v>53</v>
      </c>
      <c r="V17" s="18" t="s">
        <v>53</v>
      </c>
    </row>
    <row r="18" spans="1:22"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c r="S18" s="17" t="s">
        <v>53</v>
      </c>
      <c r="T18" s="18" t="s">
        <v>53</v>
      </c>
      <c r="U18" s="17" t="s">
        <v>53</v>
      </c>
      <c r="V18" s="18" t="s">
        <v>53</v>
      </c>
    </row>
    <row r="19" spans="1:22"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c r="S19" s="17" t="s">
        <v>53</v>
      </c>
      <c r="T19" s="18" t="s">
        <v>53</v>
      </c>
      <c r="U19" s="17" t="s">
        <v>53</v>
      </c>
      <c r="V19" s="18" t="s">
        <v>53</v>
      </c>
    </row>
    <row r="20" spans="1:22"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c r="S20" s="17" t="s">
        <v>53</v>
      </c>
      <c r="T20" s="18" t="s">
        <v>53</v>
      </c>
      <c r="U20" s="17" t="s">
        <v>53</v>
      </c>
      <c r="V20" s="18" t="s">
        <v>53</v>
      </c>
    </row>
    <row r="21" spans="1:22"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c r="S21" s="17" t="s">
        <v>53</v>
      </c>
      <c r="T21" s="18" t="s">
        <v>53</v>
      </c>
      <c r="U21" s="17" t="s">
        <v>53</v>
      </c>
      <c r="V21" s="18" t="s">
        <v>53</v>
      </c>
    </row>
    <row r="22" spans="1:22"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c r="S22" s="17" t="s">
        <v>53</v>
      </c>
      <c r="T22" s="18" t="s">
        <v>53</v>
      </c>
      <c r="U22" s="17" t="s">
        <v>53</v>
      </c>
      <c r="V22" s="18" t="s">
        <v>53</v>
      </c>
    </row>
    <row r="23" spans="1:22" x14ac:dyDescent="0.25">
      <c r="A23" s="11" t="s">
        <v>66</v>
      </c>
      <c r="B23" s="13">
        <v>11583</v>
      </c>
      <c r="C23" s="14">
        <f>(682/B23*100)</f>
        <v>5.8879392212725552</v>
      </c>
      <c r="D23" s="15">
        <v>10901</v>
      </c>
      <c r="E23" s="14">
        <v>9.9666995699999994</v>
      </c>
      <c r="F23" s="16">
        <v>0.38016119999999998</v>
      </c>
      <c r="G23" s="14">
        <v>6.4578710299999997</v>
      </c>
      <c r="H23" s="16">
        <v>0.30567619000000001</v>
      </c>
      <c r="I23" s="14">
        <v>3.7938682899999998</v>
      </c>
      <c r="J23" s="16">
        <v>0.25282276999999997</v>
      </c>
      <c r="K23" s="14">
        <v>1.6247963299999999</v>
      </c>
      <c r="L23" s="16">
        <v>0.14982008999999999</v>
      </c>
      <c r="M23" s="14">
        <v>0</v>
      </c>
      <c r="N23" s="16">
        <v>0</v>
      </c>
      <c r="O23" s="14" t="s">
        <v>51</v>
      </c>
      <c r="P23" s="16" t="s">
        <v>51</v>
      </c>
      <c r="Q23" s="14">
        <v>78.156764769999995</v>
      </c>
      <c r="R23" s="16">
        <v>0.35559108</v>
      </c>
      <c r="S23" s="14">
        <v>0</v>
      </c>
      <c r="T23" s="16">
        <v>0</v>
      </c>
      <c r="U23" s="14">
        <v>0</v>
      </c>
      <c r="V23" s="16">
        <v>0</v>
      </c>
    </row>
    <row r="24" spans="1:22"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c r="S24" s="17" t="s">
        <v>53</v>
      </c>
      <c r="T24" s="18" t="s">
        <v>53</v>
      </c>
      <c r="U24" s="17" t="s">
        <v>53</v>
      </c>
      <c r="V24" s="18" t="s">
        <v>53</v>
      </c>
    </row>
    <row r="25" spans="1:22"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c r="S25" s="17" t="s">
        <v>53</v>
      </c>
      <c r="T25" s="18" t="s">
        <v>53</v>
      </c>
      <c r="U25" s="17" t="s">
        <v>53</v>
      </c>
      <c r="V25" s="18" t="s">
        <v>53</v>
      </c>
    </row>
    <row r="26" spans="1:22"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c r="S26" s="17" t="s">
        <v>53</v>
      </c>
      <c r="T26" s="18" t="s">
        <v>53</v>
      </c>
      <c r="U26" s="17" t="s">
        <v>53</v>
      </c>
      <c r="V26" s="18" t="s">
        <v>53</v>
      </c>
    </row>
    <row r="27" spans="1:22"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c r="S27" s="17" t="s">
        <v>53</v>
      </c>
      <c r="T27" s="18" t="s">
        <v>53</v>
      </c>
      <c r="U27" s="17" t="s">
        <v>53</v>
      </c>
      <c r="V27" s="18" t="s">
        <v>53</v>
      </c>
    </row>
    <row r="28" spans="1:22"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c r="S28" s="17" t="s">
        <v>53</v>
      </c>
      <c r="T28" s="18" t="s">
        <v>53</v>
      </c>
      <c r="U28" s="17" t="s">
        <v>53</v>
      </c>
      <c r="V28" s="18" t="s">
        <v>53</v>
      </c>
    </row>
    <row r="29" spans="1:22" x14ac:dyDescent="0.25">
      <c r="A29" s="11" t="s">
        <v>72</v>
      </c>
      <c r="B29" s="13">
        <v>5385</v>
      </c>
      <c r="C29" s="14">
        <f>(56/B29*100)</f>
        <v>1.0399257195914577</v>
      </c>
      <c r="D29" s="15">
        <v>5329</v>
      </c>
      <c r="E29" s="14">
        <v>9.6015669500000005</v>
      </c>
      <c r="F29" s="16">
        <v>0.41850000999999998</v>
      </c>
      <c r="G29" s="14">
        <v>8.0993742100000006</v>
      </c>
      <c r="H29" s="16">
        <v>0.32554364000000002</v>
      </c>
      <c r="I29" s="14">
        <v>5.2961112300000002</v>
      </c>
      <c r="J29" s="16">
        <v>0.27907074999999998</v>
      </c>
      <c r="K29" s="14">
        <v>1.6527600600000001</v>
      </c>
      <c r="L29" s="16">
        <v>0.19224071000000001</v>
      </c>
      <c r="M29" s="14">
        <v>0</v>
      </c>
      <c r="N29" s="16">
        <v>0</v>
      </c>
      <c r="O29" s="14" t="s">
        <v>51</v>
      </c>
      <c r="P29" s="16" t="s">
        <v>51</v>
      </c>
      <c r="Q29" s="14">
        <v>75.350187559999995</v>
      </c>
      <c r="R29" s="16">
        <v>0.30798428</v>
      </c>
      <c r="S29" s="14">
        <v>0</v>
      </c>
      <c r="T29" s="16">
        <v>0</v>
      </c>
      <c r="U29" s="14">
        <v>0</v>
      </c>
      <c r="V29" s="16">
        <v>0</v>
      </c>
    </row>
    <row r="30" spans="1:22"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c r="S30" s="17" t="s">
        <v>53</v>
      </c>
      <c r="T30" s="18" t="s">
        <v>53</v>
      </c>
      <c r="U30" s="17" t="s">
        <v>53</v>
      </c>
      <c r="V30" s="18" t="s">
        <v>53</v>
      </c>
    </row>
    <row r="31" spans="1:22"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c r="S31" s="17" t="s">
        <v>53</v>
      </c>
      <c r="T31" s="18" t="s">
        <v>53</v>
      </c>
      <c r="U31" s="17" t="s">
        <v>53</v>
      </c>
      <c r="V31" s="18" t="s">
        <v>53</v>
      </c>
    </row>
    <row r="32" spans="1:22" x14ac:dyDescent="0.25">
      <c r="A32" s="11" t="s">
        <v>75</v>
      </c>
      <c r="B32" s="13">
        <v>4478</v>
      </c>
      <c r="C32" s="14">
        <f>(76/B32*100)</f>
        <v>1.6971862438588656</v>
      </c>
      <c r="D32" s="15">
        <v>4402</v>
      </c>
      <c r="E32" s="14">
        <v>11.729207150000001</v>
      </c>
      <c r="F32" s="16">
        <v>0.42331151</v>
      </c>
      <c r="G32" s="14">
        <v>13.676561919999999</v>
      </c>
      <c r="H32" s="16">
        <v>0.41805759999999997</v>
      </c>
      <c r="I32" s="14">
        <v>8.8538270200000007</v>
      </c>
      <c r="J32" s="16">
        <v>0.41397440000000002</v>
      </c>
      <c r="K32" s="14">
        <v>3.56356056</v>
      </c>
      <c r="L32" s="16">
        <v>0.27008188</v>
      </c>
      <c r="M32" s="14">
        <v>0</v>
      </c>
      <c r="N32" s="16">
        <v>0</v>
      </c>
      <c r="O32" s="14" t="s">
        <v>51</v>
      </c>
      <c r="P32" s="16" t="s">
        <v>51</v>
      </c>
      <c r="Q32" s="14">
        <v>62.176843349999999</v>
      </c>
      <c r="R32" s="16">
        <v>0.34831706000000001</v>
      </c>
      <c r="S32" s="14">
        <v>0</v>
      </c>
      <c r="T32" s="16">
        <v>0</v>
      </c>
      <c r="U32" s="14">
        <v>0</v>
      </c>
      <c r="V32" s="16">
        <v>0</v>
      </c>
    </row>
    <row r="33" spans="1:22"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c r="S33" s="17" t="s">
        <v>53</v>
      </c>
      <c r="T33" s="18" t="s">
        <v>53</v>
      </c>
      <c r="U33" s="17" t="s">
        <v>53</v>
      </c>
      <c r="V33" s="18" t="s">
        <v>53</v>
      </c>
    </row>
    <row r="34" spans="1:22" x14ac:dyDescent="0.25">
      <c r="A34" s="11" t="s">
        <v>77</v>
      </c>
      <c r="B34" s="13">
        <v>6350</v>
      </c>
      <c r="C34" s="14">
        <f>(304/B34*100)</f>
        <v>4.78740157480315</v>
      </c>
      <c r="D34" s="15">
        <v>6046</v>
      </c>
      <c r="E34" s="14">
        <v>7.0280336800000001</v>
      </c>
      <c r="F34" s="16">
        <v>0.32393761999999998</v>
      </c>
      <c r="G34" s="14">
        <v>7.3507395300000002</v>
      </c>
      <c r="H34" s="16">
        <v>0.32033165000000002</v>
      </c>
      <c r="I34" s="14">
        <v>4.5867885399999997</v>
      </c>
      <c r="J34" s="16">
        <v>0.21905696</v>
      </c>
      <c r="K34" s="14">
        <v>2.6814643899999999</v>
      </c>
      <c r="L34" s="16">
        <v>0.21216512000000001</v>
      </c>
      <c r="M34" s="14">
        <v>0</v>
      </c>
      <c r="N34" s="16">
        <v>0</v>
      </c>
      <c r="O34" s="14" t="s">
        <v>51</v>
      </c>
      <c r="P34" s="16" t="s">
        <v>51</v>
      </c>
      <c r="Q34" s="14">
        <v>78.352973860000006</v>
      </c>
      <c r="R34" s="16">
        <v>0.39476878999999998</v>
      </c>
      <c r="S34" s="14">
        <v>0</v>
      </c>
      <c r="T34" s="16">
        <v>0</v>
      </c>
      <c r="U34" s="14">
        <v>0</v>
      </c>
      <c r="V34" s="16">
        <v>0</v>
      </c>
    </row>
    <row r="35" spans="1:22"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c r="S35" s="17" t="s">
        <v>53</v>
      </c>
      <c r="T35" s="18" t="s">
        <v>53</v>
      </c>
      <c r="U35" s="17" t="s">
        <v>53</v>
      </c>
      <c r="V35" s="18" t="s">
        <v>53</v>
      </c>
    </row>
    <row r="36" spans="1:22" x14ac:dyDescent="0.25">
      <c r="A36" s="11" t="s">
        <v>79</v>
      </c>
      <c r="B36" s="13">
        <v>6736</v>
      </c>
      <c r="C36" s="14">
        <f>(202/B36*100)</f>
        <v>2.9988123515439429</v>
      </c>
      <c r="D36" s="15">
        <v>6534</v>
      </c>
      <c r="E36" s="14">
        <v>10.002867869999999</v>
      </c>
      <c r="F36" s="16">
        <v>0.30207075999999999</v>
      </c>
      <c r="G36" s="14">
        <v>7.1571077000000001</v>
      </c>
      <c r="H36" s="16">
        <v>0.27841754000000002</v>
      </c>
      <c r="I36" s="14">
        <v>4.8744178800000002</v>
      </c>
      <c r="J36" s="16">
        <v>0.26286315999999998</v>
      </c>
      <c r="K36" s="14">
        <v>1.76070371</v>
      </c>
      <c r="L36" s="16">
        <v>0.18612964000000001</v>
      </c>
      <c r="M36" s="14">
        <v>0</v>
      </c>
      <c r="N36" s="16">
        <v>0</v>
      </c>
      <c r="O36" s="14" t="s">
        <v>51</v>
      </c>
      <c r="P36" s="16" t="s">
        <v>51</v>
      </c>
      <c r="Q36" s="14">
        <v>76.204902829999995</v>
      </c>
      <c r="R36" s="16">
        <v>0.27155636</v>
      </c>
      <c r="S36" s="14">
        <v>0</v>
      </c>
      <c r="T36" s="16">
        <v>0</v>
      </c>
      <c r="U36" s="14">
        <v>0</v>
      </c>
      <c r="V36" s="16">
        <v>0</v>
      </c>
    </row>
    <row r="37" spans="1:22"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c r="S37" s="17" t="s">
        <v>53</v>
      </c>
      <c r="T37" s="18" t="s">
        <v>53</v>
      </c>
      <c r="U37" s="17" t="s">
        <v>53</v>
      </c>
      <c r="V37" s="18" t="s">
        <v>53</v>
      </c>
    </row>
    <row r="38" spans="1:22"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c r="S38" s="17" t="s">
        <v>53</v>
      </c>
      <c r="T38" s="18" t="s">
        <v>53</v>
      </c>
      <c r="U38" s="17" t="s">
        <v>53</v>
      </c>
      <c r="V38" s="18" t="s">
        <v>53</v>
      </c>
    </row>
    <row r="39" spans="1:22"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c r="S39" s="17" t="s">
        <v>53</v>
      </c>
      <c r="T39" s="18" t="s">
        <v>53</v>
      </c>
      <c r="U39" s="17" t="s">
        <v>53</v>
      </c>
      <c r="V39" s="18" t="s">
        <v>53</v>
      </c>
    </row>
    <row r="40" spans="1:22"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c r="S40" s="17" t="s">
        <v>53</v>
      </c>
      <c r="T40" s="18" t="s">
        <v>53</v>
      </c>
      <c r="U40" s="17" t="s">
        <v>53</v>
      </c>
      <c r="V40" s="18" t="s">
        <v>53</v>
      </c>
    </row>
    <row r="41" spans="1:22" x14ac:dyDescent="0.25">
      <c r="A41" s="11" t="s">
        <v>84</v>
      </c>
      <c r="B41" s="13">
        <v>5712</v>
      </c>
      <c r="C41" s="14">
        <f>(172/B41*100)</f>
        <v>3.011204481792717</v>
      </c>
      <c r="D41" s="15">
        <v>5540</v>
      </c>
      <c r="E41" s="14">
        <v>10.72004776</v>
      </c>
      <c r="F41" s="16">
        <v>0.4507409</v>
      </c>
      <c r="G41" s="14">
        <v>7.1716686000000003</v>
      </c>
      <c r="H41" s="16">
        <v>0.34788183</v>
      </c>
      <c r="I41" s="14">
        <v>3.72100031</v>
      </c>
      <c r="J41" s="16">
        <v>0.23959727</v>
      </c>
      <c r="K41" s="14">
        <v>2.11637348</v>
      </c>
      <c r="L41" s="16">
        <v>0.22030389</v>
      </c>
      <c r="M41" s="14">
        <v>0</v>
      </c>
      <c r="N41" s="16">
        <v>0</v>
      </c>
      <c r="O41" s="14" t="s">
        <v>51</v>
      </c>
      <c r="P41" s="16" t="s">
        <v>51</v>
      </c>
      <c r="Q41" s="14">
        <v>76.270909849999995</v>
      </c>
      <c r="R41" s="16">
        <v>0.40389380000000003</v>
      </c>
      <c r="S41" s="14">
        <v>0</v>
      </c>
      <c r="T41" s="16">
        <v>0</v>
      </c>
      <c r="U41" s="14">
        <v>0</v>
      </c>
      <c r="V41" s="16">
        <v>0</v>
      </c>
    </row>
    <row r="42" spans="1:22" x14ac:dyDescent="0.25">
      <c r="A42" s="11" t="s">
        <v>85</v>
      </c>
      <c r="B42" s="13">
        <f>IF(COUNT(B7:B41) &gt; 0, AVERAGE(B7:B41), "\u2014")</f>
        <v>8058.4</v>
      </c>
      <c r="C42" s="14">
        <f>IF(COUNT(C7:C41) &gt; 0, AVERAGE(C7:C41), "—")</f>
        <v>5.5836177983142239</v>
      </c>
      <c r="D42" s="15">
        <f>IF(COUNT(D7:D41) &gt; 0, AVERAGE(D7:D41), "—")</f>
        <v>7468.8</v>
      </c>
      <c r="E42" s="14">
        <f>IF(COUNT(E7:E41) &gt; 0, AVERAGE(E7:E41), "—")</f>
        <v>12.692068845000001</v>
      </c>
      <c r="F42" s="16">
        <f>IF(COUNT(F7:F41) &gt; 0, SQRT(SUMSQ(F7:F41)/(COUNT(F7:F41)*COUNT(F7:F41)) ), "—")</f>
        <v>0.12879053470889462</v>
      </c>
      <c r="G42" s="14">
        <f>IF(COUNT(G7:G41) &gt; 0, AVERAGE(G7:G41), "—")</f>
        <v>10.423828924</v>
      </c>
      <c r="H42" s="16">
        <f>IF(COUNT(H7:H41) &gt; 0, SQRT(SUMSQ(H7:H41)/(COUNT(H7:H41)*COUNT(H7:H41)) ), "—")</f>
        <v>0.10946616465080451</v>
      </c>
      <c r="I42" s="14">
        <f>IF(COUNT(I7:I41) &gt; 0, AVERAGE(I7:I41), "—")</f>
        <v>6.5243050890000003</v>
      </c>
      <c r="J42" s="16">
        <f>IF(COUNT(J7:J41) &gt; 0, SQRT(SUMSQ(J7:J41)/(COUNT(J7:J41)*COUNT(J7:J41)) ), "—")</f>
        <v>9.5729578465315102E-2</v>
      </c>
      <c r="K42" s="14">
        <f>IF(COUNT(K7:K41) &gt; 0, AVERAGE(K7:K41), "—")</f>
        <v>2.3896632329999998</v>
      </c>
      <c r="L42" s="16">
        <f>IF(COUNT(L7:L41) &gt; 0, SQRT(SUMSQ(L7:L41)/(COUNT(L7:L41)*COUNT(L7:L41)) ), "—")</f>
        <v>6.5665902427888986E-2</v>
      </c>
      <c r="M42" s="14">
        <f>IF(COUNT(M7:M41) &gt; 0, AVERAGE(M7:M41), "—")</f>
        <v>0</v>
      </c>
      <c r="N42" s="16">
        <f>IF(COUNT(N7:N41) &gt; 0, SQRT(SUMSQ(N7:N41)/(COUNT(N7:N41)*COUNT(N7:N41)) ), "—")</f>
        <v>0</v>
      </c>
      <c r="O42" s="14" t="str">
        <f>IF(COUNT(O7:O41) &gt; 0, AVERAGE(O7:O41), "—")</f>
        <v>—</v>
      </c>
      <c r="P42" s="16" t="str">
        <f>IF(COUNT(P7:P41) &gt; 0, SQRT(SUMSQ(P7:P41)/(COUNT(P7:P41)*COUNT(P7:P41)) ), "—")</f>
        <v>—</v>
      </c>
      <c r="Q42" s="14">
        <f>IF(COUNT(Q7:Q41) &gt; 0, AVERAGE(Q7:Q41), "—")</f>
        <v>67.970133907000005</v>
      </c>
      <c r="R42" s="16">
        <f>IF(COUNT(R7:R41) &gt; 0, SQRT(SUMSQ(R7:R41)/(COUNT(R7:R41)*COUNT(R7:R41)) ), "—")</f>
        <v>0.11687987989283119</v>
      </c>
      <c r="S42" s="14">
        <f>IF(COUNT(S7:S41) &gt; 0, AVERAGE(S7:S41), "—")</f>
        <v>0</v>
      </c>
      <c r="T42" s="16">
        <f>IF(COUNT(T7:T41) &gt; 0, SQRT(SUMSQ(T7:T41)/(COUNT(T7:T41)*COUNT(T7:T41)) ), "—")</f>
        <v>0</v>
      </c>
      <c r="U42" s="14">
        <f>IF(COUNT(U7:U41) &gt; 0, AVERAGE(U7:U41), "—")</f>
        <v>0</v>
      </c>
      <c r="V42" s="16">
        <f>IF(COUNT(V7:V41) &gt; 0, SQRT(SUMSQ(V7:V41)/(COUNT(V7:V41)*COUNT(V7:V41)) ), "—")</f>
        <v>0</v>
      </c>
    </row>
    <row r="43" spans="1:22" x14ac:dyDescent="0.25">
      <c r="A43" s="9" t="s">
        <v>86</v>
      </c>
      <c r="B43" s="10"/>
      <c r="C43" s="10"/>
      <c r="D43" s="11"/>
      <c r="E43" s="10"/>
      <c r="F43" s="11"/>
      <c r="G43" s="10"/>
      <c r="H43" s="11"/>
      <c r="I43" s="10"/>
      <c r="J43" s="11"/>
      <c r="K43" s="10"/>
      <c r="L43" s="11"/>
      <c r="M43" s="10"/>
      <c r="N43" s="11"/>
      <c r="O43" s="10"/>
      <c r="P43" s="11"/>
      <c r="Q43" s="10"/>
      <c r="R43" s="11"/>
      <c r="S43" s="10"/>
      <c r="T43" s="11"/>
      <c r="U43" s="10"/>
      <c r="V43" s="12"/>
    </row>
    <row r="44" spans="1:22"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c r="S44" s="17" t="s">
        <v>53</v>
      </c>
      <c r="T44" s="18" t="s">
        <v>53</v>
      </c>
      <c r="U44" s="17" t="s">
        <v>53</v>
      </c>
      <c r="V44" s="18" t="s">
        <v>53</v>
      </c>
    </row>
    <row r="45" spans="1:22"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c r="S45" s="17" t="s">
        <v>53</v>
      </c>
      <c r="T45" s="18" t="s">
        <v>53</v>
      </c>
      <c r="U45" s="17" t="s">
        <v>53</v>
      </c>
      <c r="V45" s="18" t="s">
        <v>53</v>
      </c>
    </row>
    <row r="46" spans="1:22" x14ac:dyDescent="0.25">
      <c r="A46" s="11" t="s">
        <v>89</v>
      </c>
      <c r="B46" s="13">
        <v>23141</v>
      </c>
      <c r="C46" s="14">
        <f>(3959/B46*100)</f>
        <v>17.108163000734628</v>
      </c>
      <c r="D46" s="15">
        <v>19182</v>
      </c>
      <c r="E46" s="14">
        <v>4.8534196600000001</v>
      </c>
      <c r="F46" s="16">
        <v>0.24523749</v>
      </c>
      <c r="G46" s="14">
        <v>3.3223287699999999</v>
      </c>
      <c r="H46" s="16">
        <v>0.19083971</v>
      </c>
      <c r="I46" s="14">
        <v>2.3649746299999999</v>
      </c>
      <c r="J46" s="16">
        <v>0.15278481999999999</v>
      </c>
      <c r="K46" s="14">
        <v>1.6531404700000001</v>
      </c>
      <c r="L46" s="16">
        <v>0.11467542</v>
      </c>
      <c r="M46" s="14">
        <v>0</v>
      </c>
      <c r="N46" s="16">
        <v>0</v>
      </c>
      <c r="O46" s="14" t="s">
        <v>51</v>
      </c>
      <c r="P46" s="16" t="s">
        <v>51</v>
      </c>
      <c r="Q46" s="14">
        <v>87.806136469999998</v>
      </c>
      <c r="R46" s="16">
        <v>0.37226604000000002</v>
      </c>
      <c r="S46" s="14">
        <v>0</v>
      </c>
      <c r="T46" s="16">
        <v>0</v>
      </c>
      <c r="U46" s="14">
        <v>0</v>
      </c>
      <c r="V46" s="16">
        <v>0</v>
      </c>
    </row>
    <row r="47" spans="1:22"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c r="S47" s="17" t="s">
        <v>53</v>
      </c>
      <c r="T47" s="18" t="s">
        <v>53</v>
      </c>
      <c r="U47" s="17" t="s">
        <v>53</v>
      </c>
      <c r="V47" s="18" t="s">
        <v>53</v>
      </c>
    </row>
    <row r="48" spans="1:22" x14ac:dyDescent="0.25">
      <c r="A48" s="11" t="s">
        <v>91</v>
      </c>
      <c r="B48" s="13">
        <v>9841</v>
      </c>
      <c r="C48" s="14">
        <f>(102/B48*100)</f>
        <v>1.0364800325170207</v>
      </c>
      <c r="D48" s="15">
        <v>9739</v>
      </c>
      <c r="E48" s="14">
        <v>9.4876122499999997</v>
      </c>
      <c r="F48" s="16">
        <v>0.36741669999999998</v>
      </c>
      <c r="G48" s="14">
        <v>8.0210895099999995</v>
      </c>
      <c r="H48" s="16">
        <v>0.31842401999999997</v>
      </c>
      <c r="I48" s="14">
        <v>5.4812768700000003</v>
      </c>
      <c r="J48" s="16">
        <v>0.26840058</v>
      </c>
      <c r="K48" s="14">
        <v>1.74972477</v>
      </c>
      <c r="L48" s="16">
        <v>0.14067145</v>
      </c>
      <c r="M48" s="14">
        <v>0</v>
      </c>
      <c r="N48" s="16">
        <v>0</v>
      </c>
      <c r="O48" s="14" t="s">
        <v>51</v>
      </c>
      <c r="P48" s="16" t="s">
        <v>51</v>
      </c>
      <c r="Q48" s="14">
        <v>75.260296600000004</v>
      </c>
      <c r="R48" s="16">
        <v>0.32615684</v>
      </c>
      <c r="S48" s="14">
        <v>0</v>
      </c>
      <c r="T48" s="16">
        <v>0</v>
      </c>
      <c r="U48" s="14">
        <v>0</v>
      </c>
      <c r="V48" s="16">
        <v>0</v>
      </c>
    </row>
    <row r="49" spans="1:22"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c r="S49" s="17" t="s">
        <v>53</v>
      </c>
      <c r="T49" s="18" t="s">
        <v>53</v>
      </c>
      <c r="U49" s="17" t="s">
        <v>53</v>
      </c>
      <c r="V49" s="18" t="s">
        <v>53</v>
      </c>
    </row>
    <row r="50" spans="1:22"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c r="S50" s="17" t="s">
        <v>53</v>
      </c>
      <c r="T50" s="18" t="s">
        <v>53</v>
      </c>
      <c r="U50" s="17" t="s">
        <v>53</v>
      </c>
      <c r="V50" s="18" t="s">
        <v>53</v>
      </c>
    </row>
    <row r="51" spans="1:22"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c r="S51" s="17" t="s">
        <v>53</v>
      </c>
      <c r="T51" s="18" t="s">
        <v>53</v>
      </c>
      <c r="U51" s="17" t="s">
        <v>53</v>
      </c>
      <c r="V51" s="18" t="s">
        <v>53</v>
      </c>
    </row>
    <row r="52" spans="1:22"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c r="S52" s="17" t="s">
        <v>53</v>
      </c>
      <c r="T52" s="18" t="s">
        <v>53</v>
      </c>
      <c r="U52" s="17" t="s">
        <v>53</v>
      </c>
      <c r="V52" s="18" t="s">
        <v>53</v>
      </c>
    </row>
    <row r="53" spans="1:22"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c r="S53" s="17" t="s">
        <v>53</v>
      </c>
      <c r="T53" s="18" t="s">
        <v>53</v>
      </c>
      <c r="U53" s="17" t="s">
        <v>53</v>
      </c>
      <c r="V53" s="18" t="s">
        <v>53</v>
      </c>
    </row>
    <row r="54" spans="1:22"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c r="S54" s="17" t="s">
        <v>53</v>
      </c>
      <c r="T54" s="18" t="s">
        <v>53</v>
      </c>
      <c r="U54" s="17" t="s">
        <v>53</v>
      </c>
      <c r="V54" s="18" t="s">
        <v>53</v>
      </c>
    </row>
    <row r="55" spans="1:22"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c r="S55" s="17" t="s">
        <v>53</v>
      </c>
      <c r="T55" s="18" t="s">
        <v>53</v>
      </c>
      <c r="U55" s="17" t="s">
        <v>53</v>
      </c>
      <c r="V55" s="18" t="s">
        <v>53</v>
      </c>
    </row>
    <row r="56" spans="1:22"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c r="S56" s="17" t="s">
        <v>53</v>
      </c>
      <c r="T56" s="18" t="s">
        <v>53</v>
      </c>
      <c r="U56" s="17" t="s">
        <v>53</v>
      </c>
      <c r="V56" s="18" t="s">
        <v>53</v>
      </c>
    </row>
    <row r="57" spans="1:22"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c r="S57" s="17" t="s">
        <v>53</v>
      </c>
      <c r="T57" s="18" t="s">
        <v>53</v>
      </c>
      <c r="U57" s="17" t="s">
        <v>53</v>
      </c>
      <c r="V57" s="18" t="s">
        <v>53</v>
      </c>
    </row>
    <row r="58" spans="1:22"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c r="S58" s="17" t="s">
        <v>53</v>
      </c>
      <c r="T58" s="18" t="s">
        <v>53</v>
      </c>
      <c r="U58" s="17" t="s">
        <v>53</v>
      </c>
      <c r="V58" s="18" t="s">
        <v>53</v>
      </c>
    </row>
    <row r="59" spans="1:22"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c r="S59" s="17" t="s">
        <v>53</v>
      </c>
      <c r="T59" s="18" t="s">
        <v>53</v>
      </c>
      <c r="U59" s="17" t="s">
        <v>53</v>
      </c>
      <c r="V59" s="18" t="s">
        <v>53</v>
      </c>
    </row>
    <row r="60" spans="1:22"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c r="S60" s="17" t="s">
        <v>53</v>
      </c>
      <c r="T60" s="18" t="s">
        <v>53</v>
      </c>
      <c r="U60" s="17" t="s">
        <v>53</v>
      </c>
      <c r="V60" s="18" t="s">
        <v>53</v>
      </c>
    </row>
    <row r="61" spans="1:22" x14ac:dyDescent="0.25">
      <c r="A61" s="11" t="s">
        <v>104</v>
      </c>
      <c r="B61" s="13">
        <v>6525</v>
      </c>
      <c r="C61" s="14">
        <f>(150/B61*100)</f>
        <v>2.2988505747126435</v>
      </c>
      <c r="D61" s="15">
        <v>6375</v>
      </c>
      <c r="E61" s="14">
        <v>6.5922233800000001</v>
      </c>
      <c r="F61" s="16">
        <v>0.29556716999999999</v>
      </c>
      <c r="G61" s="14">
        <v>8.5432335199999994</v>
      </c>
      <c r="H61" s="16">
        <v>0.33587956000000002</v>
      </c>
      <c r="I61" s="14">
        <v>6.4515532000000002</v>
      </c>
      <c r="J61" s="16">
        <v>0.37169965999999999</v>
      </c>
      <c r="K61" s="14">
        <v>3.3177403700000001</v>
      </c>
      <c r="L61" s="16">
        <v>0.23610953000000001</v>
      </c>
      <c r="M61" s="14">
        <v>0</v>
      </c>
      <c r="N61" s="16">
        <v>0</v>
      </c>
      <c r="O61" s="14" t="s">
        <v>51</v>
      </c>
      <c r="P61" s="16" t="s">
        <v>51</v>
      </c>
      <c r="Q61" s="14">
        <v>75.095249530000004</v>
      </c>
      <c r="R61" s="16">
        <v>0.39828625000000001</v>
      </c>
      <c r="S61" s="14">
        <v>0</v>
      </c>
      <c r="T61" s="16">
        <v>0</v>
      </c>
      <c r="U61" s="14">
        <v>0</v>
      </c>
      <c r="V61" s="16">
        <v>0</v>
      </c>
    </row>
    <row r="62" spans="1:22"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c r="S62" s="17" t="s">
        <v>53</v>
      </c>
      <c r="T62" s="18" t="s">
        <v>53</v>
      </c>
      <c r="U62" s="17" t="s">
        <v>53</v>
      </c>
      <c r="V62" s="18" t="s">
        <v>53</v>
      </c>
    </row>
    <row r="63" spans="1:22"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c r="S63" s="17" t="s">
        <v>53</v>
      </c>
      <c r="T63" s="18" t="s">
        <v>53</v>
      </c>
      <c r="U63" s="17" t="s">
        <v>53</v>
      </c>
      <c r="V63" s="18" t="s">
        <v>53</v>
      </c>
    </row>
    <row r="64" spans="1:22"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c r="S64" s="17" t="s">
        <v>53</v>
      </c>
      <c r="T64" s="18" t="s">
        <v>53</v>
      </c>
      <c r="U64" s="17" t="s">
        <v>53</v>
      </c>
      <c r="V64" s="18" t="s">
        <v>53</v>
      </c>
    </row>
    <row r="65" spans="1:22"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c r="S65" s="17" t="s">
        <v>53</v>
      </c>
      <c r="T65" s="18" t="s">
        <v>53</v>
      </c>
      <c r="U65" s="17" t="s">
        <v>53</v>
      </c>
      <c r="V65" s="18" t="s">
        <v>53</v>
      </c>
    </row>
    <row r="66" spans="1:22"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c r="S66" s="17" t="s">
        <v>53</v>
      </c>
      <c r="T66" s="18" t="s">
        <v>53</v>
      </c>
      <c r="U66" s="17" t="s">
        <v>53</v>
      </c>
      <c r="V66" s="18" t="s">
        <v>53</v>
      </c>
    </row>
    <row r="67" spans="1:22" x14ac:dyDescent="0.25">
      <c r="A67" s="11" t="s">
        <v>110</v>
      </c>
      <c r="B67" s="13">
        <v>6971</v>
      </c>
      <c r="C67" s="14">
        <f>(775/B67*100)</f>
        <v>11.117486730741643</v>
      </c>
      <c r="D67" s="15">
        <v>6196</v>
      </c>
      <c r="E67" s="14">
        <v>5.2631220299999999</v>
      </c>
      <c r="F67" s="16">
        <v>0.32402813000000003</v>
      </c>
      <c r="G67" s="14">
        <v>4.3996660600000004</v>
      </c>
      <c r="H67" s="16">
        <v>0.29286097999999999</v>
      </c>
      <c r="I67" s="14">
        <v>4.8331920999999998</v>
      </c>
      <c r="J67" s="16">
        <v>0.31595665000000001</v>
      </c>
      <c r="K67" s="14">
        <v>2.15207288</v>
      </c>
      <c r="L67" s="16">
        <v>0.16059100000000001</v>
      </c>
      <c r="M67" s="14">
        <v>0</v>
      </c>
      <c r="N67" s="16">
        <v>0</v>
      </c>
      <c r="O67" s="14" t="s">
        <v>51</v>
      </c>
      <c r="P67" s="16" t="s">
        <v>51</v>
      </c>
      <c r="Q67" s="14">
        <v>83.351946940000005</v>
      </c>
      <c r="R67" s="16">
        <v>0.54571628000000005</v>
      </c>
      <c r="S67" s="14">
        <v>0</v>
      </c>
      <c r="T67" s="16">
        <v>0</v>
      </c>
      <c r="U67" s="14">
        <v>0</v>
      </c>
      <c r="V67" s="16">
        <v>0</v>
      </c>
    </row>
    <row r="68" spans="1:22"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c r="S68" s="17" t="s">
        <v>53</v>
      </c>
      <c r="T68" s="18" t="s">
        <v>53</v>
      </c>
      <c r="U68" s="17" t="s">
        <v>53</v>
      </c>
      <c r="V68" s="18" t="s">
        <v>53</v>
      </c>
    </row>
    <row r="69" spans="1:22"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c r="S69" s="17" t="s">
        <v>53</v>
      </c>
      <c r="T69" s="18" t="s">
        <v>53</v>
      </c>
      <c r="U69" s="17" t="s">
        <v>53</v>
      </c>
      <c r="V69" s="18" t="s">
        <v>53</v>
      </c>
    </row>
    <row r="70" spans="1:22" x14ac:dyDescent="0.25">
      <c r="A70" s="11" t="s">
        <v>113</v>
      </c>
      <c r="B70" s="13">
        <v>6036</v>
      </c>
      <c r="C70" s="14">
        <f>(416/B70*100)</f>
        <v>6.8919814446653422</v>
      </c>
      <c r="D70" s="15">
        <v>5620</v>
      </c>
      <c r="E70" s="14">
        <v>7.5473762000000004</v>
      </c>
      <c r="F70" s="16">
        <v>0.44136987</v>
      </c>
      <c r="G70" s="14">
        <v>5.7412435400000001</v>
      </c>
      <c r="H70" s="16">
        <v>0.33887941999999999</v>
      </c>
      <c r="I70" s="14">
        <v>4.6938621600000001</v>
      </c>
      <c r="J70" s="16">
        <v>0.28496653</v>
      </c>
      <c r="K70" s="14">
        <v>2.1569052700000002</v>
      </c>
      <c r="L70" s="16">
        <v>0.20133407</v>
      </c>
      <c r="M70" s="14">
        <v>0</v>
      </c>
      <c r="N70" s="16">
        <v>0</v>
      </c>
      <c r="O70" s="14" t="s">
        <v>51</v>
      </c>
      <c r="P70" s="16" t="s">
        <v>51</v>
      </c>
      <c r="Q70" s="14">
        <v>79.86061282</v>
      </c>
      <c r="R70" s="16">
        <v>0.55244150000000003</v>
      </c>
      <c r="S70" s="14">
        <v>0</v>
      </c>
      <c r="T70" s="16">
        <v>0</v>
      </c>
      <c r="U70" s="14">
        <v>0</v>
      </c>
      <c r="V70" s="16">
        <v>0</v>
      </c>
    </row>
    <row r="71" spans="1:22"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c r="S71" s="17" t="s">
        <v>53</v>
      </c>
      <c r="T71" s="18" t="s">
        <v>53</v>
      </c>
      <c r="U71" s="17" t="s">
        <v>53</v>
      </c>
      <c r="V71" s="18" t="s">
        <v>53</v>
      </c>
    </row>
    <row r="72" spans="1:22"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c r="S72" s="17" t="s">
        <v>53</v>
      </c>
      <c r="T72" s="18" t="s">
        <v>53</v>
      </c>
      <c r="U72" s="17" t="s">
        <v>53</v>
      </c>
      <c r="V72" s="18" t="s">
        <v>53</v>
      </c>
    </row>
    <row r="73" spans="1:22"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c r="S73" s="17" t="s">
        <v>53</v>
      </c>
      <c r="T73" s="18" t="s">
        <v>53</v>
      </c>
      <c r="U73" s="17" t="s">
        <v>53</v>
      </c>
      <c r="V73" s="18" t="s">
        <v>53</v>
      </c>
    </row>
    <row r="74" spans="1:22"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c r="S74" s="17" t="s">
        <v>53</v>
      </c>
      <c r="T74" s="18" t="s">
        <v>53</v>
      </c>
      <c r="U74" s="17" t="s">
        <v>53</v>
      </c>
      <c r="V74" s="18" t="s">
        <v>53</v>
      </c>
    </row>
    <row r="75" spans="1:22"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c r="S75" s="17" t="s">
        <v>53</v>
      </c>
      <c r="T75" s="18" t="s">
        <v>53</v>
      </c>
      <c r="U75" s="17" t="s">
        <v>53</v>
      </c>
      <c r="V75" s="18" t="s">
        <v>53</v>
      </c>
    </row>
    <row r="76" spans="1:22"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c r="S76" s="17" t="s">
        <v>53</v>
      </c>
      <c r="T76" s="18" t="s">
        <v>53</v>
      </c>
      <c r="U76" s="17" t="s">
        <v>53</v>
      </c>
      <c r="V76" s="18" t="s">
        <v>53</v>
      </c>
    </row>
    <row r="77" spans="1:22"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c r="S77" s="17" t="s">
        <v>53</v>
      </c>
      <c r="T77" s="18" t="s">
        <v>53</v>
      </c>
      <c r="U77" s="17" t="s">
        <v>53</v>
      </c>
      <c r="V77" s="18" t="s">
        <v>53</v>
      </c>
    </row>
    <row r="78" spans="1:22"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c r="S78" s="17" t="s">
        <v>53</v>
      </c>
      <c r="T78" s="18" t="s">
        <v>53</v>
      </c>
      <c r="U78" s="17" t="s">
        <v>53</v>
      </c>
      <c r="V78" s="18" t="s">
        <v>53</v>
      </c>
    </row>
    <row r="79" spans="1:22"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c r="S79" s="17" t="s">
        <v>53</v>
      </c>
      <c r="T79" s="18" t="s">
        <v>53</v>
      </c>
      <c r="U79" s="17" t="s">
        <v>53</v>
      </c>
      <c r="V79" s="18" t="s">
        <v>53</v>
      </c>
    </row>
    <row r="80" spans="1:22"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c r="S80" s="17" t="s">
        <v>53</v>
      </c>
      <c r="T80" s="18" t="s">
        <v>53</v>
      </c>
      <c r="U80" s="17" t="s">
        <v>53</v>
      </c>
      <c r="V80" s="18" t="s">
        <v>53</v>
      </c>
    </row>
    <row r="81" spans="1:22"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c r="S81" s="17" t="s">
        <v>53</v>
      </c>
      <c r="T81" s="18" t="s">
        <v>53</v>
      </c>
      <c r="U81" s="17" t="s">
        <v>53</v>
      </c>
      <c r="V81" s="18" t="s">
        <v>53</v>
      </c>
    </row>
    <row r="82" spans="1:22"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c r="S82" s="20" t="s">
        <v>125</v>
      </c>
      <c r="T82" s="20" t="s">
        <v>125</v>
      </c>
      <c r="U82" s="20" t="s">
        <v>125</v>
      </c>
      <c r="V82" s="20" t="s">
        <v>125</v>
      </c>
    </row>
    <row r="83" spans="1:22" x14ac:dyDescent="0.25">
      <c r="A83" s="3" t="s">
        <v>126</v>
      </c>
    </row>
    <row r="84" spans="1:22" x14ac:dyDescent="0.25">
      <c r="A84" s="26" t="s">
        <v>127</v>
      </c>
      <c r="B84" s="24"/>
      <c r="C84" s="24"/>
      <c r="D84" s="24"/>
      <c r="E84" s="24"/>
      <c r="F84" s="24"/>
      <c r="G84" s="24"/>
      <c r="H84" s="24"/>
      <c r="I84" s="24"/>
      <c r="J84" s="24"/>
      <c r="K84" s="24"/>
      <c r="L84" s="24"/>
      <c r="M84" s="24"/>
      <c r="N84" s="24"/>
      <c r="O84" s="24"/>
      <c r="P84" s="24"/>
      <c r="Q84" s="24"/>
      <c r="R84" s="24"/>
      <c r="S84" s="24"/>
      <c r="T84" s="24"/>
      <c r="U84" s="24"/>
      <c r="V84" s="24"/>
    </row>
    <row r="85" spans="1:22" x14ac:dyDescent="0.25">
      <c r="A85" s="26" t="s">
        <v>128</v>
      </c>
      <c r="B85" s="24"/>
      <c r="C85" s="24"/>
      <c r="D85" s="24"/>
      <c r="E85" s="24"/>
      <c r="F85" s="24"/>
      <c r="G85" s="24"/>
      <c r="H85" s="24"/>
      <c r="I85" s="24"/>
      <c r="J85" s="24"/>
      <c r="K85" s="24"/>
      <c r="L85" s="24"/>
      <c r="M85" s="24"/>
      <c r="N85" s="24"/>
      <c r="O85" s="24"/>
      <c r="P85" s="24"/>
      <c r="Q85" s="24"/>
      <c r="R85" s="24"/>
      <c r="S85" s="24"/>
      <c r="T85" s="24"/>
      <c r="U85" s="24"/>
      <c r="V85" s="24"/>
    </row>
    <row r="86" spans="1:22" ht="30" customHeight="1" x14ac:dyDescent="0.25">
      <c r="A86" s="26" t="s">
        <v>129</v>
      </c>
      <c r="B86" s="24"/>
      <c r="C86" s="24"/>
      <c r="D86" s="24"/>
      <c r="E86" s="24"/>
      <c r="F86" s="24"/>
      <c r="G86" s="24"/>
      <c r="H86" s="24"/>
      <c r="I86" s="24"/>
      <c r="J86" s="24"/>
      <c r="K86" s="24"/>
      <c r="L86" s="24"/>
      <c r="M86" s="24"/>
      <c r="N86" s="24"/>
      <c r="O86" s="24"/>
      <c r="P86" s="24"/>
      <c r="Q86" s="24"/>
      <c r="R86" s="24"/>
      <c r="S86" s="24"/>
      <c r="T86" s="24"/>
      <c r="U86" s="24"/>
      <c r="V86" s="24"/>
    </row>
    <row r="87" spans="1:22" ht="30" customHeight="1" x14ac:dyDescent="0.25">
      <c r="A87" s="26" t="s">
        <v>125</v>
      </c>
      <c r="B87" s="24"/>
      <c r="C87" s="24"/>
      <c r="D87" s="24"/>
      <c r="E87" s="24"/>
      <c r="F87" s="24"/>
      <c r="G87" s="24"/>
      <c r="H87" s="24"/>
      <c r="I87" s="24"/>
      <c r="J87" s="24"/>
      <c r="K87" s="24"/>
      <c r="L87" s="24"/>
      <c r="M87" s="24"/>
      <c r="N87" s="24"/>
      <c r="O87" s="24"/>
      <c r="P87" s="24"/>
      <c r="Q87" s="24"/>
      <c r="R87" s="24"/>
      <c r="S87" s="24"/>
      <c r="T87" s="24"/>
      <c r="U87" s="24"/>
      <c r="V87" s="24"/>
    </row>
    <row r="88" spans="1:22" ht="30" customHeight="1" x14ac:dyDescent="0.25">
      <c r="A88" s="26" t="s">
        <v>130</v>
      </c>
      <c r="B88" s="24"/>
      <c r="C88" s="24"/>
      <c r="D88" s="24"/>
      <c r="E88" s="24"/>
      <c r="F88" s="24"/>
      <c r="G88" s="24"/>
      <c r="H88" s="24"/>
      <c r="I88" s="24"/>
      <c r="J88" s="24"/>
      <c r="K88" s="24"/>
      <c r="L88" s="24"/>
      <c r="M88" s="24"/>
      <c r="N88" s="24"/>
      <c r="O88" s="24"/>
      <c r="P88" s="24"/>
      <c r="Q88" s="24"/>
      <c r="R88" s="24"/>
      <c r="S88" s="24"/>
      <c r="T88" s="24"/>
      <c r="U88" s="24"/>
      <c r="V88" s="24"/>
    </row>
    <row r="89" spans="1:22" ht="30" customHeight="1" x14ac:dyDescent="0.25">
      <c r="A89" s="26" t="s">
        <v>131</v>
      </c>
      <c r="B89" s="24"/>
      <c r="C89" s="24"/>
      <c r="D89" s="24"/>
      <c r="E89" s="24"/>
      <c r="F89" s="24"/>
      <c r="G89" s="24"/>
      <c r="H89" s="24"/>
      <c r="I89" s="24"/>
      <c r="J89" s="24"/>
      <c r="K89" s="24"/>
      <c r="L89" s="24"/>
      <c r="M89" s="24"/>
      <c r="N89" s="24"/>
      <c r="O89" s="24"/>
      <c r="P89" s="24"/>
      <c r="Q89" s="24"/>
      <c r="R89" s="24"/>
      <c r="S89" s="24"/>
      <c r="T89" s="24"/>
      <c r="U89" s="24"/>
      <c r="V89" s="24"/>
    </row>
    <row r="90" spans="1:22" ht="30" customHeight="1" x14ac:dyDescent="0.25">
      <c r="A90" s="26" t="s">
        <v>132</v>
      </c>
      <c r="B90" s="24"/>
      <c r="C90" s="24"/>
      <c r="D90" s="24"/>
      <c r="E90" s="24"/>
      <c r="F90" s="24"/>
      <c r="G90" s="24"/>
      <c r="H90" s="24"/>
      <c r="I90" s="24"/>
      <c r="J90" s="24"/>
      <c r="K90" s="24"/>
      <c r="L90" s="24"/>
      <c r="M90" s="24"/>
      <c r="N90" s="24"/>
      <c r="O90" s="24"/>
      <c r="P90" s="24"/>
      <c r="Q90" s="24"/>
      <c r="R90" s="24"/>
      <c r="S90" s="24"/>
      <c r="T90" s="24"/>
      <c r="U90" s="24"/>
      <c r="V90" s="24"/>
    </row>
    <row r="91" spans="1:22" ht="30" customHeight="1" x14ac:dyDescent="0.25">
      <c r="A91" s="26" t="s">
        <v>133</v>
      </c>
      <c r="B91" s="24"/>
      <c r="C91" s="24"/>
      <c r="D91" s="24"/>
      <c r="E91" s="24"/>
      <c r="F91" s="24"/>
      <c r="G91" s="24"/>
      <c r="H91" s="24"/>
      <c r="I91" s="24"/>
      <c r="J91" s="24"/>
      <c r="K91" s="24"/>
      <c r="L91" s="24"/>
      <c r="M91" s="24"/>
      <c r="N91" s="24"/>
      <c r="O91" s="24"/>
      <c r="P91" s="24"/>
      <c r="Q91" s="24"/>
      <c r="R91" s="24"/>
      <c r="S91" s="24"/>
      <c r="T91" s="24"/>
      <c r="U91" s="24"/>
      <c r="V91" s="24"/>
    </row>
    <row r="92" spans="1:22" ht="30" customHeight="1" x14ac:dyDescent="0.25">
      <c r="A92" s="26" t="s">
        <v>134</v>
      </c>
      <c r="B92" s="24"/>
      <c r="C92" s="24"/>
      <c r="D92" s="24"/>
      <c r="E92" s="24"/>
      <c r="F92" s="24"/>
      <c r="G92" s="24"/>
      <c r="H92" s="24"/>
      <c r="I92" s="24"/>
      <c r="J92" s="24"/>
      <c r="K92" s="24"/>
      <c r="L92" s="24"/>
      <c r="M92" s="24"/>
      <c r="N92" s="24"/>
      <c r="O92" s="24"/>
      <c r="P92" s="24"/>
      <c r="Q92" s="24"/>
      <c r="R92" s="24"/>
      <c r="S92" s="24"/>
      <c r="T92" s="24"/>
      <c r="U92" s="24"/>
      <c r="V92" s="24"/>
    </row>
    <row r="93" spans="1:22" ht="30" customHeight="1" x14ac:dyDescent="0.25">
      <c r="A93" s="26" t="s">
        <v>135</v>
      </c>
      <c r="B93" s="24"/>
      <c r="C93" s="24"/>
      <c r="D93" s="24"/>
      <c r="E93" s="24"/>
      <c r="F93" s="24"/>
      <c r="G93" s="24"/>
      <c r="H93" s="24"/>
      <c r="I93" s="24"/>
      <c r="J93" s="24"/>
      <c r="K93" s="24"/>
      <c r="L93" s="24"/>
      <c r="M93" s="24"/>
      <c r="N93" s="24"/>
      <c r="O93" s="24"/>
      <c r="P93" s="24"/>
      <c r="Q93" s="24"/>
      <c r="R93" s="24"/>
      <c r="S93" s="24"/>
      <c r="T93" s="24"/>
      <c r="U93" s="24"/>
      <c r="V93" s="24"/>
    </row>
    <row r="94" spans="1:22" ht="30" customHeight="1" x14ac:dyDescent="0.25">
      <c r="A94" s="26" t="s">
        <v>136</v>
      </c>
      <c r="B94" s="24"/>
      <c r="C94" s="24"/>
      <c r="D94" s="24"/>
      <c r="E94" s="24"/>
      <c r="F94" s="24"/>
      <c r="G94" s="24"/>
      <c r="H94" s="24"/>
      <c r="I94" s="24"/>
      <c r="J94" s="24"/>
      <c r="K94" s="24"/>
      <c r="L94" s="24"/>
      <c r="M94" s="24"/>
      <c r="N94" s="24"/>
      <c r="O94" s="24"/>
      <c r="P94" s="24"/>
      <c r="Q94" s="24"/>
      <c r="R94" s="24"/>
      <c r="S94" s="24"/>
      <c r="T94" s="24"/>
      <c r="U94" s="24"/>
      <c r="V94" s="24"/>
    </row>
    <row r="95" spans="1:22" ht="30" customHeight="1" x14ac:dyDescent="0.25">
      <c r="A95" s="26" t="s">
        <v>137</v>
      </c>
      <c r="B95" s="24"/>
      <c r="C95" s="24"/>
      <c r="D95" s="24"/>
      <c r="E95" s="24"/>
      <c r="F95" s="24"/>
      <c r="G95" s="24"/>
      <c r="H95" s="24"/>
      <c r="I95" s="24"/>
      <c r="J95" s="24"/>
      <c r="K95" s="24"/>
      <c r="L95" s="24"/>
      <c r="M95" s="24"/>
      <c r="N95" s="24"/>
      <c r="O95" s="24"/>
      <c r="P95" s="24"/>
      <c r="Q95" s="24"/>
      <c r="R95" s="24"/>
      <c r="S95" s="24"/>
      <c r="T95" s="24"/>
      <c r="U95" s="24"/>
      <c r="V95" s="24"/>
    </row>
    <row r="96" spans="1:22" ht="30" customHeight="1" x14ac:dyDescent="0.25">
      <c r="A96" s="26" t="s">
        <v>138</v>
      </c>
      <c r="B96" s="24"/>
      <c r="C96" s="24"/>
      <c r="D96" s="24"/>
      <c r="E96" s="24"/>
      <c r="F96" s="24"/>
      <c r="G96" s="24"/>
      <c r="H96" s="24"/>
      <c r="I96" s="24"/>
      <c r="J96" s="24"/>
      <c r="K96" s="24"/>
      <c r="L96" s="24"/>
      <c r="M96" s="24"/>
      <c r="N96" s="24"/>
      <c r="O96" s="24"/>
      <c r="P96" s="24"/>
      <c r="Q96" s="24"/>
      <c r="R96" s="24"/>
      <c r="S96" s="24"/>
      <c r="T96" s="24"/>
      <c r="U96" s="24"/>
      <c r="V96" s="24"/>
    </row>
    <row r="97" spans="1:1" ht="30" customHeight="1" x14ac:dyDescent="0.25">
      <c r="A97" s="27" t="s">
        <v>171</v>
      </c>
    </row>
  </sheetData>
  <mergeCells count="24">
    <mergeCell ref="A94:V94"/>
    <mergeCell ref="A95:V95"/>
    <mergeCell ref="A96:V96"/>
    <mergeCell ref="A89:V89"/>
    <mergeCell ref="A90:V90"/>
    <mergeCell ref="A91:V91"/>
    <mergeCell ref="A92:V92"/>
    <mergeCell ref="A93:V93"/>
    <mergeCell ref="A84:V84"/>
    <mergeCell ref="A85:V85"/>
    <mergeCell ref="A86:V86"/>
    <mergeCell ref="A87:V87"/>
    <mergeCell ref="A88:V88"/>
    <mergeCell ref="O4:P4"/>
    <mergeCell ref="Q4:R4"/>
    <mergeCell ref="S4:T4"/>
    <mergeCell ref="U4:V4"/>
    <mergeCell ref="A1:V1"/>
    <mergeCell ref="A2:V2"/>
    <mergeCell ref="E4:F4"/>
    <mergeCell ref="G4:H4"/>
    <mergeCell ref="I4:J4"/>
    <mergeCell ref="K4:L4"/>
    <mergeCell ref="M4:N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
  <sheetViews>
    <sheetView tabSelected="1"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24" x14ac:dyDescent="0.25">
      <c r="A1" s="23" t="s">
        <v>33</v>
      </c>
      <c r="B1" s="24"/>
      <c r="C1" s="24"/>
      <c r="D1" s="24"/>
      <c r="E1" s="24"/>
      <c r="F1" s="24"/>
      <c r="G1" s="24"/>
      <c r="H1" s="24"/>
      <c r="I1" s="24"/>
      <c r="J1" s="24"/>
      <c r="K1" s="24"/>
      <c r="L1" s="24"/>
      <c r="M1" s="24"/>
      <c r="N1" s="24"/>
      <c r="O1" s="24"/>
      <c r="P1" s="24"/>
      <c r="Q1" s="24"/>
      <c r="R1" s="24"/>
      <c r="S1" s="24"/>
      <c r="T1" s="24"/>
      <c r="U1" s="24"/>
      <c r="V1" s="24"/>
      <c r="W1" s="24"/>
      <c r="X1" s="24"/>
    </row>
    <row r="2" spans="1:24" x14ac:dyDescent="0.25">
      <c r="A2" s="25" t="s">
        <v>147</v>
      </c>
      <c r="B2" s="24"/>
      <c r="C2" s="24"/>
      <c r="D2" s="24"/>
      <c r="E2" s="24"/>
      <c r="F2" s="24"/>
      <c r="G2" s="24"/>
      <c r="H2" s="24"/>
      <c r="I2" s="24"/>
      <c r="J2" s="24"/>
      <c r="K2" s="24"/>
      <c r="L2" s="24"/>
      <c r="M2" s="24"/>
      <c r="N2" s="24"/>
      <c r="O2" s="24"/>
      <c r="P2" s="24"/>
      <c r="Q2" s="24"/>
      <c r="R2" s="24"/>
      <c r="S2" s="24"/>
      <c r="T2" s="24"/>
      <c r="U2" s="24"/>
      <c r="V2" s="24"/>
      <c r="W2" s="24"/>
      <c r="X2" s="24"/>
    </row>
    <row r="4" spans="1:24" ht="30" customHeight="1" x14ac:dyDescent="0.25">
      <c r="A4" s="4"/>
      <c r="B4" s="5" t="s">
        <v>35</v>
      </c>
      <c r="C4" s="5" t="s">
        <v>36</v>
      </c>
      <c r="D4" s="6" t="s">
        <v>35</v>
      </c>
      <c r="E4" s="21" t="s">
        <v>148</v>
      </c>
      <c r="F4" s="22"/>
      <c r="G4" s="21" t="s">
        <v>149</v>
      </c>
      <c r="H4" s="22"/>
      <c r="I4" s="21" t="s">
        <v>150</v>
      </c>
      <c r="J4" s="22"/>
      <c r="K4" s="21" t="s">
        <v>151</v>
      </c>
      <c r="L4" s="22"/>
      <c r="M4" s="21" t="s">
        <v>152</v>
      </c>
      <c r="N4" s="22"/>
      <c r="O4" s="21" t="s">
        <v>39</v>
      </c>
      <c r="P4" s="22"/>
      <c r="Q4" s="21" t="s">
        <v>40</v>
      </c>
      <c r="R4" s="22"/>
      <c r="S4" s="21" t="s">
        <v>41</v>
      </c>
      <c r="T4" s="22"/>
      <c r="U4" s="21" t="s">
        <v>42</v>
      </c>
      <c r="V4" s="22"/>
      <c r="W4" s="21" t="s">
        <v>43</v>
      </c>
      <c r="X4" s="22"/>
    </row>
    <row r="5" spans="1:24"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c r="S5" s="8" t="s">
        <v>47</v>
      </c>
      <c r="T5" s="7" t="s">
        <v>48</v>
      </c>
      <c r="U5" s="8" t="s">
        <v>47</v>
      </c>
      <c r="V5" s="7" t="s">
        <v>48</v>
      </c>
      <c r="W5" s="8" t="s">
        <v>47</v>
      </c>
      <c r="X5" s="7" t="s">
        <v>48</v>
      </c>
    </row>
    <row r="6" spans="1:24" x14ac:dyDescent="0.25">
      <c r="A6" s="9" t="s">
        <v>49</v>
      </c>
      <c r="B6" s="10"/>
      <c r="C6" s="10"/>
      <c r="D6" s="11"/>
      <c r="E6" s="10"/>
      <c r="F6" s="11"/>
      <c r="G6" s="10"/>
      <c r="H6" s="11"/>
      <c r="I6" s="10"/>
      <c r="J6" s="11"/>
      <c r="K6" s="10"/>
      <c r="L6" s="11"/>
      <c r="M6" s="10"/>
      <c r="N6" s="11"/>
      <c r="O6" s="10"/>
      <c r="P6" s="11"/>
      <c r="Q6" s="10"/>
      <c r="R6" s="11"/>
      <c r="S6" s="10"/>
      <c r="T6" s="11"/>
      <c r="U6" s="10"/>
      <c r="V6" s="11"/>
      <c r="W6" s="10"/>
      <c r="X6" s="12"/>
    </row>
    <row r="7" spans="1:24" x14ac:dyDescent="0.25">
      <c r="A7" s="11" t="s">
        <v>50</v>
      </c>
      <c r="B7" s="13">
        <v>14530</v>
      </c>
      <c r="C7" s="14">
        <f>(3446/B7*100)</f>
        <v>23.716448726772196</v>
      </c>
      <c r="D7" s="15">
        <v>11084</v>
      </c>
      <c r="E7" s="14">
        <v>4.14768062</v>
      </c>
      <c r="F7" s="16">
        <v>0.21754481000000001</v>
      </c>
      <c r="G7" s="14">
        <v>15.043320720000001</v>
      </c>
      <c r="H7" s="16">
        <v>0.45092303</v>
      </c>
      <c r="I7" s="14">
        <v>2.12460659</v>
      </c>
      <c r="J7" s="16">
        <v>0.17855539000000001</v>
      </c>
      <c r="K7" s="14">
        <v>66.500450860000001</v>
      </c>
      <c r="L7" s="16">
        <v>0.55993243000000004</v>
      </c>
      <c r="M7" s="14">
        <v>12.1839412</v>
      </c>
      <c r="N7" s="16">
        <v>0.36232946999999999</v>
      </c>
      <c r="O7" s="14">
        <v>0</v>
      </c>
      <c r="P7" s="16">
        <v>0</v>
      </c>
      <c r="Q7" s="14" t="s">
        <v>51</v>
      </c>
      <c r="R7" s="16" t="s">
        <v>51</v>
      </c>
      <c r="S7" s="14">
        <v>0</v>
      </c>
      <c r="T7" s="16">
        <v>0</v>
      </c>
      <c r="U7" s="14">
        <v>0</v>
      </c>
      <c r="V7" s="16">
        <v>0</v>
      </c>
      <c r="W7" s="14">
        <v>0</v>
      </c>
      <c r="X7" s="16">
        <v>0</v>
      </c>
    </row>
    <row r="8" spans="1:24"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c r="S8" s="17" t="s">
        <v>53</v>
      </c>
      <c r="T8" s="18" t="s">
        <v>53</v>
      </c>
      <c r="U8" s="17" t="s">
        <v>53</v>
      </c>
      <c r="V8" s="18" t="s">
        <v>53</v>
      </c>
      <c r="W8" s="17" t="s">
        <v>53</v>
      </c>
      <c r="X8" s="18" t="s">
        <v>53</v>
      </c>
    </row>
    <row r="9" spans="1:24" x14ac:dyDescent="0.25">
      <c r="A9" s="11" t="s">
        <v>172</v>
      </c>
      <c r="B9" s="13">
        <v>5675</v>
      </c>
      <c r="C9" s="14">
        <f>(350/B9*100)</f>
        <v>6.1674008810572687</v>
      </c>
      <c r="D9" s="15">
        <v>5325</v>
      </c>
      <c r="E9" s="14">
        <v>1.1329345</v>
      </c>
      <c r="F9" s="16">
        <v>0.14487939999999999</v>
      </c>
      <c r="G9" s="14">
        <v>2.8044639899999999</v>
      </c>
      <c r="H9" s="16">
        <v>0.22072027</v>
      </c>
      <c r="I9" s="14">
        <v>0.89757472999999999</v>
      </c>
      <c r="J9" s="16">
        <v>0.11504275999999999</v>
      </c>
      <c r="K9" s="14">
        <v>11.63416007</v>
      </c>
      <c r="L9" s="16">
        <v>0.4521464</v>
      </c>
      <c r="M9" s="14">
        <v>3.4488359499999999</v>
      </c>
      <c r="N9" s="16">
        <v>0.25698954000000002</v>
      </c>
      <c r="O9" s="14">
        <v>0</v>
      </c>
      <c r="P9" s="16">
        <v>0</v>
      </c>
      <c r="Q9" s="14" t="s">
        <v>51</v>
      </c>
      <c r="R9" s="16" t="s">
        <v>51</v>
      </c>
      <c r="S9" s="14">
        <v>80.082030759999995</v>
      </c>
      <c r="T9" s="16">
        <v>0.57247252000000004</v>
      </c>
      <c r="U9" s="14">
        <v>0</v>
      </c>
      <c r="V9" s="16">
        <v>0</v>
      </c>
      <c r="W9" s="14">
        <v>0</v>
      </c>
      <c r="X9" s="16">
        <v>0</v>
      </c>
    </row>
    <row r="10" spans="1:24" x14ac:dyDescent="0.25">
      <c r="A10" s="11" t="s">
        <v>173</v>
      </c>
      <c r="B10" s="13">
        <v>13082</v>
      </c>
      <c r="C10" s="14">
        <f>(305/B10*100)</f>
        <v>2.3314477908576667</v>
      </c>
      <c r="D10" s="15">
        <v>12777</v>
      </c>
      <c r="E10" s="14">
        <v>0.94313256999999995</v>
      </c>
      <c r="F10" s="16">
        <v>0.15001568000000001</v>
      </c>
      <c r="G10" s="14">
        <v>3.39522857</v>
      </c>
      <c r="H10" s="16">
        <v>0.24116426999999999</v>
      </c>
      <c r="I10" s="14">
        <v>0.42480177000000002</v>
      </c>
      <c r="J10" s="16">
        <v>7.3946049999999999E-2</v>
      </c>
      <c r="K10" s="14">
        <v>15.54367753</v>
      </c>
      <c r="L10" s="16">
        <v>0.41486835</v>
      </c>
      <c r="M10" s="14">
        <v>4.2982779400000002</v>
      </c>
      <c r="N10" s="16">
        <v>0.2451903</v>
      </c>
      <c r="O10" s="14">
        <v>0</v>
      </c>
      <c r="P10" s="16">
        <v>0</v>
      </c>
      <c r="Q10" s="14" t="s">
        <v>51</v>
      </c>
      <c r="R10" s="16" t="s">
        <v>51</v>
      </c>
      <c r="S10" s="14">
        <v>75.39488163</v>
      </c>
      <c r="T10" s="16">
        <v>0.34612977</v>
      </c>
      <c r="U10" s="14">
        <v>0</v>
      </c>
      <c r="V10" s="16">
        <v>0</v>
      </c>
      <c r="W10" s="14">
        <v>0</v>
      </c>
      <c r="X10" s="16">
        <v>0</v>
      </c>
    </row>
    <row r="11" spans="1:24" x14ac:dyDescent="0.25">
      <c r="A11" s="11" t="s">
        <v>54</v>
      </c>
      <c r="B11" s="13">
        <v>7053</v>
      </c>
      <c r="C11" s="14">
        <f>(280/B11*100)</f>
        <v>3.969941868708351</v>
      </c>
      <c r="D11" s="15">
        <v>6773</v>
      </c>
      <c r="E11" s="14">
        <v>0.72772996000000001</v>
      </c>
      <c r="F11" s="16">
        <v>0.11900276</v>
      </c>
      <c r="G11" s="14">
        <v>2.95901536</v>
      </c>
      <c r="H11" s="16">
        <v>0.21448818</v>
      </c>
      <c r="I11" s="14">
        <v>0.49790533999999997</v>
      </c>
      <c r="J11" s="16">
        <v>0.10198918</v>
      </c>
      <c r="K11" s="14">
        <v>15.80873894</v>
      </c>
      <c r="L11" s="16">
        <v>0.33790262999999998</v>
      </c>
      <c r="M11" s="14">
        <v>2.3738169899999999</v>
      </c>
      <c r="N11" s="16">
        <v>0.17691454000000001</v>
      </c>
      <c r="O11" s="14">
        <v>0</v>
      </c>
      <c r="P11" s="16">
        <v>0</v>
      </c>
      <c r="Q11" s="14" t="s">
        <v>51</v>
      </c>
      <c r="R11" s="16" t="s">
        <v>51</v>
      </c>
      <c r="S11" s="14">
        <v>77.632793399999997</v>
      </c>
      <c r="T11" s="16">
        <v>0.38964019</v>
      </c>
      <c r="U11" s="14">
        <v>0</v>
      </c>
      <c r="V11" s="16">
        <v>0</v>
      </c>
      <c r="W11" s="14">
        <v>0</v>
      </c>
      <c r="X11" s="16">
        <v>0</v>
      </c>
    </row>
    <row r="12" spans="1:24"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c r="S12" s="17" t="s">
        <v>53</v>
      </c>
      <c r="T12" s="18" t="s">
        <v>53</v>
      </c>
      <c r="U12" s="17" t="s">
        <v>53</v>
      </c>
      <c r="V12" s="18" t="s">
        <v>53</v>
      </c>
      <c r="W12" s="17" t="s">
        <v>53</v>
      </c>
      <c r="X12" s="18" t="s">
        <v>53</v>
      </c>
    </row>
    <row r="13" spans="1:24"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c r="S13" s="17" t="s">
        <v>53</v>
      </c>
      <c r="T13" s="18" t="s">
        <v>53</v>
      </c>
      <c r="U13" s="17" t="s">
        <v>53</v>
      </c>
      <c r="V13" s="18" t="s">
        <v>53</v>
      </c>
      <c r="W13" s="17" t="s">
        <v>53</v>
      </c>
      <c r="X13" s="18" t="s">
        <v>53</v>
      </c>
    </row>
    <row r="14" spans="1:24"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c r="S14" s="17" t="s">
        <v>53</v>
      </c>
      <c r="T14" s="18" t="s">
        <v>53</v>
      </c>
      <c r="U14" s="17" t="s">
        <v>53</v>
      </c>
      <c r="V14" s="18" t="s">
        <v>53</v>
      </c>
      <c r="W14" s="17" t="s">
        <v>53</v>
      </c>
      <c r="X14" s="18" t="s">
        <v>53</v>
      </c>
    </row>
    <row r="15" spans="1:24"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c r="S15" s="17" t="s">
        <v>53</v>
      </c>
      <c r="T15" s="18" t="s">
        <v>53</v>
      </c>
      <c r="U15" s="17" t="s">
        <v>53</v>
      </c>
      <c r="V15" s="18" t="s">
        <v>53</v>
      </c>
      <c r="W15" s="17" t="s">
        <v>53</v>
      </c>
      <c r="X15" s="18" t="s">
        <v>53</v>
      </c>
    </row>
    <row r="16" spans="1:24"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c r="S16" s="17" t="s">
        <v>53</v>
      </c>
      <c r="T16" s="18" t="s">
        <v>53</v>
      </c>
      <c r="U16" s="17" t="s">
        <v>53</v>
      </c>
      <c r="V16" s="18" t="s">
        <v>53</v>
      </c>
      <c r="W16" s="17" t="s">
        <v>53</v>
      </c>
      <c r="X16" s="18" t="s">
        <v>53</v>
      </c>
    </row>
    <row r="17" spans="1:24"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c r="S17" s="17" t="s">
        <v>53</v>
      </c>
      <c r="T17" s="18" t="s">
        <v>53</v>
      </c>
      <c r="U17" s="17" t="s">
        <v>53</v>
      </c>
      <c r="V17" s="18" t="s">
        <v>53</v>
      </c>
      <c r="W17" s="17" t="s">
        <v>53</v>
      </c>
      <c r="X17" s="18" t="s">
        <v>53</v>
      </c>
    </row>
    <row r="18" spans="1:24"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c r="S18" s="17" t="s">
        <v>53</v>
      </c>
      <c r="T18" s="18" t="s">
        <v>53</v>
      </c>
      <c r="U18" s="17" t="s">
        <v>53</v>
      </c>
      <c r="V18" s="18" t="s">
        <v>53</v>
      </c>
      <c r="W18" s="17" t="s">
        <v>53</v>
      </c>
      <c r="X18" s="18" t="s">
        <v>53</v>
      </c>
    </row>
    <row r="19" spans="1:24"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c r="S19" s="17" t="s">
        <v>53</v>
      </c>
      <c r="T19" s="18" t="s">
        <v>53</v>
      </c>
      <c r="U19" s="17" t="s">
        <v>53</v>
      </c>
      <c r="V19" s="18" t="s">
        <v>53</v>
      </c>
      <c r="W19" s="17" t="s">
        <v>53</v>
      </c>
      <c r="X19" s="18" t="s">
        <v>53</v>
      </c>
    </row>
    <row r="20" spans="1:24"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c r="S20" s="17" t="s">
        <v>53</v>
      </c>
      <c r="T20" s="18" t="s">
        <v>53</v>
      </c>
      <c r="U20" s="17" t="s">
        <v>53</v>
      </c>
      <c r="V20" s="18" t="s">
        <v>53</v>
      </c>
      <c r="W20" s="17" t="s">
        <v>53</v>
      </c>
      <c r="X20" s="18" t="s">
        <v>53</v>
      </c>
    </row>
    <row r="21" spans="1:24"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c r="S21" s="17" t="s">
        <v>53</v>
      </c>
      <c r="T21" s="18" t="s">
        <v>53</v>
      </c>
      <c r="U21" s="17" t="s">
        <v>53</v>
      </c>
      <c r="V21" s="18" t="s">
        <v>53</v>
      </c>
      <c r="W21" s="17" t="s">
        <v>53</v>
      </c>
      <c r="X21" s="18" t="s">
        <v>53</v>
      </c>
    </row>
    <row r="22" spans="1:24"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c r="S22" s="17" t="s">
        <v>53</v>
      </c>
      <c r="T22" s="18" t="s">
        <v>53</v>
      </c>
      <c r="U22" s="17" t="s">
        <v>53</v>
      </c>
      <c r="V22" s="18" t="s">
        <v>53</v>
      </c>
      <c r="W22" s="17" t="s">
        <v>53</v>
      </c>
      <c r="X22" s="18" t="s">
        <v>53</v>
      </c>
    </row>
    <row r="23" spans="1:24" x14ac:dyDescent="0.25">
      <c r="A23" s="11" t="s">
        <v>66</v>
      </c>
      <c r="B23" s="13">
        <v>11583</v>
      </c>
      <c r="C23" s="14">
        <f>(697/B23*100)</f>
        <v>6.0174393507726842</v>
      </c>
      <c r="D23" s="15">
        <v>10886</v>
      </c>
      <c r="E23" s="14">
        <v>0.88350183000000004</v>
      </c>
      <c r="F23" s="16">
        <v>0.11992368</v>
      </c>
      <c r="G23" s="14">
        <v>4.8241839500000001</v>
      </c>
      <c r="H23" s="16">
        <v>0.30859590999999997</v>
      </c>
      <c r="I23" s="14">
        <v>0.54200314000000005</v>
      </c>
      <c r="J23" s="16">
        <v>9.7335199999999997E-2</v>
      </c>
      <c r="K23" s="14">
        <v>12.714206300000001</v>
      </c>
      <c r="L23" s="16">
        <v>0.37731026000000001</v>
      </c>
      <c r="M23" s="14">
        <v>2.72757497</v>
      </c>
      <c r="N23" s="16">
        <v>0.20001371000000001</v>
      </c>
      <c r="O23" s="14">
        <v>0</v>
      </c>
      <c r="P23" s="16">
        <v>0</v>
      </c>
      <c r="Q23" s="14" t="s">
        <v>51</v>
      </c>
      <c r="R23" s="16" t="s">
        <v>51</v>
      </c>
      <c r="S23" s="14">
        <v>78.308529820000004</v>
      </c>
      <c r="T23" s="16">
        <v>0.35314611000000001</v>
      </c>
      <c r="U23" s="14">
        <v>0</v>
      </c>
      <c r="V23" s="16">
        <v>0</v>
      </c>
      <c r="W23" s="14">
        <v>0</v>
      </c>
      <c r="X23" s="16">
        <v>0</v>
      </c>
    </row>
    <row r="24" spans="1:24"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c r="S24" s="17" t="s">
        <v>53</v>
      </c>
      <c r="T24" s="18" t="s">
        <v>53</v>
      </c>
      <c r="U24" s="17" t="s">
        <v>53</v>
      </c>
      <c r="V24" s="18" t="s">
        <v>53</v>
      </c>
      <c r="W24" s="17" t="s">
        <v>53</v>
      </c>
      <c r="X24" s="18" t="s">
        <v>53</v>
      </c>
    </row>
    <row r="25" spans="1:24"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c r="S25" s="17" t="s">
        <v>53</v>
      </c>
      <c r="T25" s="18" t="s">
        <v>53</v>
      </c>
      <c r="U25" s="17" t="s">
        <v>53</v>
      </c>
      <c r="V25" s="18" t="s">
        <v>53</v>
      </c>
      <c r="W25" s="17" t="s">
        <v>53</v>
      </c>
      <c r="X25" s="18" t="s">
        <v>53</v>
      </c>
    </row>
    <row r="26" spans="1:24"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c r="S26" s="17" t="s">
        <v>53</v>
      </c>
      <c r="T26" s="18" t="s">
        <v>53</v>
      </c>
      <c r="U26" s="17" t="s">
        <v>53</v>
      </c>
      <c r="V26" s="18" t="s">
        <v>53</v>
      </c>
      <c r="W26" s="17" t="s">
        <v>53</v>
      </c>
      <c r="X26" s="18" t="s">
        <v>53</v>
      </c>
    </row>
    <row r="27" spans="1:24"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c r="S27" s="17" t="s">
        <v>53</v>
      </c>
      <c r="T27" s="18" t="s">
        <v>53</v>
      </c>
      <c r="U27" s="17" t="s">
        <v>53</v>
      </c>
      <c r="V27" s="18" t="s">
        <v>53</v>
      </c>
      <c r="W27" s="17" t="s">
        <v>53</v>
      </c>
      <c r="X27" s="18" t="s">
        <v>53</v>
      </c>
    </row>
    <row r="28" spans="1:24"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c r="S28" s="17" t="s">
        <v>53</v>
      </c>
      <c r="T28" s="18" t="s">
        <v>53</v>
      </c>
      <c r="U28" s="17" t="s">
        <v>53</v>
      </c>
      <c r="V28" s="18" t="s">
        <v>53</v>
      </c>
      <c r="W28" s="17" t="s">
        <v>53</v>
      </c>
      <c r="X28" s="18" t="s">
        <v>53</v>
      </c>
    </row>
    <row r="29" spans="1:24" x14ac:dyDescent="0.25">
      <c r="A29" s="11" t="s">
        <v>72</v>
      </c>
      <c r="B29" s="13">
        <v>5385</v>
      </c>
      <c r="C29" s="14">
        <f>(58/B29*100)</f>
        <v>1.0770659238625813</v>
      </c>
      <c r="D29" s="15">
        <v>5327</v>
      </c>
      <c r="E29" s="14">
        <v>1.16874162</v>
      </c>
      <c r="F29" s="16">
        <v>0.15062619999999999</v>
      </c>
      <c r="G29" s="14">
        <v>2.9922071099999998</v>
      </c>
      <c r="H29" s="16">
        <v>0.23287272000000001</v>
      </c>
      <c r="I29" s="14">
        <v>0.31294636999999997</v>
      </c>
      <c r="J29" s="16">
        <v>8.3434820000000007E-2</v>
      </c>
      <c r="K29" s="14">
        <v>15.91469835</v>
      </c>
      <c r="L29" s="16">
        <v>0.35137355999999997</v>
      </c>
      <c r="M29" s="14">
        <v>4.2212541100000003</v>
      </c>
      <c r="N29" s="16">
        <v>0.29679415999999997</v>
      </c>
      <c r="O29" s="14">
        <v>0</v>
      </c>
      <c r="P29" s="16">
        <v>0</v>
      </c>
      <c r="Q29" s="14" t="s">
        <v>51</v>
      </c>
      <c r="R29" s="16" t="s">
        <v>51</v>
      </c>
      <c r="S29" s="14">
        <v>75.390152450000002</v>
      </c>
      <c r="T29" s="16">
        <v>0.30722939999999999</v>
      </c>
      <c r="U29" s="14">
        <v>0</v>
      </c>
      <c r="V29" s="16">
        <v>0</v>
      </c>
      <c r="W29" s="14">
        <v>0</v>
      </c>
      <c r="X29" s="16">
        <v>0</v>
      </c>
    </row>
    <row r="30" spans="1:24"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c r="S30" s="17" t="s">
        <v>53</v>
      </c>
      <c r="T30" s="18" t="s">
        <v>53</v>
      </c>
      <c r="U30" s="17" t="s">
        <v>53</v>
      </c>
      <c r="V30" s="18" t="s">
        <v>53</v>
      </c>
      <c r="W30" s="17" t="s">
        <v>53</v>
      </c>
      <c r="X30" s="18" t="s">
        <v>53</v>
      </c>
    </row>
    <row r="31" spans="1:24"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c r="S31" s="17" t="s">
        <v>53</v>
      </c>
      <c r="T31" s="18" t="s">
        <v>53</v>
      </c>
      <c r="U31" s="17" t="s">
        <v>53</v>
      </c>
      <c r="V31" s="18" t="s">
        <v>53</v>
      </c>
      <c r="W31" s="17" t="s">
        <v>53</v>
      </c>
      <c r="X31" s="18" t="s">
        <v>53</v>
      </c>
    </row>
    <row r="32" spans="1:24" x14ac:dyDescent="0.25">
      <c r="A32" s="11" t="s">
        <v>75</v>
      </c>
      <c r="B32" s="13">
        <v>4478</v>
      </c>
      <c r="C32" s="14">
        <f>(67/B32*100)</f>
        <v>1.4962036623492629</v>
      </c>
      <c r="D32" s="15">
        <v>4411</v>
      </c>
      <c r="E32" s="14">
        <v>2.30114062</v>
      </c>
      <c r="F32" s="16">
        <v>0.22937147999999999</v>
      </c>
      <c r="G32" s="14">
        <v>8.4605680599999999</v>
      </c>
      <c r="H32" s="16">
        <v>0.44359071</v>
      </c>
      <c r="I32" s="14">
        <v>1.35866161</v>
      </c>
      <c r="J32" s="16">
        <v>0.19375992</v>
      </c>
      <c r="K32" s="14">
        <v>22.324477590000001</v>
      </c>
      <c r="L32" s="16">
        <v>0.54555244000000003</v>
      </c>
      <c r="M32" s="14">
        <v>3.4862930200000002</v>
      </c>
      <c r="N32" s="16">
        <v>0.30171814000000002</v>
      </c>
      <c r="O32" s="14">
        <v>0</v>
      </c>
      <c r="P32" s="16">
        <v>0</v>
      </c>
      <c r="Q32" s="14" t="s">
        <v>51</v>
      </c>
      <c r="R32" s="16" t="s">
        <v>51</v>
      </c>
      <c r="S32" s="14">
        <v>62.068859099999997</v>
      </c>
      <c r="T32" s="16">
        <v>0.35424665999999999</v>
      </c>
      <c r="U32" s="14">
        <v>0</v>
      </c>
      <c r="V32" s="16">
        <v>0</v>
      </c>
      <c r="W32" s="14">
        <v>0</v>
      </c>
      <c r="X32" s="16">
        <v>0</v>
      </c>
    </row>
    <row r="33" spans="1:24"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c r="S33" s="17" t="s">
        <v>53</v>
      </c>
      <c r="T33" s="18" t="s">
        <v>53</v>
      </c>
      <c r="U33" s="17" t="s">
        <v>53</v>
      </c>
      <c r="V33" s="18" t="s">
        <v>53</v>
      </c>
      <c r="W33" s="17" t="s">
        <v>53</v>
      </c>
      <c r="X33" s="18" t="s">
        <v>53</v>
      </c>
    </row>
    <row r="34" spans="1:24" x14ac:dyDescent="0.25">
      <c r="A34" s="11" t="s">
        <v>77</v>
      </c>
      <c r="B34" s="13">
        <v>6350</v>
      </c>
      <c r="C34" s="14">
        <f>(268/B34*100)</f>
        <v>4.2204724409448824</v>
      </c>
      <c r="D34" s="15">
        <v>6082</v>
      </c>
      <c r="E34" s="14">
        <v>1.7788098299999999</v>
      </c>
      <c r="F34" s="16">
        <v>0.14897901</v>
      </c>
      <c r="G34" s="14">
        <v>3.6941350900000001</v>
      </c>
      <c r="H34" s="16">
        <v>0.26704369</v>
      </c>
      <c r="I34" s="14">
        <v>1.9468118800000001</v>
      </c>
      <c r="J34" s="16">
        <v>0.20702408999999999</v>
      </c>
      <c r="K34" s="14">
        <v>11.6294322</v>
      </c>
      <c r="L34" s="16">
        <v>0.44240038999999998</v>
      </c>
      <c r="M34" s="14">
        <v>3.0823391</v>
      </c>
      <c r="N34" s="16">
        <v>0.21108525</v>
      </c>
      <c r="O34" s="14">
        <v>0</v>
      </c>
      <c r="P34" s="16">
        <v>0</v>
      </c>
      <c r="Q34" s="14" t="s">
        <v>51</v>
      </c>
      <c r="R34" s="16" t="s">
        <v>51</v>
      </c>
      <c r="S34" s="14">
        <v>77.868471900000003</v>
      </c>
      <c r="T34" s="16">
        <v>0.38933225999999999</v>
      </c>
      <c r="U34" s="14">
        <v>0</v>
      </c>
      <c r="V34" s="16">
        <v>0</v>
      </c>
      <c r="W34" s="14">
        <v>0</v>
      </c>
      <c r="X34" s="16">
        <v>0</v>
      </c>
    </row>
    <row r="35" spans="1:24"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c r="S35" s="17" t="s">
        <v>53</v>
      </c>
      <c r="T35" s="18" t="s">
        <v>53</v>
      </c>
      <c r="U35" s="17" t="s">
        <v>53</v>
      </c>
      <c r="V35" s="18" t="s">
        <v>53</v>
      </c>
      <c r="W35" s="17" t="s">
        <v>53</v>
      </c>
      <c r="X35" s="18" t="s">
        <v>53</v>
      </c>
    </row>
    <row r="36" spans="1:24" x14ac:dyDescent="0.25">
      <c r="A36" s="11" t="s">
        <v>79</v>
      </c>
      <c r="B36" s="13">
        <v>6736</v>
      </c>
      <c r="C36" s="14">
        <f>(188/B36*100)</f>
        <v>2.7909738717339665</v>
      </c>
      <c r="D36" s="15">
        <v>6548</v>
      </c>
      <c r="E36" s="14">
        <v>1.1652745900000001</v>
      </c>
      <c r="F36" s="16">
        <v>0.15156898999999999</v>
      </c>
      <c r="G36" s="14">
        <v>4.2219867300000002</v>
      </c>
      <c r="H36" s="16">
        <v>0.24494832999999999</v>
      </c>
      <c r="I36" s="14">
        <v>0.69605600999999995</v>
      </c>
      <c r="J36" s="16">
        <v>0.11034819</v>
      </c>
      <c r="K36" s="14">
        <v>15.706971210000001</v>
      </c>
      <c r="L36" s="16">
        <v>0.41875547000000002</v>
      </c>
      <c r="M36" s="14">
        <v>2.1560655500000001</v>
      </c>
      <c r="N36" s="16">
        <v>0.21218565</v>
      </c>
      <c r="O36" s="14">
        <v>0</v>
      </c>
      <c r="P36" s="16">
        <v>0</v>
      </c>
      <c r="Q36" s="14" t="s">
        <v>51</v>
      </c>
      <c r="R36" s="16" t="s">
        <v>51</v>
      </c>
      <c r="S36" s="14">
        <v>76.053645900000006</v>
      </c>
      <c r="T36" s="16">
        <v>0.28016637</v>
      </c>
      <c r="U36" s="14">
        <v>0</v>
      </c>
      <c r="V36" s="16">
        <v>0</v>
      </c>
      <c r="W36" s="14">
        <v>0</v>
      </c>
      <c r="X36" s="16">
        <v>0</v>
      </c>
    </row>
    <row r="37" spans="1:24"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c r="S37" s="17" t="s">
        <v>53</v>
      </c>
      <c r="T37" s="18" t="s">
        <v>53</v>
      </c>
      <c r="U37" s="17" t="s">
        <v>53</v>
      </c>
      <c r="V37" s="18" t="s">
        <v>53</v>
      </c>
      <c r="W37" s="17" t="s">
        <v>53</v>
      </c>
      <c r="X37" s="18" t="s">
        <v>53</v>
      </c>
    </row>
    <row r="38" spans="1:24"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c r="S38" s="17" t="s">
        <v>53</v>
      </c>
      <c r="T38" s="18" t="s">
        <v>53</v>
      </c>
      <c r="U38" s="17" t="s">
        <v>53</v>
      </c>
      <c r="V38" s="18" t="s">
        <v>53</v>
      </c>
      <c r="W38" s="17" t="s">
        <v>53</v>
      </c>
      <c r="X38" s="18" t="s">
        <v>53</v>
      </c>
    </row>
    <row r="39" spans="1:24"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c r="S39" s="17" t="s">
        <v>53</v>
      </c>
      <c r="T39" s="18" t="s">
        <v>53</v>
      </c>
      <c r="U39" s="17" t="s">
        <v>53</v>
      </c>
      <c r="V39" s="18" t="s">
        <v>53</v>
      </c>
      <c r="W39" s="17" t="s">
        <v>53</v>
      </c>
      <c r="X39" s="18" t="s">
        <v>53</v>
      </c>
    </row>
    <row r="40" spans="1:24"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c r="S40" s="17" t="s">
        <v>53</v>
      </c>
      <c r="T40" s="18" t="s">
        <v>53</v>
      </c>
      <c r="U40" s="17" t="s">
        <v>53</v>
      </c>
      <c r="V40" s="18" t="s">
        <v>53</v>
      </c>
      <c r="W40" s="17" t="s">
        <v>53</v>
      </c>
      <c r="X40" s="18" t="s">
        <v>53</v>
      </c>
    </row>
    <row r="41" spans="1:24" x14ac:dyDescent="0.25">
      <c r="A41" s="11" t="s">
        <v>84</v>
      </c>
      <c r="B41" s="13">
        <v>5712</v>
      </c>
      <c r="C41" s="14">
        <f>(159/B41*100)</f>
        <v>2.7836134453781516</v>
      </c>
      <c r="D41" s="15">
        <v>5553</v>
      </c>
      <c r="E41" s="14">
        <v>0.89271999000000002</v>
      </c>
      <c r="F41" s="16">
        <v>0.12198132</v>
      </c>
      <c r="G41" s="14">
        <v>2.7673887399999999</v>
      </c>
      <c r="H41" s="16">
        <v>0.19973666000000001</v>
      </c>
      <c r="I41" s="14">
        <v>0.29216473999999998</v>
      </c>
      <c r="J41" s="16">
        <v>7.3296479999999997E-2</v>
      </c>
      <c r="K41" s="14">
        <v>16.568921620000001</v>
      </c>
      <c r="L41" s="16">
        <v>0.32927057999999998</v>
      </c>
      <c r="M41" s="14">
        <v>3.4346531900000001</v>
      </c>
      <c r="N41" s="16">
        <v>0.27930021999999999</v>
      </c>
      <c r="O41" s="14">
        <v>0</v>
      </c>
      <c r="P41" s="16">
        <v>0</v>
      </c>
      <c r="Q41" s="14" t="s">
        <v>51</v>
      </c>
      <c r="R41" s="16" t="s">
        <v>51</v>
      </c>
      <c r="S41" s="14">
        <v>76.044151720000002</v>
      </c>
      <c r="T41" s="16">
        <v>0.35665703999999998</v>
      </c>
      <c r="U41" s="14">
        <v>0</v>
      </c>
      <c r="V41" s="16">
        <v>0</v>
      </c>
      <c r="W41" s="14">
        <v>0</v>
      </c>
      <c r="X41" s="16">
        <v>0</v>
      </c>
    </row>
    <row r="42" spans="1:24" x14ac:dyDescent="0.25">
      <c r="A42" s="11" t="s">
        <v>85</v>
      </c>
      <c r="B42" s="13">
        <f>IF(COUNT(B7:B41) &gt; 0, AVERAGE(B7:B41), "\u2014")</f>
        <v>8058.4</v>
      </c>
      <c r="C42" s="14">
        <f>IF(COUNT(C7:C41) &gt; 0, AVERAGE(C7:C41), "—")</f>
        <v>5.4571007962437017</v>
      </c>
      <c r="D42" s="15">
        <f>IF(COUNT(D7:D41) &gt; 0, AVERAGE(D7:D41), "—")</f>
        <v>7476.6</v>
      </c>
      <c r="E42" s="14">
        <f>IF(COUNT(E7:E41) &gt; 0, AVERAGE(E7:E41), "—")</f>
        <v>1.514166613</v>
      </c>
      <c r="F42" s="16">
        <f>IF(COUNT(F7:F41) &gt; 0, SQRT(SUMSQ(F7:F41)/(COUNT(F7:F41)*COUNT(F7:F41)) ), "—")</f>
        <v>5.0468872545707963E-2</v>
      </c>
      <c r="G42" s="14">
        <f>IF(COUNT(G7:G41) &gt; 0, AVERAGE(G7:G41), "—")</f>
        <v>5.1162498320000003</v>
      </c>
      <c r="H42" s="16">
        <f>IF(COUNT(H7:H41) &gt; 0, SQRT(SUMSQ(H7:H41)/(COUNT(H7:H41)*COUNT(H7:H41)) ), "—")</f>
        <v>9.3469514202834614E-2</v>
      </c>
      <c r="I42" s="14">
        <f>IF(COUNT(I7:I41) &gt; 0, AVERAGE(I7:I41), "—")</f>
        <v>0.90935321800000002</v>
      </c>
      <c r="J42" s="16">
        <f>IF(COUNT(J7:J41) &gt; 0, SQRT(SUMSQ(J7:J41)/(COUNT(J7:J41)*COUNT(J7:J41)) ), "—")</f>
        <v>4.1877579070072564E-2</v>
      </c>
      <c r="K42" s="14">
        <f>IF(COUNT(K7:K41) &gt; 0, AVERAGE(K7:K41), "—")</f>
        <v>20.434573467</v>
      </c>
      <c r="L42" s="16">
        <f>IF(COUNT(L7:L41) &gt; 0, SQRT(SUMSQ(L7:L41)/(COUNT(L7:L41)*COUNT(L7:L41)) ), "—")</f>
        <v>0.13591180477538395</v>
      </c>
      <c r="M42" s="14">
        <f>IF(COUNT(M7:M41) &gt; 0, AVERAGE(M7:M41), "—")</f>
        <v>4.1413052019999999</v>
      </c>
      <c r="N42" s="16">
        <f>IF(COUNT(N7:N41) &gt; 0, SQRT(SUMSQ(N7:N41)/(COUNT(N7:N41)*COUNT(N7:N41)) ), "—")</f>
        <v>8.2186236408905891E-2</v>
      </c>
      <c r="O42" s="14">
        <f>IF(COUNT(O7:O41) &gt; 0, AVERAGE(O7:O41), "—")</f>
        <v>0</v>
      </c>
      <c r="P42" s="16">
        <f>IF(COUNT(P7:P41) &gt; 0, SQRT(SUMSQ(P7:P41)/(COUNT(P7:P41)*COUNT(P7:P41)) ), "—")</f>
        <v>0</v>
      </c>
      <c r="Q42" s="14" t="str">
        <f>IF(COUNT(Q7:Q41) &gt; 0, AVERAGE(Q7:Q41), "—")</f>
        <v>—</v>
      </c>
      <c r="R42" s="16" t="str">
        <f>IF(COUNT(R7:R41) &gt; 0, SQRT(SUMSQ(R7:R41)/(COUNT(R7:R41)*COUNT(R7:R41)) ), "—")</f>
        <v>—</v>
      </c>
      <c r="S42" s="14">
        <f>IF(COUNT(S7:S41) &gt; 0, AVERAGE(S7:S41), "—")</f>
        <v>67.884351667999994</v>
      </c>
      <c r="T42" s="16">
        <f>IF(COUNT(T7:T41) &gt; 0, SQRT(SUMSQ(T7:T41)/(COUNT(T7:T41)*COUNT(T7:T41)) ), "—")</f>
        <v>0.11407102632086437</v>
      </c>
      <c r="U42" s="14">
        <f>IF(COUNT(U7:U41) &gt; 0, AVERAGE(U7:U41), "—")</f>
        <v>0</v>
      </c>
      <c r="V42" s="16">
        <f>IF(COUNT(V7:V41) &gt; 0, SQRT(SUMSQ(V7:V41)/(COUNT(V7:V41)*COUNT(V7:V41)) ), "—")</f>
        <v>0</v>
      </c>
      <c r="W42" s="14">
        <f>IF(COUNT(W7:W41) &gt; 0, AVERAGE(W7:W41), "—")</f>
        <v>0</v>
      </c>
      <c r="X42" s="16">
        <f>IF(COUNT(X7:X41) &gt; 0, SQRT(SUMSQ(X7:X41)/(COUNT(X7:X41)*COUNT(X7:X41)) ), "—")</f>
        <v>0</v>
      </c>
    </row>
    <row r="43" spans="1:24" x14ac:dyDescent="0.25">
      <c r="A43" s="9" t="s">
        <v>86</v>
      </c>
      <c r="B43" s="10"/>
      <c r="C43" s="10"/>
      <c r="D43" s="11"/>
      <c r="E43" s="10"/>
      <c r="F43" s="11"/>
      <c r="G43" s="10"/>
      <c r="H43" s="11"/>
      <c r="I43" s="10"/>
      <c r="J43" s="11"/>
      <c r="K43" s="10"/>
      <c r="L43" s="11"/>
      <c r="M43" s="10"/>
      <c r="N43" s="11"/>
      <c r="O43" s="10"/>
      <c r="P43" s="11"/>
      <c r="Q43" s="10"/>
      <c r="R43" s="11"/>
      <c r="S43" s="10"/>
      <c r="T43" s="11"/>
      <c r="U43" s="10"/>
      <c r="V43" s="11"/>
      <c r="W43" s="10"/>
      <c r="X43" s="12"/>
    </row>
    <row r="44" spans="1:24"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c r="S44" s="17" t="s">
        <v>53</v>
      </c>
      <c r="T44" s="18" t="s">
        <v>53</v>
      </c>
      <c r="U44" s="17" t="s">
        <v>53</v>
      </c>
      <c r="V44" s="18" t="s">
        <v>53</v>
      </c>
      <c r="W44" s="17" t="s">
        <v>53</v>
      </c>
      <c r="X44" s="18" t="s">
        <v>53</v>
      </c>
    </row>
    <row r="45" spans="1:24"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c r="S45" s="17" t="s">
        <v>53</v>
      </c>
      <c r="T45" s="18" t="s">
        <v>53</v>
      </c>
      <c r="U45" s="17" t="s">
        <v>53</v>
      </c>
      <c r="V45" s="18" t="s">
        <v>53</v>
      </c>
      <c r="W45" s="17" t="s">
        <v>53</v>
      </c>
      <c r="X45" s="18" t="s">
        <v>53</v>
      </c>
    </row>
    <row r="46" spans="1:24" x14ac:dyDescent="0.25">
      <c r="A46" s="11" t="s">
        <v>89</v>
      </c>
      <c r="B46" s="13">
        <v>23141</v>
      </c>
      <c r="C46" s="14">
        <f>(3940/B46*100)</f>
        <v>17.02605764660127</v>
      </c>
      <c r="D46" s="15">
        <v>19201</v>
      </c>
      <c r="E46" s="14">
        <v>1.27841239</v>
      </c>
      <c r="F46" s="16">
        <v>0.10926068</v>
      </c>
      <c r="G46" s="14">
        <v>1.69648712</v>
      </c>
      <c r="H46" s="16">
        <v>0.15307351999999999</v>
      </c>
      <c r="I46" s="14">
        <v>0.75148013000000002</v>
      </c>
      <c r="J46" s="16">
        <v>8.5783570000000003E-2</v>
      </c>
      <c r="K46" s="14">
        <v>6.6776108799999996</v>
      </c>
      <c r="L46" s="16">
        <v>0.28195957999999999</v>
      </c>
      <c r="M46" s="14">
        <v>1.8158622200000001</v>
      </c>
      <c r="N46" s="16">
        <v>0.14834609000000001</v>
      </c>
      <c r="O46" s="14">
        <v>0</v>
      </c>
      <c r="P46" s="16">
        <v>0</v>
      </c>
      <c r="Q46" s="14" t="s">
        <v>51</v>
      </c>
      <c r="R46" s="16" t="s">
        <v>51</v>
      </c>
      <c r="S46" s="14">
        <v>87.780147249999999</v>
      </c>
      <c r="T46" s="16">
        <v>0.37583547</v>
      </c>
      <c r="U46" s="14">
        <v>0</v>
      </c>
      <c r="V46" s="16">
        <v>0</v>
      </c>
      <c r="W46" s="14">
        <v>0</v>
      </c>
      <c r="X46" s="16">
        <v>0</v>
      </c>
    </row>
    <row r="47" spans="1:24"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c r="S47" s="17" t="s">
        <v>53</v>
      </c>
      <c r="T47" s="18" t="s">
        <v>53</v>
      </c>
      <c r="U47" s="17" t="s">
        <v>53</v>
      </c>
      <c r="V47" s="18" t="s">
        <v>53</v>
      </c>
      <c r="W47" s="17" t="s">
        <v>53</v>
      </c>
      <c r="X47" s="18" t="s">
        <v>53</v>
      </c>
    </row>
    <row r="48" spans="1:24" x14ac:dyDescent="0.25">
      <c r="A48" s="11" t="s">
        <v>91</v>
      </c>
      <c r="B48" s="13">
        <v>9841</v>
      </c>
      <c r="C48" s="14">
        <f>(99/B48*100)</f>
        <v>1.0059953256782848</v>
      </c>
      <c r="D48" s="15">
        <v>9742</v>
      </c>
      <c r="E48" s="14">
        <v>1.4951607200000001</v>
      </c>
      <c r="F48" s="16">
        <v>0.15342607999999999</v>
      </c>
      <c r="G48" s="14">
        <v>2.85549724</v>
      </c>
      <c r="H48" s="16">
        <v>0.20220378</v>
      </c>
      <c r="I48" s="14">
        <v>1.0438604899999999</v>
      </c>
      <c r="J48" s="16">
        <v>0.15739808999999999</v>
      </c>
      <c r="K48" s="14">
        <v>16.8848913</v>
      </c>
      <c r="L48" s="16">
        <v>0.38189363999999998</v>
      </c>
      <c r="M48" s="14">
        <v>2.4545455399999998</v>
      </c>
      <c r="N48" s="16">
        <v>0.19749093000000001</v>
      </c>
      <c r="O48" s="14">
        <v>0</v>
      </c>
      <c r="P48" s="16">
        <v>0</v>
      </c>
      <c r="Q48" s="14" t="s">
        <v>51</v>
      </c>
      <c r="R48" s="16" t="s">
        <v>51</v>
      </c>
      <c r="S48" s="14">
        <v>75.266044710000003</v>
      </c>
      <c r="T48" s="16">
        <v>0.31717725000000002</v>
      </c>
      <c r="U48" s="14">
        <v>0</v>
      </c>
      <c r="V48" s="16">
        <v>0</v>
      </c>
      <c r="W48" s="14">
        <v>0</v>
      </c>
      <c r="X48" s="16">
        <v>0</v>
      </c>
    </row>
    <row r="49" spans="1:24"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c r="S49" s="17" t="s">
        <v>53</v>
      </c>
      <c r="T49" s="18" t="s">
        <v>53</v>
      </c>
      <c r="U49" s="17" t="s">
        <v>53</v>
      </c>
      <c r="V49" s="18" t="s">
        <v>53</v>
      </c>
      <c r="W49" s="17" t="s">
        <v>53</v>
      </c>
      <c r="X49" s="18" t="s">
        <v>53</v>
      </c>
    </row>
    <row r="50" spans="1:24"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c r="S50" s="17" t="s">
        <v>53</v>
      </c>
      <c r="T50" s="18" t="s">
        <v>53</v>
      </c>
      <c r="U50" s="17" t="s">
        <v>53</v>
      </c>
      <c r="V50" s="18" t="s">
        <v>53</v>
      </c>
      <c r="W50" s="17" t="s">
        <v>53</v>
      </c>
      <c r="X50" s="18" t="s">
        <v>53</v>
      </c>
    </row>
    <row r="51" spans="1:24"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c r="S51" s="17" t="s">
        <v>53</v>
      </c>
      <c r="T51" s="18" t="s">
        <v>53</v>
      </c>
      <c r="U51" s="17" t="s">
        <v>53</v>
      </c>
      <c r="V51" s="18" t="s">
        <v>53</v>
      </c>
      <c r="W51" s="17" t="s">
        <v>53</v>
      </c>
      <c r="X51" s="18" t="s">
        <v>53</v>
      </c>
    </row>
    <row r="52" spans="1:24"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c r="S52" s="17" t="s">
        <v>53</v>
      </c>
      <c r="T52" s="18" t="s">
        <v>53</v>
      </c>
      <c r="U52" s="17" t="s">
        <v>53</v>
      </c>
      <c r="V52" s="18" t="s">
        <v>53</v>
      </c>
      <c r="W52" s="17" t="s">
        <v>53</v>
      </c>
      <c r="X52" s="18" t="s">
        <v>53</v>
      </c>
    </row>
    <row r="53" spans="1:24"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c r="S53" s="17" t="s">
        <v>53</v>
      </c>
      <c r="T53" s="18" t="s">
        <v>53</v>
      </c>
      <c r="U53" s="17" t="s">
        <v>53</v>
      </c>
      <c r="V53" s="18" t="s">
        <v>53</v>
      </c>
      <c r="W53" s="17" t="s">
        <v>53</v>
      </c>
      <c r="X53" s="18" t="s">
        <v>53</v>
      </c>
    </row>
    <row r="54" spans="1:24"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c r="S54" s="17" t="s">
        <v>53</v>
      </c>
      <c r="T54" s="18" t="s">
        <v>53</v>
      </c>
      <c r="U54" s="17" t="s">
        <v>53</v>
      </c>
      <c r="V54" s="18" t="s">
        <v>53</v>
      </c>
      <c r="W54" s="17" t="s">
        <v>53</v>
      </c>
      <c r="X54" s="18" t="s">
        <v>53</v>
      </c>
    </row>
    <row r="55" spans="1:24"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c r="S55" s="17" t="s">
        <v>53</v>
      </c>
      <c r="T55" s="18" t="s">
        <v>53</v>
      </c>
      <c r="U55" s="17" t="s">
        <v>53</v>
      </c>
      <c r="V55" s="18" t="s">
        <v>53</v>
      </c>
      <c r="W55" s="17" t="s">
        <v>53</v>
      </c>
      <c r="X55" s="18" t="s">
        <v>53</v>
      </c>
    </row>
    <row r="56" spans="1:24"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c r="S56" s="17" t="s">
        <v>53</v>
      </c>
      <c r="T56" s="18" t="s">
        <v>53</v>
      </c>
      <c r="U56" s="17" t="s">
        <v>53</v>
      </c>
      <c r="V56" s="18" t="s">
        <v>53</v>
      </c>
      <c r="W56" s="17" t="s">
        <v>53</v>
      </c>
      <c r="X56" s="18" t="s">
        <v>53</v>
      </c>
    </row>
    <row r="57" spans="1:24"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c r="S57" s="17" t="s">
        <v>53</v>
      </c>
      <c r="T57" s="18" t="s">
        <v>53</v>
      </c>
      <c r="U57" s="17" t="s">
        <v>53</v>
      </c>
      <c r="V57" s="18" t="s">
        <v>53</v>
      </c>
      <c r="W57" s="17" t="s">
        <v>53</v>
      </c>
      <c r="X57" s="18" t="s">
        <v>53</v>
      </c>
    </row>
    <row r="58" spans="1:24"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c r="S58" s="17" t="s">
        <v>53</v>
      </c>
      <c r="T58" s="18" t="s">
        <v>53</v>
      </c>
      <c r="U58" s="17" t="s">
        <v>53</v>
      </c>
      <c r="V58" s="18" t="s">
        <v>53</v>
      </c>
      <c r="W58" s="17" t="s">
        <v>53</v>
      </c>
      <c r="X58" s="18" t="s">
        <v>53</v>
      </c>
    </row>
    <row r="59" spans="1:24"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c r="S59" s="17" t="s">
        <v>53</v>
      </c>
      <c r="T59" s="18" t="s">
        <v>53</v>
      </c>
      <c r="U59" s="17" t="s">
        <v>53</v>
      </c>
      <c r="V59" s="18" t="s">
        <v>53</v>
      </c>
      <c r="W59" s="17" t="s">
        <v>53</v>
      </c>
      <c r="X59" s="18" t="s">
        <v>53</v>
      </c>
    </row>
    <row r="60" spans="1:24"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c r="S60" s="17" t="s">
        <v>53</v>
      </c>
      <c r="T60" s="18" t="s">
        <v>53</v>
      </c>
      <c r="U60" s="17" t="s">
        <v>53</v>
      </c>
      <c r="V60" s="18" t="s">
        <v>53</v>
      </c>
      <c r="W60" s="17" t="s">
        <v>53</v>
      </c>
      <c r="X60" s="18" t="s">
        <v>53</v>
      </c>
    </row>
    <row r="61" spans="1:24" x14ac:dyDescent="0.25">
      <c r="A61" s="11" t="s">
        <v>104</v>
      </c>
      <c r="B61" s="13">
        <v>6525</v>
      </c>
      <c r="C61" s="14">
        <f>(130/B61*100)</f>
        <v>1.992337164750958</v>
      </c>
      <c r="D61" s="15">
        <v>6395</v>
      </c>
      <c r="E61" s="14">
        <v>2.01955682</v>
      </c>
      <c r="F61" s="16">
        <v>0.18993592000000001</v>
      </c>
      <c r="G61" s="14">
        <v>3.3484091500000002</v>
      </c>
      <c r="H61" s="16">
        <v>0.26207826000000001</v>
      </c>
      <c r="I61" s="14">
        <v>1.2253794</v>
      </c>
      <c r="J61" s="16">
        <v>0.17959314000000001</v>
      </c>
      <c r="K61" s="14">
        <v>15.28653776</v>
      </c>
      <c r="L61" s="16">
        <v>0.37160140000000003</v>
      </c>
      <c r="M61" s="14">
        <v>3.27199726</v>
      </c>
      <c r="N61" s="16">
        <v>0.23903646000000001</v>
      </c>
      <c r="O61" s="14">
        <v>0</v>
      </c>
      <c r="P61" s="16">
        <v>0</v>
      </c>
      <c r="Q61" s="14" t="s">
        <v>51</v>
      </c>
      <c r="R61" s="16" t="s">
        <v>51</v>
      </c>
      <c r="S61" s="14">
        <v>74.848119609999998</v>
      </c>
      <c r="T61" s="16">
        <v>0.38994092000000002</v>
      </c>
      <c r="U61" s="14">
        <v>0</v>
      </c>
      <c r="V61" s="16">
        <v>0</v>
      </c>
      <c r="W61" s="14">
        <v>0</v>
      </c>
      <c r="X61" s="16">
        <v>0</v>
      </c>
    </row>
    <row r="62" spans="1:24"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c r="S62" s="17" t="s">
        <v>53</v>
      </c>
      <c r="T62" s="18" t="s">
        <v>53</v>
      </c>
      <c r="U62" s="17" t="s">
        <v>53</v>
      </c>
      <c r="V62" s="18" t="s">
        <v>53</v>
      </c>
      <c r="W62" s="17" t="s">
        <v>53</v>
      </c>
      <c r="X62" s="18" t="s">
        <v>53</v>
      </c>
    </row>
    <row r="63" spans="1:24"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c r="S63" s="17" t="s">
        <v>53</v>
      </c>
      <c r="T63" s="18" t="s">
        <v>53</v>
      </c>
      <c r="U63" s="17" t="s">
        <v>53</v>
      </c>
      <c r="V63" s="18" t="s">
        <v>53</v>
      </c>
      <c r="W63" s="17" t="s">
        <v>53</v>
      </c>
      <c r="X63" s="18" t="s">
        <v>53</v>
      </c>
    </row>
    <row r="64" spans="1:24"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c r="S64" s="17" t="s">
        <v>53</v>
      </c>
      <c r="T64" s="18" t="s">
        <v>53</v>
      </c>
      <c r="U64" s="17" t="s">
        <v>53</v>
      </c>
      <c r="V64" s="18" t="s">
        <v>53</v>
      </c>
      <c r="W64" s="17" t="s">
        <v>53</v>
      </c>
      <c r="X64" s="18" t="s">
        <v>53</v>
      </c>
    </row>
    <row r="65" spans="1:24"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c r="S65" s="17" t="s">
        <v>53</v>
      </c>
      <c r="T65" s="18" t="s">
        <v>53</v>
      </c>
      <c r="U65" s="17" t="s">
        <v>53</v>
      </c>
      <c r="V65" s="18" t="s">
        <v>53</v>
      </c>
      <c r="W65" s="17" t="s">
        <v>53</v>
      </c>
      <c r="X65" s="18" t="s">
        <v>53</v>
      </c>
    </row>
    <row r="66" spans="1:24"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c r="S66" s="17" t="s">
        <v>53</v>
      </c>
      <c r="T66" s="18" t="s">
        <v>53</v>
      </c>
      <c r="U66" s="17" t="s">
        <v>53</v>
      </c>
      <c r="V66" s="18" t="s">
        <v>53</v>
      </c>
      <c r="W66" s="17" t="s">
        <v>53</v>
      </c>
      <c r="X66" s="18" t="s">
        <v>53</v>
      </c>
    </row>
    <row r="67" spans="1:24" x14ac:dyDescent="0.25">
      <c r="A67" s="11" t="s">
        <v>110</v>
      </c>
      <c r="B67" s="13">
        <v>6971</v>
      </c>
      <c r="C67" s="14">
        <f>(790/B67*100)</f>
        <v>11.332663893272127</v>
      </c>
      <c r="D67" s="15">
        <v>6181</v>
      </c>
      <c r="E67" s="14">
        <v>1.0995538</v>
      </c>
      <c r="F67" s="16">
        <v>0.14224932000000001</v>
      </c>
      <c r="G67" s="14">
        <v>1.71678453</v>
      </c>
      <c r="H67" s="16">
        <v>0.17718041000000001</v>
      </c>
      <c r="I67" s="14">
        <v>0.59710974000000006</v>
      </c>
      <c r="J67" s="16">
        <v>0.11345047</v>
      </c>
      <c r="K67" s="14">
        <v>12.08852076</v>
      </c>
      <c r="L67" s="16">
        <v>0.48133489000000002</v>
      </c>
      <c r="M67" s="14">
        <v>0.99239014000000003</v>
      </c>
      <c r="N67" s="16">
        <v>0.14221961999999999</v>
      </c>
      <c r="O67" s="14">
        <v>0</v>
      </c>
      <c r="P67" s="16">
        <v>0</v>
      </c>
      <c r="Q67" s="14" t="s">
        <v>51</v>
      </c>
      <c r="R67" s="16" t="s">
        <v>51</v>
      </c>
      <c r="S67" s="14">
        <v>83.505641030000007</v>
      </c>
      <c r="T67" s="16">
        <v>0.55631916999999997</v>
      </c>
      <c r="U67" s="14">
        <v>0</v>
      </c>
      <c r="V67" s="16">
        <v>0</v>
      </c>
      <c r="W67" s="14">
        <v>0</v>
      </c>
      <c r="X67" s="16">
        <v>0</v>
      </c>
    </row>
    <row r="68" spans="1:24"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c r="S68" s="17" t="s">
        <v>53</v>
      </c>
      <c r="T68" s="18" t="s">
        <v>53</v>
      </c>
      <c r="U68" s="17" t="s">
        <v>53</v>
      </c>
      <c r="V68" s="18" t="s">
        <v>53</v>
      </c>
      <c r="W68" s="17" t="s">
        <v>53</v>
      </c>
      <c r="X68" s="18" t="s">
        <v>53</v>
      </c>
    </row>
    <row r="69" spans="1:24"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c r="S69" s="17" t="s">
        <v>53</v>
      </c>
      <c r="T69" s="18" t="s">
        <v>53</v>
      </c>
      <c r="U69" s="17" t="s">
        <v>53</v>
      </c>
      <c r="V69" s="18" t="s">
        <v>53</v>
      </c>
      <c r="W69" s="17" t="s">
        <v>53</v>
      </c>
      <c r="X69" s="18" t="s">
        <v>53</v>
      </c>
    </row>
    <row r="70" spans="1:24" x14ac:dyDescent="0.25">
      <c r="A70" s="11" t="s">
        <v>113</v>
      </c>
      <c r="B70" s="13">
        <v>6036</v>
      </c>
      <c r="C70" s="14">
        <f>(404/B70*100)</f>
        <v>6.693174287607687</v>
      </c>
      <c r="D70" s="15">
        <v>5632</v>
      </c>
      <c r="E70" s="14">
        <v>1.0251373500000001</v>
      </c>
      <c r="F70" s="16">
        <v>0.14611131999999999</v>
      </c>
      <c r="G70" s="14">
        <v>2.73168386</v>
      </c>
      <c r="H70" s="16">
        <v>0.22505963000000001</v>
      </c>
      <c r="I70" s="14">
        <v>0.83295715999999997</v>
      </c>
      <c r="J70" s="16">
        <v>0.11232635000000001</v>
      </c>
      <c r="K70" s="14">
        <v>14.08262639</v>
      </c>
      <c r="L70" s="16">
        <v>0.51585629</v>
      </c>
      <c r="M70" s="14">
        <v>1.66145689</v>
      </c>
      <c r="N70" s="16">
        <v>0.14191284000000001</v>
      </c>
      <c r="O70" s="14">
        <v>0</v>
      </c>
      <c r="P70" s="16">
        <v>0</v>
      </c>
      <c r="Q70" s="14" t="s">
        <v>51</v>
      </c>
      <c r="R70" s="16" t="s">
        <v>51</v>
      </c>
      <c r="S70" s="14">
        <v>79.666138349999997</v>
      </c>
      <c r="T70" s="16">
        <v>0.54819739999999995</v>
      </c>
      <c r="U70" s="14">
        <v>0</v>
      </c>
      <c r="V70" s="16">
        <v>0</v>
      </c>
      <c r="W70" s="14">
        <v>0</v>
      </c>
      <c r="X70" s="16">
        <v>0</v>
      </c>
    </row>
    <row r="71" spans="1:24"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c r="S71" s="17" t="s">
        <v>53</v>
      </c>
      <c r="T71" s="18" t="s">
        <v>53</v>
      </c>
      <c r="U71" s="17" t="s">
        <v>53</v>
      </c>
      <c r="V71" s="18" t="s">
        <v>53</v>
      </c>
      <c r="W71" s="17" t="s">
        <v>53</v>
      </c>
      <c r="X71" s="18" t="s">
        <v>53</v>
      </c>
    </row>
    <row r="72" spans="1:24"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c r="S72" s="17" t="s">
        <v>53</v>
      </c>
      <c r="T72" s="18" t="s">
        <v>53</v>
      </c>
      <c r="U72" s="17" t="s">
        <v>53</v>
      </c>
      <c r="V72" s="18" t="s">
        <v>53</v>
      </c>
      <c r="W72" s="17" t="s">
        <v>53</v>
      </c>
      <c r="X72" s="18" t="s">
        <v>53</v>
      </c>
    </row>
    <row r="73" spans="1:24"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c r="S73" s="17" t="s">
        <v>53</v>
      </c>
      <c r="T73" s="18" t="s">
        <v>53</v>
      </c>
      <c r="U73" s="17" t="s">
        <v>53</v>
      </c>
      <c r="V73" s="18" t="s">
        <v>53</v>
      </c>
      <c r="W73" s="17" t="s">
        <v>53</v>
      </c>
      <c r="X73" s="18" t="s">
        <v>53</v>
      </c>
    </row>
    <row r="74" spans="1:24"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c r="S74" s="17" t="s">
        <v>53</v>
      </c>
      <c r="T74" s="18" t="s">
        <v>53</v>
      </c>
      <c r="U74" s="17" t="s">
        <v>53</v>
      </c>
      <c r="V74" s="18" t="s">
        <v>53</v>
      </c>
      <c r="W74" s="17" t="s">
        <v>53</v>
      </c>
      <c r="X74" s="18" t="s">
        <v>53</v>
      </c>
    </row>
    <row r="75" spans="1:24"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c r="S75" s="17" t="s">
        <v>53</v>
      </c>
      <c r="T75" s="18" t="s">
        <v>53</v>
      </c>
      <c r="U75" s="17" t="s">
        <v>53</v>
      </c>
      <c r="V75" s="18" t="s">
        <v>53</v>
      </c>
      <c r="W75" s="17" t="s">
        <v>53</v>
      </c>
      <c r="X75" s="18" t="s">
        <v>53</v>
      </c>
    </row>
    <row r="76" spans="1:24"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c r="S76" s="17" t="s">
        <v>53</v>
      </c>
      <c r="T76" s="18" t="s">
        <v>53</v>
      </c>
      <c r="U76" s="17" t="s">
        <v>53</v>
      </c>
      <c r="V76" s="18" t="s">
        <v>53</v>
      </c>
      <c r="W76" s="17" t="s">
        <v>53</v>
      </c>
      <c r="X76" s="18" t="s">
        <v>53</v>
      </c>
    </row>
    <row r="77" spans="1:24"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c r="S77" s="17" t="s">
        <v>53</v>
      </c>
      <c r="T77" s="18" t="s">
        <v>53</v>
      </c>
      <c r="U77" s="17" t="s">
        <v>53</v>
      </c>
      <c r="V77" s="18" t="s">
        <v>53</v>
      </c>
      <c r="W77" s="17" t="s">
        <v>53</v>
      </c>
      <c r="X77" s="18" t="s">
        <v>53</v>
      </c>
    </row>
    <row r="78" spans="1:24"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c r="S78" s="17" t="s">
        <v>53</v>
      </c>
      <c r="T78" s="18" t="s">
        <v>53</v>
      </c>
      <c r="U78" s="17" t="s">
        <v>53</v>
      </c>
      <c r="V78" s="18" t="s">
        <v>53</v>
      </c>
      <c r="W78" s="17" t="s">
        <v>53</v>
      </c>
      <c r="X78" s="18" t="s">
        <v>53</v>
      </c>
    </row>
    <row r="79" spans="1:24"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c r="S79" s="17" t="s">
        <v>53</v>
      </c>
      <c r="T79" s="18" t="s">
        <v>53</v>
      </c>
      <c r="U79" s="17" t="s">
        <v>53</v>
      </c>
      <c r="V79" s="18" t="s">
        <v>53</v>
      </c>
      <c r="W79" s="17" t="s">
        <v>53</v>
      </c>
      <c r="X79" s="18" t="s">
        <v>53</v>
      </c>
    </row>
    <row r="80" spans="1:24"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c r="S80" s="17" t="s">
        <v>53</v>
      </c>
      <c r="T80" s="18" t="s">
        <v>53</v>
      </c>
      <c r="U80" s="17" t="s">
        <v>53</v>
      </c>
      <c r="V80" s="18" t="s">
        <v>53</v>
      </c>
      <c r="W80" s="17" t="s">
        <v>53</v>
      </c>
      <c r="X80" s="18" t="s">
        <v>53</v>
      </c>
    </row>
    <row r="81" spans="1:24"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c r="S81" s="17" t="s">
        <v>53</v>
      </c>
      <c r="T81" s="18" t="s">
        <v>53</v>
      </c>
      <c r="U81" s="17" t="s">
        <v>53</v>
      </c>
      <c r="V81" s="18" t="s">
        <v>53</v>
      </c>
      <c r="W81" s="17" t="s">
        <v>53</v>
      </c>
      <c r="X81" s="18" t="s">
        <v>53</v>
      </c>
    </row>
    <row r="82" spans="1:24"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c r="S82" s="20" t="s">
        <v>125</v>
      </c>
      <c r="T82" s="20" t="s">
        <v>125</v>
      </c>
      <c r="U82" s="20" t="s">
        <v>125</v>
      </c>
      <c r="V82" s="20" t="s">
        <v>125</v>
      </c>
      <c r="W82" s="20" t="s">
        <v>125</v>
      </c>
      <c r="X82" s="20" t="s">
        <v>125</v>
      </c>
    </row>
    <row r="83" spans="1:24" x14ac:dyDescent="0.25">
      <c r="A83" s="3" t="s">
        <v>126</v>
      </c>
    </row>
    <row r="84" spans="1:24" x14ac:dyDescent="0.25">
      <c r="A84" s="26" t="s">
        <v>127</v>
      </c>
      <c r="B84" s="24"/>
      <c r="C84" s="24"/>
      <c r="D84" s="24"/>
      <c r="E84" s="24"/>
      <c r="F84" s="24"/>
      <c r="G84" s="24"/>
      <c r="H84" s="24"/>
      <c r="I84" s="24"/>
      <c r="J84" s="24"/>
      <c r="K84" s="24"/>
      <c r="L84" s="24"/>
      <c r="M84" s="24"/>
      <c r="N84" s="24"/>
      <c r="O84" s="24"/>
      <c r="P84" s="24"/>
      <c r="Q84" s="24"/>
      <c r="R84" s="24"/>
      <c r="S84" s="24"/>
      <c r="T84" s="24"/>
      <c r="U84" s="24"/>
      <c r="V84" s="24"/>
      <c r="W84" s="24"/>
      <c r="X84" s="24"/>
    </row>
    <row r="85" spans="1:24" x14ac:dyDescent="0.25">
      <c r="A85" s="26" t="s">
        <v>128</v>
      </c>
      <c r="B85" s="24"/>
      <c r="C85" s="24"/>
      <c r="D85" s="24"/>
      <c r="E85" s="24"/>
      <c r="F85" s="24"/>
      <c r="G85" s="24"/>
      <c r="H85" s="24"/>
      <c r="I85" s="24"/>
      <c r="J85" s="24"/>
      <c r="K85" s="24"/>
      <c r="L85" s="24"/>
      <c r="M85" s="24"/>
      <c r="N85" s="24"/>
      <c r="O85" s="24"/>
      <c r="P85" s="24"/>
      <c r="Q85" s="24"/>
      <c r="R85" s="24"/>
      <c r="S85" s="24"/>
      <c r="T85" s="24"/>
      <c r="U85" s="24"/>
      <c r="V85" s="24"/>
      <c r="W85" s="24"/>
      <c r="X85" s="24"/>
    </row>
    <row r="86" spans="1:24" ht="30" customHeight="1" x14ac:dyDescent="0.25">
      <c r="A86" s="26" t="s">
        <v>129</v>
      </c>
      <c r="B86" s="24"/>
      <c r="C86" s="24"/>
      <c r="D86" s="24"/>
      <c r="E86" s="24"/>
      <c r="F86" s="24"/>
      <c r="G86" s="24"/>
      <c r="H86" s="24"/>
      <c r="I86" s="24"/>
      <c r="J86" s="24"/>
      <c r="K86" s="24"/>
      <c r="L86" s="24"/>
      <c r="M86" s="24"/>
      <c r="N86" s="24"/>
      <c r="O86" s="24"/>
      <c r="P86" s="24"/>
      <c r="Q86" s="24"/>
      <c r="R86" s="24"/>
      <c r="S86" s="24"/>
      <c r="T86" s="24"/>
      <c r="U86" s="24"/>
      <c r="V86" s="24"/>
      <c r="W86" s="24"/>
      <c r="X86" s="24"/>
    </row>
    <row r="87" spans="1:24" ht="30" customHeight="1" x14ac:dyDescent="0.25">
      <c r="A87" s="26" t="s">
        <v>125</v>
      </c>
      <c r="B87" s="24"/>
      <c r="C87" s="24"/>
      <c r="D87" s="24"/>
      <c r="E87" s="24"/>
      <c r="F87" s="24"/>
      <c r="G87" s="24"/>
      <c r="H87" s="24"/>
      <c r="I87" s="24"/>
      <c r="J87" s="24"/>
      <c r="K87" s="24"/>
      <c r="L87" s="24"/>
      <c r="M87" s="24"/>
      <c r="N87" s="24"/>
      <c r="O87" s="24"/>
      <c r="P87" s="24"/>
      <c r="Q87" s="24"/>
      <c r="R87" s="24"/>
      <c r="S87" s="24"/>
      <c r="T87" s="24"/>
      <c r="U87" s="24"/>
      <c r="V87" s="24"/>
      <c r="W87" s="24"/>
      <c r="X87" s="24"/>
    </row>
    <row r="88" spans="1:24" ht="30" customHeight="1" x14ac:dyDescent="0.25">
      <c r="A88" s="26" t="s">
        <v>130</v>
      </c>
      <c r="B88" s="24"/>
      <c r="C88" s="24"/>
      <c r="D88" s="24"/>
      <c r="E88" s="24"/>
      <c r="F88" s="24"/>
      <c r="G88" s="24"/>
      <c r="H88" s="24"/>
      <c r="I88" s="24"/>
      <c r="J88" s="24"/>
      <c r="K88" s="24"/>
      <c r="L88" s="24"/>
      <c r="M88" s="24"/>
      <c r="N88" s="24"/>
      <c r="O88" s="24"/>
      <c r="P88" s="24"/>
      <c r="Q88" s="24"/>
      <c r="R88" s="24"/>
      <c r="S88" s="24"/>
      <c r="T88" s="24"/>
      <c r="U88" s="24"/>
      <c r="V88" s="24"/>
      <c r="W88" s="24"/>
      <c r="X88" s="24"/>
    </row>
    <row r="89" spans="1:24" ht="30" customHeight="1" x14ac:dyDescent="0.25">
      <c r="A89" s="26" t="s">
        <v>131</v>
      </c>
      <c r="B89" s="24"/>
      <c r="C89" s="24"/>
      <c r="D89" s="24"/>
      <c r="E89" s="24"/>
      <c r="F89" s="24"/>
      <c r="G89" s="24"/>
      <c r="H89" s="24"/>
      <c r="I89" s="24"/>
      <c r="J89" s="24"/>
      <c r="K89" s="24"/>
      <c r="L89" s="24"/>
      <c r="M89" s="24"/>
      <c r="N89" s="24"/>
      <c r="O89" s="24"/>
      <c r="P89" s="24"/>
      <c r="Q89" s="24"/>
      <c r="R89" s="24"/>
      <c r="S89" s="24"/>
      <c r="T89" s="24"/>
      <c r="U89" s="24"/>
      <c r="V89" s="24"/>
      <c r="W89" s="24"/>
      <c r="X89" s="24"/>
    </row>
    <row r="90" spans="1:24" ht="30" customHeight="1" x14ac:dyDescent="0.25">
      <c r="A90" s="26" t="s">
        <v>132</v>
      </c>
      <c r="B90" s="24"/>
      <c r="C90" s="24"/>
      <c r="D90" s="24"/>
      <c r="E90" s="24"/>
      <c r="F90" s="24"/>
      <c r="G90" s="24"/>
      <c r="H90" s="24"/>
      <c r="I90" s="24"/>
      <c r="J90" s="24"/>
      <c r="K90" s="24"/>
      <c r="L90" s="24"/>
      <c r="M90" s="24"/>
      <c r="N90" s="24"/>
      <c r="O90" s="24"/>
      <c r="P90" s="24"/>
      <c r="Q90" s="24"/>
      <c r="R90" s="24"/>
      <c r="S90" s="24"/>
      <c r="T90" s="24"/>
      <c r="U90" s="24"/>
      <c r="V90" s="24"/>
      <c r="W90" s="24"/>
      <c r="X90" s="24"/>
    </row>
    <row r="91" spans="1:24" ht="30" customHeight="1" x14ac:dyDescent="0.25">
      <c r="A91" s="26" t="s">
        <v>133</v>
      </c>
      <c r="B91" s="24"/>
      <c r="C91" s="24"/>
      <c r="D91" s="24"/>
      <c r="E91" s="24"/>
      <c r="F91" s="24"/>
      <c r="G91" s="24"/>
      <c r="H91" s="24"/>
      <c r="I91" s="24"/>
      <c r="J91" s="24"/>
      <c r="K91" s="24"/>
      <c r="L91" s="24"/>
      <c r="M91" s="24"/>
      <c r="N91" s="24"/>
      <c r="O91" s="24"/>
      <c r="P91" s="24"/>
      <c r="Q91" s="24"/>
      <c r="R91" s="24"/>
      <c r="S91" s="24"/>
      <c r="T91" s="24"/>
      <c r="U91" s="24"/>
      <c r="V91" s="24"/>
      <c r="W91" s="24"/>
      <c r="X91" s="24"/>
    </row>
    <row r="92" spans="1:24" ht="30" customHeight="1" x14ac:dyDescent="0.25">
      <c r="A92" s="26" t="s">
        <v>134</v>
      </c>
      <c r="B92" s="24"/>
      <c r="C92" s="24"/>
      <c r="D92" s="24"/>
      <c r="E92" s="24"/>
      <c r="F92" s="24"/>
      <c r="G92" s="24"/>
      <c r="H92" s="24"/>
      <c r="I92" s="24"/>
      <c r="J92" s="24"/>
      <c r="K92" s="24"/>
      <c r="L92" s="24"/>
      <c r="M92" s="24"/>
      <c r="N92" s="24"/>
      <c r="O92" s="24"/>
      <c r="P92" s="24"/>
      <c r="Q92" s="24"/>
      <c r="R92" s="24"/>
      <c r="S92" s="24"/>
      <c r="T92" s="24"/>
      <c r="U92" s="24"/>
      <c r="V92" s="24"/>
      <c r="W92" s="24"/>
      <c r="X92" s="24"/>
    </row>
    <row r="93" spans="1:24" ht="30" customHeight="1" x14ac:dyDescent="0.25">
      <c r="A93" s="26" t="s">
        <v>135</v>
      </c>
      <c r="B93" s="24"/>
      <c r="C93" s="24"/>
      <c r="D93" s="24"/>
      <c r="E93" s="24"/>
      <c r="F93" s="24"/>
      <c r="G93" s="24"/>
      <c r="H93" s="24"/>
      <c r="I93" s="24"/>
      <c r="J93" s="24"/>
      <c r="K93" s="24"/>
      <c r="L93" s="24"/>
      <c r="M93" s="24"/>
      <c r="N93" s="24"/>
      <c r="O93" s="24"/>
      <c r="P93" s="24"/>
      <c r="Q93" s="24"/>
      <c r="R93" s="24"/>
      <c r="S93" s="24"/>
      <c r="T93" s="24"/>
      <c r="U93" s="24"/>
      <c r="V93" s="24"/>
      <c r="W93" s="24"/>
      <c r="X93" s="24"/>
    </row>
    <row r="94" spans="1:24" ht="30" customHeight="1" x14ac:dyDescent="0.25">
      <c r="A94" s="26" t="s">
        <v>136</v>
      </c>
      <c r="B94" s="24"/>
      <c r="C94" s="24"/>
      <c r="D94" s="24"/>
      <c r="E94" s="24"/>
      <c r="F94" s="24"/>
      <c r="G94" s="24"/>
      <c r="H94" s="24"/>
      <c r="I94" s="24"/>
      <c r="J94" s="24"/>
      <c r="K94" s="24"/>
      <c r="L94" s="24"/>
      <c r="M94" s="24"/>
      <c r="N94" s="24"/>
      <c r="O94" s="24"/>
      <c r="P94" s="24"/>
      <c r="Q94" s="24"/>
      <c r="R94" s="24"/>
      <c r="S94" s="24"/>
      <c r="T94" s="24"/>
      <c r="U94" s="24"/>
      <c r="V94" s="24"/>
      <c r="W94" s="24"/>
      <c r="X94" s="24"/>
    </row>
    <row r="95" spans="1:24" ht="30" customHeight="1" x14ac:dyDescent="0.25">
      <c r="A95" s="26" t="s">
        <v>137</v>
      </c>
      <c r="B95" s="24"/>
      <c r="C95" s="24"/>
      <c r="D95" s="24"/>
      <c r="E95" s="24"/>
      <c r="F95" s="24"/>
      <c r="G95" s="24"/>
      <c r="H95" s="24"/>
      <c r="I95" s="24"/>
      <c r="J95" s="24"/>
      <c r="K95" s="24"/>
      <c r="L95" s="24"/>
      <c r="M95" s="24"/>
      <c r="N95" s="24"/>
      <c r="O95" s="24"/>
      <c r="P95" s="24"/>
      <c r="Q95" s="24"/>
      <c r="R95" s="24"/>
      <c r="S95" s="24"/>
      <c r="T95" s="24"/>
      <c r="U95" s="24"/>
      <c r="V95" s="24"/>
      <c r="W95" s="24"/>
      <c r="X95" s="24"/>
    </row>
    <row r="96" spans="1:24" ht="30" customHeight="1" x14ac:dyDescent="0.25">
      <c r="A96" s="26" t="s">
        <v>138</v>
      </c>
      <c r="B96" s="24"/>
      <c r="C96" s="24"/>
      <c r="D96" s="24"/>
      <c r="E96" s="24"/>
      <c r="F96" s="24"/>
      <c r="G96" s="24"/>
      <c r="H96" s="24"/>
      <c r="I96" s="24"/>
      <c r="J96" s="24"/>
      <c r="K96" s="24"/>
      <c r="L96" s="24"/>
      <c r="M96" s="24"/>
      <c r="N96" s="24"/>
      <c r="O96" s="24"/>
      <c r="P96" s="24"/>
      <c r="Q96" s="24"/>
      <c r="R96" s="24"/>
      <c r="S96" s="24"/>
      <c r="T96" s="24"/>
      <c r="U96" s="24"/>
      <c r="V96" s="24"/>
      <c r="W96" s="24"/>
      <c r="X96" s="24"/>
    </row>
    <row r="97" spans="1:1" ht="30" customHeight="1" x14ac:dyDescent="0.25">
      <c r="A97" s="27" t="s">
        <v>171</v>
      </c>
    </row>
  </sheetData>
  <mergeCells count="25">
    <mergeCell ref="A92:X92"/>
    <mergeCell ref="A93:X93"/>
    <mergeCell ref="A94:X94"/>
    <mergeCell ref="A95:X95"/>
    <mergeCell ref="A96:X96"/>
    <mergeCell ref="A87:X87"/>
    <mergeCell ref="A88:X88"/>
    <mergeCell ref="A89:X89"/>
    <mergeCell ref="A90:X90"/>
    <mergeCell ref="A91:X91"/>
    <mergeCell ref="A1:X1"/>
    <mergeCell ref="A2:X2"/>
    <mergeCell ref="A84:X84"/>
    <mergeCell ref="A85:X85"/>
    <mergeCell ref="A86:X86"/>
    <mergeCell ref="O4:P4"/>
    <mergeCell ref="Q4:R4"/>
    <mergeCell ref="S4:T4"/>
    <mergeCell ref="U4:V4"/>
    <mergeCell ref="W4:X4"/>
    <mergeCell ref="E4:F4"/>
    <mergeCell ref="G4:H4"/>
    <mergeCell ref="I4:J4"/>
    <mergeCell ref="K4:L4"/>
    <mergeCell ref="M4:N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tabSelected="1" topLeftCell="A67"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18" x14ac:dyDescent="0.25">
      <c r="A1" s="23" t="s">
        <v>33</v>
      </c>
      <c r="B1" s="24"/>
      <c r="C1" s="24"/>
      <c r="D1" s="24"/>
      <c r="E1" s="24"/>
      <c r="F1" s="24"/>
      <c r="G1" s="24"/>
      <c r="H1" s="24"/>
      <c r="I1" s="24"/>
      <c r="J1" s="24"/>
      <c r="K1" s="24"/>
      <c r="L1" s="24"/>
      <c r="M1" s="24"/>
      <c r="N1" s="24"/>
      <c r="O1" s="24"/>
      <c r="P1" s="24"/>
      <c r="Q1" s="24"/>
      <c r="R1" s="24"/>
    </row>
    <row r="2" spans="1:18" x14ac:dyDescent="0.25">
      <c r="A2" s="25" t="s">
        <v>153</v>
      </c>
      <c r="B2" s="24"/>
      <c r="C2" s="24"/>
      <c r="D2" s="24"/>
      <c r="E2" s="24"/>
      <c r="F2" s="24"/>
      <c r="G2" s="24"/>
      <c r="H2" s="24"/>
      <c r="I2" s="24"/>
      <c r="J2" s="24"/>
      <c r="K2" s="24"/>
      <c r="L2" s="24"/>
      <c r="M2" s="24"/>
      <c r="N2" s="24"/>
      <c r="O2" s="24"/>
      <c r="P2" s="24"/>
      <c r="Q2" s="24"/>
      <c r="R2" s="24"/>
    </row>
    <row r="4" spans="1:18" ht="30" customHeight="1" x14ac:dyDescent="0.25">
      <c r="A4" s="4"/>
      <c r="B4" s="5" t="s">
        <v>35</v>
      </c>
      <c r="C4" s="5" t="s">
        <v>36</v>
      </c>
      <c r="D4" s="6" t="s">
        <v>35</v>
      </c>
      <c r="E4" s="21" t="s">
        <v>37</v>
      </c>
      <c r="F4" s="22"/>
      <c r="G4" s="21" t="s">
        <v>38</v>
      </c>
      <c r="H4" s="22"/>
      <c r="I4" s="21" t="s">
        <v>39</v>
      </c>
      <c r="J4" s="22"/>
      <c r="K4" s="21" t="s">
        <v>40</v>
      </c>
      <c r="L4" s="22"/>
      <c r="M4" s="21" t="s">
        <v>41</v>
      </c>
      <c r="N4" s="22"/>
      <c r="O4" s="21" t="s">
        <v>42</v>
      </c>
      <c r="P4" s="22"/>
      <c r="Q4" s="21" t="s">
        <v>43</v>
      </c>
      <c r="R4" s="22"/>
    </row>
    <row r="5" spans="1:18"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row>
    <row r="6" spans="1:18" x14ac:dyDescent="0.25">
      <c r="A6" s="9" t="s">
        <v>49</v>
      </c>
      <c r="B6" s="10"/>
      <c r="C6" s="10"/>
      <c r="D6" s="11"/>
      <c r="E6" s="10"/>
      <c r="F6" s="11"/>
      <c r="G6" s="10"/>
      <c r="H6" s="11"/>
      <c r="I6" s="10"/>
      <c r="J6" s="11"/>
      <c r="K6" s="10"/>
      <c r="L6" s="11"/>
      <c r="M6" s="10"/>
      <c r="N6" s="11"/>
      <c r="O6" s="10"/>
      <c r="P6" s="11"/>
      <c r="Q6" s="10"/>
      <c r="R6" s="12"/>
    </row>
    <row r="7" spans="1:18" x14ac:dyDescent="0.25">
      <c r="A7" s="11" t="s">
        <v>50</v>
      </c>
      <c r="B7" s="13">
        <v>14530</v>
      </c>
      <c r="C7" s="14">
        <f>(4103/B7*100)</f>
        <v>28.2381280110117</v>
      </c>
      <c r="D7" s="15">
        <v>10427</v>
      </c>
      <c r="E7" s="14">
        <v>48.966591280000003</v>
      </c>
      <c r="F7" s="16">
        <v>0.62854114999999999</v>
      </c>
      <c r="G7" s="14">
        <v>51.033408719999997</v>
      </c>
      <c r="H7" s="16">
        <v>0.62854114999999999</v>
      </c>
      <c r="I7" s="14">
        <v>0</v>
      </c>
      <c r="J7" s="16">
        <v>0</v>
      </c>
      <c r="K7" s="14" t="s">
        <v>51</v>
      </c>
      <c r="L7" s="16" t="s">
        <v>51</v>
      </c>
      <c r="M7" s="14">
        <v>0</v>
      </c>
      <c r="N7" s="16">
        <v>0</v>
      </c>
      <c r="O7" s="14">
        <v>0</v>
      </c>
      <c r="P7" s="16">
        <v>0</v>
      </c>
      <c r="Q7" s="14">
        <v>0</v>
      </c>
      <c r="R7" s="16">
        <v>0</v>
      </c>
    </row>
    <row r="8" spans="1:18"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row>
    <row r="9" spans="1:18" x14ac:dyDescent="0.25">
      <c r="A9" s="11" t="s">
        <v>172</v>
      </c>
      <c r="B9" s="13">
        <v>5675</v>
      </c>
      <c r="C9" s="14">
        <f>(389/B9*100)</f>
        <v>6.854625550660792</v>
      </c>
      <c r="D9" s="15">
        <v>5286</v>
      </c>
      <c r="E9" s="14">
        <v>9.6485633699999998</v>
      </c>
      <c r="F9" s="16">
        <v>0.42751841000000002</v>
      </c>
      <c r="G9" s="14">
        <v>9.6669583699999997</v>
      </c>
      <c r="H9" s="16">
        <v>0.42150035000000002</v>
      </c>
      <c r="I9" s="14">
        <v>0</v>
      </c>
      <c r="J9" s="16">
        <v>0</v>
      </c>
      <c r="K9" s="14" t="s">
        <v>51</v>
      </c>
      <c r="L9" s="16" t="s">
        <v>51</v>
      </c>
      <c r="M9" s="14">
        <v>80.684478260000006</v>
      </c>
      <c r="N9" s="16">
        <v>0.55718449999999997</v>
      </c>
      <c r="O9" s="14">
        <v>0</v>
      </c>
      <c r="P9" s="16">
        <v>0</v>
      </c>
      <c r="Q9" s="14">
        <v>0</v>
      </c>
      <c r="R9" s="16">
        <v>0</v>
      </c>
    </row>
    <row r="10" spans="1:18" x14ac:dyDescent="0.25">
      <c r="A10" s="11" t="s">
        <v>173</v>
      </c>
      <c r="B10" s="13">
        <v>13082</v>
      </c>
      <c r="C10" s="14">
        <f>(422/B10*100)</f>
        <v>3.225806451612903</v>
      </c>
      <c r="D10" s="15">
        <v>12660</v>
      </c>
      <c r="E10" s="14">
        <v>9.6772104999999993</v>
      </c>
      <c r="F10" s="16">
        <v>0.38192524</v>
      </c>
      <c r="G10" s="14">
        <v>14.212736939999999</v>
      </c>
      <c r="H10" s="16">
        <v>0.45306535999999997</v>
      </c>
      <c r="I10" s="14">
        <v>0</v>
      </c>
      <c r="J10" s="16">
        <v>0</v>
      </c>
      <c r="K10" s="14" t="s">
        <v>51</v>
      </c>
      <c r="L10" s="16" t="s">
        <v>51</v>
      </c>
      <c r="M10" s="14">
        <v>76.110052550000006</v>
      </c>
      <c r="N10" s="16">
        <v>0.37362687999999999</v>
      </c>
      <c r="O10" s="14">
        <v>0</v>
      </c>
      <c r="P10" s="16">
        <v>0</v>
      </c>
      <c r="Q10" s="14">
        <v>0</v>
      </c>
      <c r="R10" s="16">
        <v>0</v>
      </c>
    </row>
    <row r="11" spans="1:18" x14ac:dyDescent="0.25">
      <c r="A11" s="11" t="s">
        <v>54</v>
      </c>
      <c r="B11" s="13">
        <v>7053</v>
      </c>
      <c r="C11" s="14">
        <f>(342/B11*100)</f>
        <v>4.8490004253509147</v>
      </c>
      <c r="D11" s="15">
        <v>6711</v>
      </c>
      <c r="E11" s="14">
        <v>8.7023207899999999</v>
      </c>
      <c r="F11" s="16">
        <v>0.34955186999999999</v>
      </c>
      <c r="G11" s="14">
        <v>12.89177465</v>
      </c>
      <c r="H11" s="16">
        <v>0.40497464</v>
      </c>
      <c r="I11" s="14">
        <v>0</v>
      </c>
      <c r="J11" s="16">
        <v>0</v>
      </c>
      <c r="K11" s="14" t="s">
        <v>51</v>
      </c>
      <c r="L11" s="16" t="s">
        <v>51</v>
      </c>
      <c r="M11" s="14">
        <v>78.405904559999996</v>
      </c>
      <c r="N11" s="16">
        <v>0.41070288999999999</v>
      </c>
      <c r="O11" s="14">
        <v>0</v>
      </c>
      <c r="P11" s="16">
        <v>0</v>
      </c>
      <c r="Q11" s="14">
        <v>0</v>
      </c>
      <c r="R11" s="16">
        <v>0</v>
      </c>
    </row>
    <row r="12" spans="1:18"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row>
    <row r="13" spans="1:18"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row>
    <row r="14" spans="1:18"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row>
    <row r="15" spans="1:18"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row>
    <row r="16" spans="1:18"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row>
    <row r="17" spans="1:18"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row>
    <row r="18" spans="1:18"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row>
    <row r="19" spans="1:18"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row>
    <row r="20" spans="1:18"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row>
    <row r="21" spans="1:18"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row>
    <row r="22" spans="1:18"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row>
    <row r="23" spans="1:18" x14ac:dyDescent="0.25">
      <c r="A23" s="11" t="s">
        <v>66</v>
      </c>
      <c r="B23" s="13">
        <v>11583</v>
      </c>
      <c r="C23" s="14">
        <f>(766/B23*100)</f>
        <v>6.6131399464732805</v>
      </c>
      <c r="D23" s="15">
        <v>10817</v>
      </c>
      <c r="E23" s="14">
        <v>6.5105886899999996</v>
      </c>
      <c r="F23" s="16">
        <v>0.28577226</v>
      </c>
      <c r="G23" s="14">
        <v>14.692324729999999</v>
      </c>
      <c r="H23" s="16">
        <v>0.39300793000000001</v>
      </c>
      <c r="I23" s="14">
        <v>0</v>
      </c>
      <c r="J23" s="16">
        <v>0</v>
      </c>
      <c r="K23" s="14" t="s">
        <v>51</v>
      </c>
      <c r="L23" s="16" t="s">
        <v>51</v>
      </c>
      <c r="M23" s="14">
        <v>78.797086579999998</v>
      </c>
      <c r="N23" s="16">
        <v>0.34674459000000002</v>
      </c>
      <c r="O23" s="14">
        <v>0</v>
      </c>
      <c r="P23" s="16">
        <v>0</v>
      </c>
      <c r="Q23" s="14">
        <v>0</v>
      </c>
      <c r="R23" s="16">
        <v>0</v>
      </c>
    </row>
    <row r="24" spans="1:18"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row>
    <row r="25" spans="1:18"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row>
    <row r="26" spans="1:18"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row>
    <row r="27" spans="1:18"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row>
    <row r="28" spans="1:18"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row>
    <row r="29" spans="1:18" x14ac:dyDescent="0.25">
      <c r="A29" s="11" t="s">
        <v>72</v>
      </c>
      <c r="B29" s="13">
        <v>5385</v>
      </c>
      <c r="C29" s="14">
        <f>(90/B29*100)</f>
        <v>1.6713091922005572</v>
      </c>
      <c r="D29" s="15">
        <v>5295</v>
      </c>
      <c r="E29" s="14">
        <v>9.9779499099999995</v>
      </c>
      <c r="F29" s="16">
        <v>0.36789240000000001</v>
      </c>
      <c r="G29" s="14">
        <v>14.16612937</v>
      </c>
      <c r="H29" s="16">
        <v>0.3918681</v>
      </c>
      <c r="I29" s="14">
        <v>0</v>
      </c>
      <c r="J29" s="16">
        <v>0</v>
      </c>
      <c r="K29" s="14" t="s">
        <v>51</v>
      </c>
      <c r="L29" s="16" t="s">
        <v>51</v>
      </c>
      <c r="M29" s="14">
        <v>75.85592072</v>
      </c>
      <c r="N29" s="16">
        <v>0.30255479000000002</v>
      </c>
      <c r="O29" s="14">
        <v>0</v>
      </c>
      <c r="P29" s="16">
        <v>0</v>
      </c>
      <c r="Q29" s="14">
        <v>0</v>
      </c>
      <c r="R29" s="16">
        <v>0</v>
      </c>
    </row>
    <row r="30" spans="1:18"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row>
    <row r="31" spans="1:18"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row>
    <row r="32" spans="1:18" x14ac:dyDescent="0.25">
      <c r="A32" s="11" t="s">
        <v>75</v>
      </c>
      <c r="B32" s="13">
        <v>4478</v>
      </c>
      <c r="C32" s="14">
        <f>(167/B32*100)</f>
        <v>3.7293434569004016</v>
      </c>
      <c r="D32" s="15">
        <v>4311</v>
      </c>
      <c r="E32" s="14">
        <v>17.186872810000001</v>
      </c>
      <c r="F32" s="16">
        <v>0.53210113999999997</v>
      </c>
      <c r="G32" s="14">
        <v>19.31120134</v>
      </c>
      <c r="H32" s="16">
        <v>0.51077718000000005</v>
      </c>
      <c r="I32" s="14">
        <v>0</v>
      </c>
      <c r="J32" s="16">
        <v>0</v>
      </c>
      <c r="K32" s="14" t="s">
        <v>51</v>
      </c>
      <c r="L32" s="16" t="s">
        <v>51</v>
      </c>
      <c r="M32" s="14">
        <v>63.501925839999998</v>
      </c>
      <c r="N32" s="16">
        <v>0.34650539000000002</v>
      </c>
      <c r="O32" s="14">
        <v>0</v>
      </c>
      <c r="P32" s="16">
        <v>0</v>
      </c>
      <c r="Q32" s="14">
        <v>0</v>
      </c>
      <c r="R32" s="16">
        <v>0</v>
      </c>
    </row>
    <row r="33" spans="1:18"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row>
    <row r="34" spans="1:18" x14ac:dyDescent="0.25">
      <c r="A34" s="11" t="s">
        <v>77</v>
      </c>
      <c r="B34" s="13">
        <v>6350</v>
      </c>
      <c r="C34" s="14">
        <f>(361/B34*100)</f>
        <v>5.6850393700787398</v>
      </c>
      <c r="D34" s="15">
        <v>5989</v>
      </c>
      <c r="E34" s="14">
        <v>10.249088240000001</v>
      </c>
      <c r="F34" s="16">
        <v>0.37988240000000001</v>
      </c>
      <c r="G34" s="14">
        <v>10.706408659999999</v>
      </c>
      <c r="H34" s="16">
        <v>0.42504523999999999</v>
      </c>
      <c r="I34" s="14">
        <v>0</v>
      </c>
      <c r="J34" s="16">
        <v>0</v>
      </c>
      <c r="K34" s="14" t="s">
        <v>51</v>
      </c>
      <c r="L34" s="16" t="s">
        <v>51</v>
      </c>
      <c r="M34" s="14">
        <v>79.044503109999994</v>
      </c>
      <c r="N34" s="16">
        <v>0.42678914000000001</v>
      </c>
      <c r="O34" s="14">
        <v>0</v>
      </c>
      <c r="P34" s="16">
        <v>0</v>
      </c>
      <c r="Q34" s="14">
        <v>0</v>
      </c>
      <c r="R34" s="16">
        <v>0</v>
      </c>
    </row>
    <row r="35" spans="1:18"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row>
    <row r="36" spans="1:18" x14ac:dyDescent="0.25">
      <c r="A36" s="11" t="s">
        <v>79</v>
      </c>
      <c r="B36" s="13">
        <v>6736</v>
      </c>
      <c r="C36" s="14">
        <f>(308/B36*100)</f>
        <v>4.5724465558194778</v>
      </c>
      <c r="D36" s="15">
        <v>6428</v>
      </c>
      <c r="E36" s="14">
        <v>8.10801938</v>
      </c>
      <c r="F36" s="16">
        <v>0.35309562</v>
      </c>
      <c r="G36" s="14">
        <v>14.40129627</v>
      </c>
      <c r="H36" s="16">
        <v>0.40705954999999999</v>
      </c>
      <c r="I36" s="14">
        <v>0</v>
      </c>
      <c r="J36" s="16">
        <v>0</v>
      </c>
      <c r="K36" s="14" t="s">
        <v>51</v>
      </c>
      <c r="L36" s="16" t="s">
        <v>51</v>
      </c>
      <c r="M36" s="14">
        <v>77.490684360000003</v>
      </c>
      <c r="N36" s="16">
        <v>0.30080962</v>
      </c>
      <c r="O36" s="14">
        <v>0</v>
      </c>
      <c r="P36" s="16">
        <v>0</v>
      </c>
      <c r="Q36" s="14">
        <v>0</v>
      </c>
      <c r="R36" s="16">
        <v>0</v>
      </c>
    </row>
    <row r="37" spans="1:18"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row>
    <row r="38" spans="1:18"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row>
    <row r="39" spans="1:18"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row>
    <row r="40" spans="1:18"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row>
    <row r="41" spans="1:18" x14ac:dyDescent="0.25">
      <c r="A41" s="11" t="s">
        <v>84</v>
      </c>
      <c r="B41" s="13">
        <v>5712</v>
      </c>
      <c r="C41" s="14">
        <f>(189/B41*100)</f>
        <v>3.3088235294117649</v>
      </c>
      <c r="D41" s="15">
        <v>5523</v>
      </c>
      <c r="E41" s="14">
        <v>10.28277533</v>
      </c>
      <c r="F41" s="16">
        <v>0.38764275999999998</v>
      </c>
      <c r="G41" s="14">
        <v>13.251624469999999</v>
      </c>
      <c r="H41" s="16">
        <v>0.43311329999999998</v>
      </c>
      <c r="I41" s="14">
        <v>0</v>
      </c>
      <c r="J41" s="16">
        <v>0</v>
      </c>
      <c r="K41" s="14" t="s">
        <v>51</v>
      </c>
      <c r="L41" s="16" t="s">
        <v>51</v>
      </c>
      <c r="M41" s="14">
        <v>76.465600199999997</v>
      </c>
      <c r="N41" s="16">
        <v>0.37395584999999998</v>
      </c>
      <c r="O41" s="14">
        <v>0</v>
      </c>
      <c r="P41" s="16">
        <v>0</v>
      </c>
      <c r="Q41" s="14">
        <v>0</v>
      </c>
      <c r="R41" s="16">
        <v>0</v>
      </c>
    </row>
    <row r="42" spans="1:18" x14ac:dyDescent="0.25">
      <c r="A42" s="11" t="s">
        <v>85</v>
      </c>
      <c r="B42" s="13">
        <f>IF(COUNT(B7:B41) &gt; 0, AVERAGE(B7:B41), "\u2014")</f>
        <v>8058.4</v>
      </c>
      <c r="C42" s="14">
        <f>IF(COUNT(C7:C41) &gt; 0, AVERAGE(C7:C41), "—")</f>
        <v>6.8747662489520547</v>
      </c>
      <c r="D42" s="15">
        <f>IF(COUNT(D7:D41) &gt; 0, AVERAGE(D7:D41), "—")</f>
        <v>7344.7</v>
      </c>
      <c r="E42" s="14">
        <f>IF(COUNT(E7:E41) &gt; 0, AVERAGE(E7:E41), "—")</f>
        <v>13.930998030000001</v>
      </c>
      <c r="F42" s="16">
        <f>IF(COUNT(F7:F41) &gt; 0, SQRT(SUMSQ(F7:F41)/(COUNT(F7:F41)*COUNT(F7:F41)) ), "—")</f>
        <v>0.13286405295367648</v>
      </c>
      <c r="G42" s="14">
        <f>IF(COUNT(G7:G41) &gt; 0, AVERAGE(G7:G41), "—")</f>
        <v>17.433386351999996</v>
      </c>
      <c r="H42" s="16">
        <f>IF(COUNT(H7:H41) &gt; 0, SQRT(SUMSQ(H7:H41)/(COUNT(H7:H41)*COUNT(H7:H41)) ), "—")</f>
        <v>0.14299847671033078</v>
      </c>
      <c r="I42" s="14">
        <f>IF(COUNT(I7:I41) &gt; 0, AVERAGE(I7:I41), "—")</f>
        <v>0</v>
      </c>
      <c r="J42" s="16">
        <f>IF(COUNT(J7:J41) &gt; 0, SQRT(SUMSQ(J7:J41)/(COUNT(J7:J41)*COUNT(J7:J41)) ), "—")</f>
        <v>0</v>
      </c>
      <c r="K42" s="14" t="str">
        <f>IF(COUNT(K7:K41) &gt; 0, AVERAGE(K7:K41), "—")</f>
        <v>—</v>
      </c>
      <c r="L42" s="16" t="str">
        <f>IF(COUNT(L7:L41) &gt; 0, SQRT(SUMSQ(L7:L41)/(COUNT(L7:L41)*COUNT(L7:L41)) ), "—")</f>
        <v>—</v>
      </c>
      <c r="M42" s="14">
        <f>IF(COUNT(M7:M41) &gt; 0, AVERAGE(M7:M41), "—")</f>
        <v>68.635615618000017</v>
      </c>
      <c r="N42" s="16">
        <f>IF(COUNT(N7:N41) &gt; 0, SQRT(SUMSQ(N7:N41)/(COUNT(N7:N41)*COUNT(N7:N41)) ), "—")</f>
        <v>0.11674947745296796</v>
      </c>
      <c r="O42" s="14">
        <f>IF(COUNT(O7:O41) &gt; 0, AVERAGE(O7:O41), "—")</f>
        <v>0</v>
      </c>
      <c r="P42" s="16">
        <f>IF(COUNT(P7:P41) &gt; 0, SQRT(SUMSQ(P7:P41)/(COUNT(P7:P41)*COUNT(P7:P41)) ), "—")</f>
        <v>0</v>
      </c>
      <c r="Q42" s="14">
        <f>IF(COUNT(Q7:Q41) &gt; 0, AVERAGE(Q7:Q41), "—")</f>
        <v>0</v>
      </c>
      <c r="R42" s="16">
        <f>IF(COUNT(R7:R41) &gt; 0, SQRT(SUMSQ(R7:R41)/(COUNT(R7:R41)*COUNT(R7:R41)) ), "—")</f>
        <v>0</v>
      </c>
    </row>
    <row r="43" spans="1:18" x14ac:dyDescent="0.25">
      <c r="A43" s="9" t="s">
        <v>86</v>
      </c>
      <c r="B43" s="10"/>
      <c r="C43" s="10"/>
      <c r="D43" s="11"/>
      <c r="E43" s="10"/>
      <c r="F43" s="11"/>
      <c r="G43" s="10"/>
      <c r="H43" s="11"/>
      <c r="I43" s="10"/>
      <c r="J43" s="11"/>
      <c r="K43" s="10"/>
      <c r="L43" s="11"/>
      <c r="M43" s="10"/>
      <c r="N43" s="11"/>
      <c r="O43" s="10"/>
      <c r="P43" s="11"/>
      <c r="Q43" s="10"/>
      <c r="R43" s="12"/>
    </row>
    <row r="44" spans="1:18"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row>
    <row r="45" spans="1:18"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row>
    <row r="46" spans="1:18" x14ac:dyDescent="0.25">
      <c r="A46" s="11" t="s">
        <v>89</v>
      </c>
      <c r="B46" s="13">
        <v>23141</v>
      </c>
      <c r="C46" s="14">
        <f>(4146/B46*100)</f>
        <v>17.916252538783979</v>
      </c>
      <c r="D46" s="15">
        <v>18995</v>
      </c>
      <c r="E46" s="14">
        <v>6.1211205800000004</v>
      </c>
      <c r="F46" s="16">
        <v>0.27868852</v>
      </c>
      <c r="G46" s="14">
        <v>5.04625959</v>
      </c>
      <c r="H46" s="16">
        <v>0.22478173000000001</v>
      </c>
      <c r="I46" s="14">
        <v>0</v>
      </c>
      <c r="J46" s="16">
        <v>0</v>
      </c>
      <c r="K46" s="14" t="s">
        <v>51</v>
      </c>
      <c r="L46" s="16" t="s">
        <v>51</v>
      </c>
      <c r="M46" s="14">
        <v>88.832619820000005</v>
      </c>
      <c r="N46" s="16">
        <v>0.38107459999999999</v>
      </c>
      <c r="O46" s="14">
        <v>0</v>
      </c>
      <c r="P46" s="16">
        <v>0</v>
      </c>
      <c r="Q46" s="14">
        <v>0</v>
      </c>
      <c r="R46" s="16">
        <v>0</v>
      </c>
    </row>
    <row r="47" spans="1:18"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row>
    <row r="48" spans="1:18" x14ac:dyDescent="0.25">
      <c r="A48" s="11" t="s">
        <v>91</v>
      </c>
      <c r="B48" s="13">
        <v>9841</v>
      </c>
      <c r="C48" s="14">
        <f>(167/B48*100)</f>
        <v>1.696982014022965</v>
      </c>
      <c r="D48" s="15">
        <v>9674</v>
      </c>
      <c r="E48" s="14">
        <v>11.155618860000001</v>
      </c>
      <c r="F48" s="16">
        <v>0.36082768999999998</v>
      </c>
      <c r="G48" s="14">
        <v>13.07302172</v>
      </c>
      <c r="H48" s="16">
        <v>0.40335768999999999</v>
      </c>
      <c r="I48" s="14">
        <v>0</v>
      </c>
      <c r="J48" s="16">
        <v>0</v>
      </c>
      <c r="K48" s="14" t="s">
        <v>51</v>
      </c>
      <c r="L48" s="16" t="s">
        <v>51</v>
      </c>
      <c r="M48" s="14">
        <v>75.771359419999996</v>
      </c>
      <c r="N48" s="16">
        <v>0.32496331000000001</v>
      </c>
      <c r="O48" s="14">
        <v>0</v>
      </c>
      <c r="P48" s="16">
        <v>0</v>
      </c>
      <c r="Q48" s="14">
        <v>0</v>
      </c>
      <c r="R48" s="16">
        <v>0</v>
      </c>
    </row>
    <row r="49" spans="1:18"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row>
    <row r="50" spans="1:18"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row>
    <row r="51" spans="1:18"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row>
    <row r="52" spans="1:18"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row>
    <row r="53" spans="1:18"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row>
    <row r="54" spans="1:18"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row>
    <row r="55" spans="1:18"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row>
    <row r="56" spans="1:18"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row>
    <row r="57" spans="1:18"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row>
    <row r="58" spans="1:18"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row>
    <row r="59" spans="1:18"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row>
    <row r="60" spans="1:18"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row>
    <row r="61" spans="1:18" x14ac:dyDescent="0.25">
      <c r="A61" s="11" t="s">
        <v>104</v>
      </c>
      <c r="B61" s="13">
        <v>6525</v>
      </c>
      <c r="C61" s="14">
        <f>(213/B61*100)</f>
        <v>3.2643678160919536</v>
      </c>
      <c r="D61" s="15">
        <v>6312</v>
      </c>
      <c r="E61" s="14">
        <v>11.064684059999999</v>
      </c>
      <c r="F61" s="16">
        <v>0.38906134999999997</v>
      </c>
      <c r="G61" s="14">
        <v>13.16214347</v>
      </c>
      <c r="H61" s="16">
        <v>0.41800472</v>
      </c>
      <c r="I61" s="14">
        <v>0</v>
      </c>
      <c r="J61" s="16">
        <v>0</v>
      </c>
      <c r="K61" s="14" t="s">
        <v>51</v>
      </c>
      <c r="L61" s="16" t="s">
        <v>51</v>
      </c>
      <c r="M61" s="14">
        <v>75.773172470000006</v>
      </c>
      <c r="N61" s="16">
        <v>0.39988002</v>
      </c>
      <c r="O61" s="14">
        <v>0</v>
      </c>
      <c r="P61" s="16">
        <v>0</v>
      </c>
      <c r="Q61" s="14">
        <v>0</v>
      </c>
      <c r="R61" s="16">
        <v>0</v>
      </c>
    </row>
    <row r="62" spans="1:18"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row>
    <row r="63" spans="1:18"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row>
    <row r="64" spans="1:18"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row>
    <row r="65" spans="1:18"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row>
    <row r="66" spans="1:18"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row>
    <row r="67" spans="1:18" x14ac:dyDescent="0.25">
      <c r="A67" s="11" t="s">
        <v>110</v>
      </c>
      <c r="B67" s="13">
        <v>6971</v>
      </c>
      <c r="C67" s="14">
        <f>(879/B67*100)</f>
        <v>12.609381724286328</v>
      </c>
      <c r="D67" s="15">
        <v>6092</v>
      </c>
      <c r="E67" s="14">
        <v>6.98650825</v>
      </c>
      <c r="F67" s="16">
        <v>0.37009252999999998</v>
      </c>
      <c r="G67" s="14">
        <v>8.2944346000000007</v>
      </c>
      <c r="H67" s="16">
        <v>0.45104117999999999</v>
      </c>
      <c r="I67" s="14">
        <v>0</v>
      </c>
      <c r="J67" s="16">
        <v>0</v>
      </c>
      <c r="K67" s="14" t="s">
        <v>51</v>
      </c>
      <c r="L67" s="16" t="s">
        <v>51</v>
      </c>
      <c r="M67" s="14">
        <v>84.719057149999998</v>
      </c>
      <c r="N67" s="16">
        <v>0.56120429000000005</v>
      </c>
      <c r="O67" s="14">
        <v>0</v>
      </c>
      <c r="P67" s="16">
        <v>0</v>
      </c>
      <c r="Q67" s="14">
        <v>0</v>
      </c>
      <c r="R67" s="16">
        <v>0</v>
      </c>
    </row>
    <row r="68" spans="1:18"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row>
    <row r="69" spans="1:18"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row>
    <row r="70" spans="1:18" x14ac:dyDescent="0.25">
      <c r="A70" s="11" t="s">
        <v>113</v>
      </c>
      <c r="B70" s="13">
        <v>6036</v>
      </c>
      <c r="C70" s="14">
        <f>(454/B70*100)</f>
        <v>7.5215374420145791</v>
      </c>
      <c r="D70" s="15">
        <v>5582</v>
      </c>
      <c r="E70" s="14">
        <v>7.1026700199999997</v>
      </c>
      <c r="F70" s="16">
        <v>0.3842836</v>
      </c>
      <c r="G70" s="14">
        <v>12.43903044</v>
      </c>
      <c r="H70" s="16">
        <v>0.49838558999999999</v>
      </c>
      <c r="I70" s="14">
        <v>0</v>
      </c>
      <c r="J70" s="16">
        <v>0</v>
      </c>
      <c r="K70" s="14" t="s">
        <v>51</v>
      </c>
      <c r="L70" s="16" t="s">
        <v>51</v>
      </c>
      <c r="M70" s="14">
        <v>80.458299550000007</v>
      </c>
      <c r="N70" s="16">
        <v>0.58950172999999995</v>
      </c>
      <c r="O70" s="14">
        <v>0</v>
      </c>
      <c r="P70" s="16">
        <v>0</v>
      </c>
      <c r="Q70" s="14">
        <v>0</v>
      </c>
      <c r="R70" s="16">
        <v>0</v>
      </c>
    </row>
    <row r="71" spans="1:18"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row>
    <row r="72" spans="1:18"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row>
    <row r="73" spans="1:18"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row>
    <row r="74" spans="1:18"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row>
    <row r="75" spans="1:18"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row>
    <row r="76" spans="1:18"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row>
    <row r="77" spans="1:18"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row>
    <row r="78" spans="1:18"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row>
    <row r="79" spans="1:18"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row>
    <row r="80" spans="1:18"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row>
    <row r="81" spans="1:18"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row>
    <row r="82" spans="1:18"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row>
    <row r="83" spans="1:18" x14ac:dyDescent="0.25">
      <c r="A83" s="3" t="s">
        <v>126</v>
      </c>
    </row>
    <row r="84" spans="1:18" x14ac:dyDescent="0.25">
      <c r="A84" s="26" t="s">
        <v>127</v>
      </c>
      <c r="B84" s="24"/>
      <c r="C84" s="24"/>
      <c r="D84" s="24"/>
      <c r="E84" s="24"/>
      <c r="F84" s="24"/>
      <c r="G84" s="24"/>
      <c r="H84" s="24"/>
      <c r="I84" s="24"/>
      <c r="J84" s="24"/>
      <c r="K84" s="24"/>
      <c r="L84" s="24"/>
      <c r="M84" s="24"/>
      <c r="N84" s="24"/>
      <c r="O84" s="24"/>
      <c r="P84" s="24"/>
      <c r="Q84" s="24"/>
      <c r="R84" s="24"/>
    </row>
    <row r="85" spans="1:18" x14ac:dyDescent="0.25">
      <c r="A85" s="26" t="s">
        <v>128</v>
      </c>
      <c r="B85" s="24"/>
      <c r="C85" s="24"/>
      <c r="D85" s="24"/>
      <c r="E85" s="24"/>
      <c r="F85" s="24"/>
      <c r="G85" s="24"/>
      <c r="H85" s="24"/>
      <c r="I85" s="24"/>
      <c r="J85" s="24"/>
      <c r="K85" s="24"/>
      <c r="L85" s="24"/>
      <c r="M85" s="24"/>
      <c r="N85" s="24"/>
      <c r="O85" s="24"/>
      <c r="P85" s="24"/>
      <c r="Q85" s="24"/>
      <c r="R85" s="24"/>
    </row>
    <row r="86" spans="1:18" ht="30" customHeight="1" x14ac:dyDescent="0.25">
      <c r="A86" s="26" t="s">
        <v>129</v>
      </c>
      <c r="B86" s="24"/>
      <c r="C86" s="24"/>
      <c r="D86" s="24"/>
      <c r="E86" s="24"/>
      <c r="F86" s="24"/>
      <c r="G86" s="24"/>
      <c r="H86" s="24"/>
      <c r="I86" s="24"/>
      <c r="J86" s="24"/>
      <c r="K86" s="24"/>
      <c r="L86" s="24"/>
      <c r="M86" s="24"/>
      <c r="N86" s="24"/>
      <c r="O86" s="24"/>
      <c r="P86" s="24"/>
      <c r="Q86" s="24"/>
      <c r="R86" s="24"/>
    </row>
    <row r="87" spans="1:18" ht="30" customHeight="1" x14ac:dyDescent="0.25">
      <c r="A87" s="26" t="s">
        <v>125</v>
      </c>
      <c r="B87" s="24"/>
      <c r="C87" s="24"/>
      <c r="D87" s="24"/>
      <c r="E87" s="24"/>
      <c r="F87" s="24"/>
      <c r="G87" s="24"/>
      <c r="H87" s="24"/>
      <c r="I87" s="24"/>
      <c r="J87" s="24"/>
      <c r="K87" s="24"/>
      <c r="L87" s="24"/>
      <c r="M87" s="24"/>
      <c r="N87" s="24"/>
      <c r="O87" s="24"/>
      <c r="P87" s="24"/>
      <c r="Q87" s="24"/>
      <c r="R87" s="24"/>
    </row>
    <row r="88" spans="1:18" ht="30" customHeight="1" x14ac:dyDescent="0.25">
      <c r="A88" s="26" t="s">
        <v>130</v>
      </c>
      <c r="B88" s="24"/>
      <c r="C88" s="24"/>
      <c r="D88" s="24"/>
      <c r="E88" s="24"/>
      <c r="F88" s="24"/>
      <c r="G88" s="24"/>
      <c r="H88" s="24"/>
      <c r="I88" s="24"/>
      <c r="J88" s="24"/>
      <c r="K88" s="24"/>
      <c r="L88" s="24"/>
      <c r="M88" s="24"/>
      <c r="N88" s="24"/>
      <c r="O88" s="24"/>
      <c r="P88" s="24"/>
      <c r="Q88" s="24"/>
      <c r="R88" s="24"/>
    </row>
    <row r="89" spans="1:18" ht="30" customHeight="1" x14ac:dyDescent="0.25">
      <c r="A89" s="26" t="s">
        <v>131</v>
      </c>
      <c r="B89" s="24"/>
      <c r="C89" s="24"/>
      <c r="D89" s="24"/>
      <c r="E89" s="24"/>
      <c r="F89" s="24"/>
      <c r="G89" s="24"/>
      <c r="H89" s="24"/>
      <c r="I89" s="24"/>
      <c r="J89" s="24"/>
      <c r="K89" s="24"/>
      <c r="L89" s="24"/>
      <c r="M89" s="24"/>
      <c r="N89" s="24"/>
      <c r="O89" s="24"/>
      <c r="P89" s="24"/>
      <c r="Q89" s="24"/>
      <c r="R89" s="24"/>
    </row>
    <row r="90" spans="1:18" ht="30" customHeight="1" x14ac:dyDescent="0.25">
      <c r="A90" s="26" t="s">
        <v>132</v>
      </c>
      <c r="B90" s="24"/>
      <c r="C90" s="24"/>
      <c r="D90" s="24"/>
      <c r="E90" s="24"/>
      <c r="F90" s="24"/>
      <c r="G90" s="24"/>
      <c r="H90" s="24"/>
      <c r="I90" s="24"/>
      <c r="J90" s="24"/>
      <c r="K90" s="24"/>
      <c r="L90" s="24"/>
      <c r="M90" s="24"/>
      <c r="N90" s="24"/>
      <c r="O90" s="24"/>
      <c r="P90" s="24"/>
      <c r="Q90" s="24"/>
      <c r="R90" s="24"/>
    </row>
    <row r="91" spans="1:18" ht="30" customHeight="1" x14ac:dyDescent="0.25">
      <c r="A91" s="26" t="s">
        <v>133</v>
      </c>
      <c r="B91" s="24"/>
      <c r="C91" s="24"/>
      <c r="D91" s="24"/>
      <c r="E91" s="24"/>
      <c r="F91" s="24"/>
      <c r="G91" s="24"/>
      <c r="H91" s="24"/>
      <c r="I91" s="24"/>
      <c r="J91" s="24"/>
      <c r="K91" s="24"/>
      <c r="L91" s="24"/>
      <c r="M91" s="24"/>
      <c r="N91" s="24"/>
      <c r="O91" s="24"/>
      <c r="P91" s="24"/>
      <c r="Q91" s="24"/>
      <c r="R91" s="24"/>
    </row>
    <row r="92" spans="1:18" ht="30" customHeight="1" x14ac:dyDescent="0.25">
      <c r="A92" s="26" t="s">
        <v>134</v>
      </c>
      <c r="B92" s="24"/>
      <c r="C92" s="24"/>
      <c r="D92" s="24"/>
      <c r="E92" s="24"/>
      <c r="F92" s="24"/>
      <c r="G92" s="24"/>
      <c r="H92" s="24"/>
      <c r="I92" s="24"/>
      <c r="J92" s="24"/>
      <c r="K92" s="24"/>
      <c r="L92" s="24"/>
      <c r="M92" s="24"/>
      <c r="N92" s="24"/>
      <c r="O92" s="24"/>
      <c r="P92" s="24"/>
      <c r="Q92" s="24"/>
      <c r="R92" s="24"/>
    </row>
    <row r="93" spans="1:18" ht="30" customHeight="1" x14ac:dyDescent="0.25">
      <c r="A93" s="26" t="s">
        <v>135</v>
      </c>
      <c r="B93" s="24"/>
      <c r="C93" s="24"/>
      <c r="D93" s="24"/>
      <c r="E93" s="24"/>
      <c r="F93" s="24"/>
      <c r="G93" s="24"/>
      <c r="H93" s="24"/>
      <c r="I93" s="24"/>
      <c r="J93" s="24"/>
      <c r="K93" s="24"/>
      <c r="L93" s="24"/>
      <c r="M93" s="24"/>
      <c r="N93" s="24"/>
      <c r="O93" s="24"/>
      <c r="P93" s="24"/>
      <c r="Q93" s="24"/>
      <c r="R93" s="24"/>
    </row>
    <row r="94" spans="1:18" ht="30" customHeight="1" x14ac:dyDescent="0.25">
      <c r="A94" s="26" t="s">
        <v>136</v>
      </c>
      <c r="B94" s="24"/>
      <c r="C94" s="24"/>
      <c r="D94" s="24"/>
      <c r="E94" s="24"/>
      <c r="F94" s="24"/>
      <c r="G94" s="24"/>
      <c r="H94" s="24"/>
      <c r="I94" s="24"/>
      <c r="J94" s="24"/>
      <c r="K94" s="24"/>
      <c r="L94" s="24"/>
      <c r="M94" s="24"/>
      <c r="N94" s="24"/>
      <c r="O94" s="24"/>
      <c r="P94" s="24"/>
      <c r="Q94" s="24"/>
      <c r="R94" s="24"/>
    </row>
    <row r="95" spans="1:18" ht="30" customHeight="1" x14ac:dyDescent="0.25">
      <c r="A95" s="26" t="s">
        <v>137</v>
      </c>
      <c r="B95" s="24"/>
      <c r="C95" s="24"/>
      <c r="D95" s="24"/>
      <c r="E95" s="24"/>
      <c r="F95" s="24"/>
      <c r="G95" s="24"/>
      <c r="H95" s="24"/>
      <c r="I95" s="24"/>
      <c r="J95" s="24"/>
      <c r="K95" s="24"/>
      <c r="L95" s="24"/>
      <c r="M95" s="24"/>
      <c r="N95" s="24"/>
      <c r="O95" s="24"/>
      <c r="P95" s="24"/>
      <c r="Q95" s="24"/>
      <c r="R95" s="24"/>
    </row>
    <row r="96" spans="1:18" ht="30" customHeight="1" x14ac:dyDescent="0.25">
      <c r="A96" s="26" t="s">
        <v>138</v>
      </c>
      <c r="B96" s="24"/>
      <c r="C96" s="24"/>
      <c r="D96" s="24"/>
      <c r="E96" s="24"/>
      <c r="F96" s="24"/>
      <c r="G96" s="24"/>
      <c r="H96" s="24"/>
      <c r="I96" s="24"/>
      <c r="J96" s="24"/>
      <c r="K96" s="24"/>
      <c r="L96" s="24"/>
      <c r="M96" s="24"/>
      <c r="N96" s="24"/>
      <c r="O96" s="24"/>
      <c r="P96" s="24"/>
      <c r="Q96" s="24"/>
      <c r="R96" s="24"/>
    </row>
    <row r="97" spans="1:1" ht="30" customHeight="1" x14ac:dyDescent="0.25">
      <c r="A97" s="27" t="s">
        <v>171</v>
      </c>
    </row>
  </sheetData>
  <mergeCells count="22">
    <mergeCell ref="A95:R95"/>
    <mergeCell ref="A96:R96"/>
    <mergeCell ref="A90:R90"/>
    <mergeCell ref="A91:R91"/>
    <mergeCell ref="A92:R92"/>
    <mergeCell ref="A93:R93"/>
    <mergeCell ref="A94:R94"/>
    <mergeCell ref="A85:R85"/>
    <mergeCell ref="A86:R86"/>
    <mergeCell ref="A87:R87"/>
    <mergeCell ref="A88:R88"/>
    <mergeCell ref="A89:R89"/>
    <mergeCell ref="O4:P4"/>
    <mergeCell ref="Q4:R4"/>
    <mergeCell ref="A1:R1"/>
    <mergeCell ref="A2:R2"/>
    <mergeCell ref="A84:R84"/>
    <mergeCell ref="E4:F4"/>
    <mergeCell ref="G4:H4"/>
    <mergeCell ref="I4:J4"/>
    <mergeCell ref="K4:L4"/>
    <mergeCell ref="M4:N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tabSelected="1" zoomScale="80" workbookViewId="0">
      <pane xSplit="4" topLeftCell="E1" activePane="topRight" state="frozen"/>
      <selection activeCell="F47" sqref="F47"/>
      <selection pane="topRight" activeCell="F47" sqref="F47"/>
    </sheetView>
  </sheetViews>
  <sheetFormatPr defaultColWidth="11.42578125" defaultRowHeight="15" x14ac:dyDescent="0.25"/>
  <cols>
    <col min="1" max="1" width="50" customWidth="1"/>
  </cols>
  <sheetData>
    <row r="1" spans="1:18" x14ac:dyDescent="0.25">
      <c r="A1" s="23" t="s">
        <v>33</v>
      </c>
      <c r="B1" s="24"/>
      <c r="C1" s="24"/>
      <c r="D1" s="24"/>
      <c r="E1" s="24"/>
      <c r="F1" s="24"/>
      <c r="G1" s="24"/>
      <c r="H1" s="24"/>
      <c r="I1" s="24"/>
      <c r="J1" s="24"/>
      <c r="K1" s="24"/>
      <c r="L1" s="24"/>
      <c r="M1" s="24"/>
      <c r="N1" s="24"/>
      <c r="O1" s="24"/>
      <c r="P1" s="24"/>
      <c r="Q1" s="24"/>
      <c r="R1" s="24"/>
    </row>
    <row r="2" spans="1:18" x14ac:dyDescent="0.25">
      <c r="A2" s="25" t="s">
        <v>154</v>
      </c>
      <c r="B2" s="24"/>
      <c r="C2" s="24"/>
      <c r="D2" s="24"/>
      <c r="E2" s="24"/>
      <c r="F2" s="24"/>
      <c r="G2" s="24"/>
      <c r="H2" s="24"/>
      <c r="I2" s="24"/>
      <c r="J2" s="24"/>
      <c r="K2" s="24"/>
      <c r="L2" s="24"/>
      <c r="M2" s="24"/>
      <c r="N2" s="24"/>
      <c r="O2" s="24"/>
      <c r="P2" s="24"/>
      <c r="Q2" s="24"/>
      <c r="R2" s="24"/>
    </row>
    <row r="4" spans="1:18" ht="30" customHeight="1" x14ac:dyDescent="0.25">
      <c r="A4" s="4"/>
      <c r="B4" s="5" t="s">
        <v>35</v>
      </c>
      <c r="C4" s="5" t="s">
        <v>36</v>
      </c>
      <c r="D4" s="6" t="s">
        <v>35</v>
      </c>
      <c r="E4" s="21" t="s">
        <v>37</v>
      </c>
      <c r="F4" s="22"/>
      <c r="G4" s="21" t="s">
        <v>38</v>
      </c>
      <c r="H4" s="22"/>
      <c r="I4" s="21" t="s">
        <v>39</v>
      </c>
      <c r="J4" s="22"/>
      <c r="K4" s="21" t="s">
        <v>40</v>
      </c>
      <c r="L4" s="22"/>
      <c r="M4" s="21" t="s">
        <v>41</v>
      </c>
      <c r="N4" s="22"/>
      <c r="O4" s="21" t="s">
        <v>42</v>
      </c>
      <c r="P4" s="22"/>
      <c r="Q4" s="21" t="s">
        <v>43</v>
      </c>
      <c r="R4" s="22"/>
    </row>
    <row r="5" spans="1:18" x14ac:dyDescent="0.25">
      <c r="A5" s="7"/>
      <c r="B5" s="8" t="s">
        <v>44</v>
      </c>
      <c r="C5" s="8" t="s">
        <v>45</v>
      </c>
      <c r="D5" s="7" t="s">
        <v>46</v>
      </c>
      <c r="E5" s="8" t="s">
        <v>47</v>
      </c>
      <c r="F5" s="7" t="s">
        <v>48</v>
      </c>
      <c r="G5" s="8" t="s">
        <v>47</v>
      </c>
      <c r="H5" s="7" t="s">
        <v>48</v>
      </c>
      <c r="I5" s="8" t="s">
        <v>47</v>
      </c>
      <c r="J5" s="7" t="s">
        <v>48</v>
      </c>
      <c r="K5" s="8" t="s">
        <v>47</v>
      </c>
      <c r="L5" s="7" t="s">
        <v>48</v>
      </c>
      <c r="M5" s="8" t="s">
        <v>47</v>
      </c>
      <c r="N5" s="7" t="s">
        <v>48</v>
      </c>
      <c r="O5" s="8" t="s">
        <v>47</v>
      </c>
      <c r="P5" s="7" t="s">
        <v>48</v>
      </c>
      <c r="Q5" s="8" t="s">
        <v>47</v>
      </c>
      <c r="R5" s="7" t="s">
        <v>48</v>
      </c>
    </row>
    <row r="6" spans="1:18" x14ac:dyDescent="0.25">
      <c r="A6" s="9" t="s">
        <v>49</v>
      </c>
      <c r="B6" s="10"/>
      <c r="C6" s="10"/>
      <c r="D6" s="11"/>
      <c r="E6" s="10"/>
      <c r="F6" s="11"/>
      <c r="G6" s="10"/>
      <c r="H6" s="11"/>
      <c r="I6" s="10"/>
      <c r="J6" s="11"/>
      <c r="K6" s="10"/>
      <c r="L6" s="11"/>
      <c r="M6" s="10"/>
      <c r="N6" s="11"/>
      <c r="O6" s="10"/>
      <c r="P6" s="11"/>
      <c r="Q6" s="10"/>
      <c r="R6" s="12"/>
    </row>
    <row r="7" spans="1:18" x14ac:dyDescent="0.25">
      <c r="A7" s="11" t="s">
        <v>50</v>
      </c>
      <c r="B7" s="13">
        <v>14530</v>
      </c>
      <c r="C7" s="14">
        <f>(4421/B7*100)</f>
        <v>30.426703372333101</v>
      </c>
      <c r="D7" s="15">
        <v>10109</v>
      </c>
      <c r="E7" s="14">
        <v>30.367164970000001</v>
      </c>
      <c r="F7" s="16">
        <v>0.61532507999999997</v>
      </c>
      <c r="G7" s="14">
        <v>69.632835029999995</v>
      </c>
      <c r="H7" s="16">
        <v>0.61532507999999997</v>
      </c>
      <c r="I7" s="14">
        <v>0</v>
      </c>
      <c r="J7" s="16">
        <v>0</v>
      </c>
      <c r="K7" s="14" t="s">
        <v>51</v>
      </c>
      <c r="L7" s="16" t="s">
        <v>51</v>
      </c>
      <c r="M7" s="14">
        <v>0</v>
      </c>
      <c r="N7" s="16">
        <v>0</v>
      </c>
      <c r="O7" s="14">
        <v>0</v>
      </c>
      <c r="P7" s="16">
        <v>0</v>
      </c>
      <c r="Q7" s="14">
        <v>0</v>
      </c>
      <c r="R7" s="16">
        <v>0</v>
      </c>
    </row>
    <row r="8" spans="1:18" x14ac:dyDescent="0.25">
      <c r="A8" s="11" t="s">
        <v>52</v>
      </c>
      <c r="B8" s="17" t="s">
        <v>53</v>
      </c>
      <c r="C8" s="17" t="s">
        <v>53</v>
      </c>
      <c r="D8" s="18" t="s">
        <v>53</v>
      </c>
      <c r="E8" s="17" t="s">
        <v>53</v>
      </c>
      <c r="F8" s="18" t="s">
        <v>53</v>
      </c>
      <c r="G8" s="17" t="s">
        <v>53</v>
      </c>
      <c r="H8" s="18" t="s">
        <v>53</v>
      </c>
      <c r="I8" s="17" t="s">
        <v>53</v>
      </c>
      <c r="J8" s="18" t="s">
        <v>53</v>
      </c>
      <c r="K8" s="17" t="s">
        <v>53</v>
      </c>
      <c r="L8" s="18" t="s">
        <v>53</v>
      </c>
      <c r="M8" s="17" t="s">
        <v>53</v>
      </c>
      <c r="N8" s="18" t="s">
        <v>53</v>
      </c>
      <c r="O8" s="17" t="s">
        <v>53</v>
      </c>
      <c r="P8" s="18" t="s">
        <v>53</v>
      </c>
      <c r="Q8" s="17" t="s">
        <v>53</v>
      </c>
      <c r="R8" s="18" t="s">
        <v>53</v>
      </c>
    </row>
    <row r="9" spans="1:18" x14ac:dyDescent="0.25">
      <c r="A9" s="11" t="s">
        <v>172</v>
      </c>
      <c r="B9" s="13">
        <v>5675</v>
      </c>
      <c r="C9" s="14">
        <f>(395/B9*100)</f>
        <v>6.960352422907488</v>
      </c>
      <c r="D9" s="15">
        <v>5280</v>
      </c>
      <c r="E9" s="14">
        <v>13.41653911</v>
      </c>
      <c r="F9" s="16">
        <v>0.47599222000000002</v>
      </c>
      <c r="G9" s="14">
        <v>5.7974430400000001</v>
      </c>
      <c r="H9" s="16">
        <v>0.37078307999999999</v>
      </c>
      <c r="I9" s="14">
        <v>0</v>
      </c>
      <c r="J9" s="16">
        <v>0</v>
      </c>
      <c r="K9" s="14" t="s">
        <v>51</v>
      </c>
      <c r="L9" s="16" t="s">
        <v>51</v>
      </c>
      <c r="M9" s="14">
        <v>80.786017849999993</v>
      </c>
      <c r="N9" s="16">
        <v>0.56832168000000005</v>
      </c>
      <c r="O9" s="14">
        <v>0</v>
      </c>
      <c r="P9" s="16">
        <v>0</v>
      </c>
      <c r="Q9" s="14">
        <v>0</v>
      </c>
      <c r="R9" s="16">
        <v>0</v>
      </c>
    </row>
    <row r="10" spans="1:18" x14ac:dyDescent="0.25">
      <c r="A10" s="11" t="s">
        <v>173</v>
      </c>
      <c r="B10" s="13">
        <v>13082</v>
      </c>
      <c r="C10" s="14">
        <f>(471/B10*100)</f>
        <v>3.6003669163736429</v>
      </c>
      <c r="D10" s="15">
        <v>12611</v>
      </c>
      <c r="E10" s="14">
        <v>8.0177852299999994</v>
      </c>
      <c r="F10" s="16">
        <v>0.33640055000000002</v>
      </c>
      <c r="G10" s="14">
        <v>15.554541609999999</v>
      </c>
      <c r="H10" s="16">
        <v>0.37628788000000002</v>
      </c>
      <c r="I10" s="14">
        <v>0</v>
      </c>
      <c r="J10" s="16">
        <v>0</v>
      </c>
      <c r="K10" s="14" t="s">
        <v>51</v>
      </c>
      <c r="L10" s="16" t="s">
        <v>51</v>
      </c>
      <c r="M10" s="14">
        <v>76.427673150000004</v>
      </c>
      <c r="N10" s="16">
        <v>0.35548317000000001</v>
      </c>
      <c r="O10" s="14">
        <v>0</v>
      </c>
      <c r="P10" s="16">
        <v>0</v>
      </c>
      <c r="Q10" s="14">
        <v>0</v>
      </c>
      <c r="R10" s="16">
        <v>0</v>
      </c>
    </row>
    <row r="11" spans="1:18" x14ac:dyDescent="0.25">
      <c r="A11" s="11" t="s">
        <v>54</v>
      </c>
      <c r="B11" s="13">
        <v>7053</v>
      </c>
      <c r="C11" s="14">
        <f>(349/B11*100)</f>
        <v>4.9482489720686234</v>
      </c>
      <c r="D11" s="15">
        <v>6704</v>
      </c>
      <c r="E11" s="14">
        <v>7.3129486500000001</v>
      </c>
      <c r="F11" s="16">
        <v>0.32248139999999997</v>
      </c>
      <c r="G11" s="14">
        <v>14.10399381</v>
      </c>
      <c r="H11" s="16">
        <v>0.45158285999999997</v>
      </c>
      <c r="I11" s="14">
        <v>0</v>
      </c>
      <c r="J11" s="16">
        <v>0</v>
      </c>
      <c r="K11" s="14" t="s">
        <v>51</v>
      </c>
      <c r="L11" s="16" t="s">
        <v>51</v>
      </c>
      <c r="M11" s="14">
        <v>78.583057539999999</v>
      </c>
      <c r="N11" s="16">
        <v>0.39740846000000002</v>
      </c>
      <c r="O11" s="14">
        <v>0</v>
      </c>
      <c r="P11" s="16">
        <v>0</v>
      </c>
      <c r="Q11" s="14">
        <v>0</v>
      </c>
      <c r="R11" s="16">
        <v>0</v>
      </c>
    </row>
    <row r="12" spans="1:18" x14ac:dyDescent="0.25">
      <c r="A12" s="11" t="s">
        <v>55</v>
      </c>
      <c r="B12" s="17" t="s">
        <v>53</v>
      </c>
      <c r="C12" s="17" t="s">
        <v>53</v>
      </c>
      <c r="D12" s="18" t="s">
        <v>53</v>
      </c>
      <c r="E12" s="17" t="s">
        <v>53</v>
      </c>
      <c r="F12" s="18" t="s">
        <v>53</v>
      </c>
      <c r="G12" s="17" t="s">
        <v>53</v>
      </c>
      <c r="H12" s="18" t="s">
        <v>53</v>
      </c>
      <c r="I12" s="17" t="s">
        <v>53</v>
      </c>
      <c r="J12" s="18" t="s">
        <v>53</v>
      </c>
      <c r="K12" s="17" t="s">
        <v>53</v>
      </c>
      <c r="L12" s="18" t="s">
        <v>53</v>
      </c>
      <c r="M12" s="17" t="s">
        <v>53</v>
      </c>
      <c r="N12" s="18" t="s">
        <v>53</v>
      </c>
      <c r="O12" s="17" t="s">
        <v>53</v>
      </c>
      <c r="P12" s="18" t="s">
        <v>53</v>
      </c>
      <c r="Q12" s="17" t="s">
        <v>53</v>
      </c>
      <c r="R12" s="18" t="s">
        <v>53</v>
      </c>
    </row>
    <row r="13" spans="1:18" x14ac:dyDescent="0.25">
      <c r="A13" s="11" t="s">
        <v>56</v>
      </c>
      <c r="B13" s="17" t="s">
        <v>53</v>
      </c>
      <c r="C13" s="17" t="s">
        <v>53</v>
      </c>
      <c r="D13" s="18" t="s">
        <v>53</v>
      </c>
      <c r="E13" s="17" t="s">
        <v>53</v>
      </c>
      <c r="F13" s="18" t="s">
        <v>53</v>
      </c>
      <c r="G13" s="17" t="s">
        <v>53</v>
      </c>
      <c r="H13" s="18" t="s">
        <v>53</v>
      </c>
      <c r="I13" s="17" t="s">
        <v>53</v>
      </c>
      <c r="J13" s="18" t="s">
        <v>53</v>
      </c>
      <c r="K13" s="17" t="s">
        <v>53</v>
      </c>
      <c r="L13" s="18" t="s">
        <v>53</v>
      </c>
      <c r="M13" s="17" t="s">
        <v>53</v>
      </c>
      <c r="N13" s="18" t="s">
        <v>53</v>
      </c>
      <c r="O13" s="17" t="s">
        <v>53</v>
      </c>
      <c r="P13" s="18" t="s">
        <v>53</v>
      </c>
      <c r="Q13" s="17" t="s">
        <v>53</v>
      </c>
      <c r="R13" s="18" t="s">
        <v>53</v>
      </c>
    </row>
    <row r="14" spans="1:18" x14ac:dyDescent="0.25">
      <c r="A14" s="11" t="s">
        <v>57</v>
      </c>
      <c r="B14" s="17" t="s">
        <v>53</v>
      </c>
      <c r="C14" s="17" t="s">
        <v>53</v>
      </c>
      <c r="D14" s="18" t="s">
        <v>53</v>
      </c>
      <c r="E14" s="17" t="s">
        <v>53</v>
      </c>
      <c r="F14" s="18" t="s">
        <v>53</v>
      </c>
      <c r="G14" s="17" t="s">
        <v>53</v>
      </c>
      <c r="H14" s="18" t="s">
        <v>53</v>
      </c>
      <c r="I14" s="17" t="s">
        <v>53</v>
      </c>
      <c r="J14" s="18" t="s">
        <v>53</v>
      </c>
      <c r="K14" s="17" t="s">
        <v>53</v>
      </c>
      <c r="L14" s="18" t="s">
        <v>53</v>
      </c>
      <c r="M14" s="17" t="s">
        <v>53</v>
      </c>
      <c r="N14" s="18" t="s">
        <v>53</v>
      </c>
      <c r="O14" s="17" t="s">
        <v>53</v>
      </c>
      <c r="P14" s="18" t="s">
        <v>53</v>
      </c>
      <c r="Q14" s="17" t="s">
        <v>53</v>
      </c>
      <c r="R14" s="18" t="s">
        <v>53</v>
      </c>
    </row>
    <row r="15" spans="1:18" x14ac:dyDescent="0.25">
      <c r="A15" s="11" t="s">
        <v>58</v>
      </c>
      <c r="B15" s="17" t="s">
        <v>53</v>
      </c>
      <c r="C15" s="17" t="s">
        <v>53</v>
      </c>
      <c r="D15" s="18" t="s">
        <v>53</v>
      </c>
      <c r="E15" s="17" t="s">
        <v>53</v>
      </c>
      <c r="F15" s="18" t="s">
        <v>53</v>
      </c>
      <c r="G15" s="17" t="s">
        <v>53</v>
      </c>
      <c r="H15" s="18" t="s">
        <v>53</v>
      </c>
      <c r="I15" s="17" t="s">
        <v>53</v>
      </c>
      <c r="J15" s="18" t="s">
        <v>53</v>
      </c>
      <c r="K15" s="17" t="s">
        <v>53</v>
      </c>
      <c r="L15" s="18" t="s">
        <v>53</v>
      </c>
      <c r="M15" s="17" t="s">
        <v>53</v>
      </c>
      <c r="N15" s="18" t="s">
        <v>53</v>
      </c>
      <c r="O15" s="17" t="s">
        <v>53</v>
      </c>
      <c r="P15" s="18" t="s">
        <v>53</v>
      </c>
      <c r="Q15" s="17" t="s">
        <v>53</v>
      </c>
      <c r="R15" s="18" t="s">
        <v>53</v>
      </c>
    </row>
    <row r="16" spans="1:18" x14ac:dyDescent="0.25">
      <c r="A16" s="11" t="s">
        <v>59</v>
      </c>
      <c r="B16" s="17" t="s">
        <v>53</v>
      </c>
      <c r="C16" s="17" t="s">
        <v>53</v>
      </c>
      <c r="D16" s="18" t="s">
        <v>53</v>
      </c>
      <c r="E16" s="17" t="s">
        <v>53</v>
      </c>
      <c r="F16" s="18" t="s">
        <v>53</v>
      </c>
      <c r="G16" s="17" t="s">
        <v>53</v>
      </c>
      <c r="H16" s="18" t="s">
        <v>53</v>
      </c>
      <c r="I16" s="17" t="s">
        <v>53</v>
      </c>
      <c r="J16" s="18" t="s">
        <v>53</v>
      </c>
      <c r="K16" s="17" t="s">
        <v>53</v>
      </c>
      <c r="L16" s="18" t="s">
        <v>53</v>
      </c>
      <c r="M16" s="17" t="s">
        <v>53</v>
      </c>
      <c r="N16" s="18" t="s">
        <v>53</v>
      </c>
      <c r="O16" s="17" t="s">
        <v>53</v>
      </c>
      <c r="P16" s="18" t="s">
        <v>53</v>
      </c>
      <c r="Q16" s="17" t="s">
        <v>53</v>
      </c>
      <c r="R16" s="18" t="s">
        <v>53</v>
      </c>
    </row>
    <row r="17" spans="1:18" x14ac:dyDescent="0.25">
      <c r="A17" s="11" t="s">
        <v>60</v>
      </c>
      <c r="B17" s="17" t="s">
        <v>53</v>
      </c>
      <c r="C17" s="17" t="s">
        <v>53</v>
      </c>
      <c r="D17" s="18" t="s">
        <v>53</v>
      </c>
      <c r="E17" s="17" t="s">
        <v>53</v>
      </c>
      <c r="F17" s="18" t="s">
        <v>53</v>
      </c>
      <c r="G17" s="17" t="s">
        <v>53</v>
      </c>
      <c r="H17" s="18" t="s">
        <v>53</v>
      </c>
      <c r="I17" s="17" t="s">
        <v>53</v>
      </c>
      <c r="J17" s="18" t="s">
        <v>53</v>
      </c>
      <c r="K17" s="17" t="s">
        <v>53</v>
      </c>
      <c r="L17" s="18" t="s">
        <v>53</v>
      </c>
      <c r="M17" s="17" t="s">
        <v>53</v>
      </c>
      <c r="N17" s="18" t="s">
        <v>53</v>
      </c>
      <c r="O17" s="17" t="s">
        <v>53</v>
      </c>
      <c r="P17" s="18" t="s">
        <v>53</v>
      </c>
      <c r="Q17" s="17" t="s">
        <v>53</v>
      </c>
      <c r="R17" s="18" t="s">
        <v>53</v>
      </c>
    </row>
    <row r="18" spans="1:18" x14ac:dyDescent="0.25">
      <c r="A18" s="11" t="s">
        <v>61</v>
      </c>
      <c r="B18" s="17" t="s">
        <v>53</v>
      </c>
      <c r="C18" s="17" t="s">
        <v>53</v>
      </c>
      <c r="D18" s="18" t="s">
        <v>53</v>
      </c>
      <c r="E18" s="17" t="s">
        <v>53</v>
      </c>
      <c r="F18" s="18" t="s">
        <v>53</v>
      </c>
      <c r="G18" s="17" t="s">
        <v>53</v>
      </c>
      <c r="H18" s="18" t="s">
        <v>53</v>
      </c>
      <c r="I18" s="17" t="s">
        <v>53</v>
      </c>
      <c r="J18" s="18" t="s">
        <v>53</v>
      </c>
      <c r="K18" s="17" t="s">
        <v>53</v>
      </c>
      <c r="L18" s="18" t="s">
        <v>53</v>
      </c>
      <c r="M18" s="17" t="s">
        <v>53</v>
      </c>
      <c r="N18" s="18" t="s">
        <v>53</v>
      </c>
      <c r="O18" s="17" t="s">
        <v>53</v>
      </c>
      <c r="P18" s="18" t="s">
        <v>53</v>
      </c>
      <c r="Q18" s="17" t="s">
        <v>53</v>
      </c>
      <c r="R18" s="18" t="s">
        <v>53</v>
      </c>
    </row>
    <row r="19" spans="1:18" x14ac:dyDescent="0.25">
      <c r="A19" s="11" t="s">
        <v>62</v>
      </c>
      <c r="B19" s="17" t="s">
        <v>53</v>
      </c>
      <c r="C19" s="17" t="s">
        <v>53</v>
      </c>
      <c r="D19" s="18" t="s">
        <v>53</v>
      </c>
      <c r="E19" s="17" t="s">
        <v>53</v>
      </c>
      <c r="F19" s="18" t="s">
        <v>53</v>
      </c>
      <c r="G19" s="17" t="s">
        <v>53</v>
      </c>
      <c r="H19" s="18" t="s">
        <v>53</v>
      </c>
      <c r="I19" s="17" t="s">
        <v>53</v>
      </c>
      <c r="J19" s="18" t="s">
        <v>53</v>
      </c>
      <c r="K19" s="17" t="s">
        <v>53</v>
      </c>
      <c r="L19" s="18" t="s">
        <v>53</v>
      </c>
      <c r="M19" s="17" t="s">
        <v>53</v>
      </c>
      <c r="N19" s="18" t="s">
        <v>53</v>
      </c>
      <c r="O19" s="17" t="s">
        <v>53</v>
      </c>
      <c r="P19" s="18" t="s">
        <v>53</v>
      </c>
      <c r="Q19" s="17" t="s">
        <v>53</v>
      </c>
      <c r="R19" s="18" t="s">
        <v>53</v>
      </c>
    </row>
    <row r="20" spans="1:18" x14ac:dyDescent="0.25">
      <c r="A20" s="11" t="s">
        <v>63</v>
      </c>
      <c r="B20" s="17" t="s">
        <v>53</v>
      </c>
      <c r="C20" s="17" t="s">
        <v>53</v>
      </c>
      <c r="D20" s="18" t="s">
        <v>53</v>
      </c>
      <c r="E20" s="17" t="s">
        <v>53</v>
      </c>
      <c r="F20" s="18" t="s">
        <v>53</v>
      </c>
      <c r="G20" s="17" t="s">
        <v>53</v>
      </c>
      <c r="H20" s="18" t="s">
        <v>53</v>
      </c>
      <c r="I20" s="17" t="s">
        <v>53</v>
      </c>
      <c r="J20" s="18" t="s">
        <v>53</v>
      </c>
      <c r="K20" s="17" t="s">
        <v>53</v>
      </c>
      <c r="L20" s="18" t="s">
        <v>53</v>
      </c>
      <c r="M20" s="17" t="s">
        <v>53</v>
      </c>
      <c r="N20" s="18" t="s">
        <v>53</v>
      </c>
      <c r="O20" s="17" t="s">
        <v>53</v>
      </c>
      <c r="P20" s="18" t="s">
        <v>53</v>
      </c>
      <c r="Q20" s="17" t="s">
        <v>53</v>
      </c>
      <c r="R20" s="18" t="s">
        <v>53</v>
      </c>
    </row>
    <row r="21" spans="1:18" x14ac:dyDescent="0.25">
      <c r="A21" s="11" t="s">
        <v>64</v>
      </c>
      <c r="B21" s="17" t="s">
        <v>53</v>
      </c>
      <c r="C21" s="17" t="s">
        <v>53</v>
      </c>
      <c r="D21" s="18" t="s">
        <v>53</v>
      </c>
      <c r="E21" s="17" t="s">
        <v>53</v>
      </c>
      <c r="F21" s="18" t="s">
        <v>53</v>
      </c>
      <c r="G21" s="17" t="s">
        <v>53</v>
      </c>
      <c r="H21" s="18" t="s">
        <v>53</v>
      </c>
      <c r="I21" s="17" t="s">
        <v>53</v>
      </c>
      <c r="J21" s="18" t="s">
        <v>53</v>
      </c>
      <c r="K21" s="17" t="s">
        <v>53</v>
      </c>
      <c r="L21" s="18" t="s">
        <v>53</v>
      </c>
      <c r="M21" s="17" t="s">
        <v>53</v>
      </c>
      <c r="N21" s="18" t="s">
        <v>53</v>
      </c>
      <c r="O21" s="17" t="s">
        <v>53</v>
      </c>
      <c r="P21" s="18" t="s">
        <v>53</v>
      </c>
      <c r="Q21" s="17" t="s">
        <v>53</v>
      </c>
      <c r="R21" s="18" t="s">
        <v>53</v>
      </c>
    </row>
    <row r="22" spans="1:18" x14ac:dyDescent="0.25">
      <c r="A22" s="11" t="s">
        <v>65</v>
      </c>
      <c r="B22" s="17" t="s">
        <v>53</v>
      </c>
      <c r="C22" s="17" t="s">
        <v>53</v>
      </c>
      <c r="D22" s="18" t="s">
        <v>53</v>
      </c>
      <c r="E22" s="17" t="s">
        <v>53</v>
      </c>
      <c r="F22" s="18" t="s">
        <v>53</v>
      </c>
      <c r="G22" s="17" t="s">
        <v>53</v>
      </c>
      <c r="H22" s="18" t="s">
        <v>53</v>
      </c>
      <c r="I22" s="17" t="s">
        <v>53</v>
      </c>
      <c r="J22" s="18" t="s">
        <v>53</v>
      </c>
      <c r="K22" s="17" t="s">
        <v>53</v>
      </c>
      <c r="L22" s="18" t="s">
        <v>53</v>
      </c>
      <c r="M22" s="17" t="s">
        <v>53</v>
      </c>
      <c r="N22" s="18" t="s">
        <v>53</v>
      </c>
      <c r="O22" s="17" t="s">
        <v>53</v>
      </c>
      <c r="P22" s="18" t="s">
        <v>53</v>
      </c>
      <c r="Q22" s="17" t="s">
        <v>53</v>
      </c>
      <c r="R22" s="18" t="s">
        <v>53</v>
      </c>
    </row>
    <row r="23" spans="1:18" x14ac:dyDescent="0.25">
      <c r="A23" s="11" t="s">
        <v>66</v>
      </c>
      <c r="B23" s="13">
        <v>11583</v>
      </c>
      <c r="C23" s="14">
        <f>(784/B23*100)</f>
        <v>6.7685401018734357</v>
      </c>
      <c r="D23" s="15">
        <v>10799</v>
      </c>
      <c r="E23" s="14">
        <v>7.0112052</v>
      </c>
      <c r="F23" s="16">
        <v>0.39239518000000001</v>
      </c>
      <c r="G23" s="14">
        <v>14.139720459999999</v>
      </c>
      <c r="H23" s="16">
        <v>0.45436728999999998</v>
      </c>
      <c r="I23" s="14">
        <v>0</v>
      </c>
      <c r="J23" s="16">
        <v>0</v>
      </c>
      <c r="K23" s="14" t="s">
        <v>51</v>
      </c>
      <c r="L23" s="16" t="s">
        <v>51</v>
      </c>
      <c r="M23" s="14">
        <v>78.849074340000001</v>
      </c>
      <c r="N23" s="16">
        <v>0.36584454999999999</v>
      </c>
      <c r="O23" s="14">
        <v>0</v>
      </c>
      <c r="P23" s="16">
        <v>0</v>
      </c>
      <c r="Q23" s="14">
        <v>0</v>
      </c>
      <c r="R23" s="16">
        <v>0</v>
      </c>
    </row>
    <row r="24" spans="1:18" x14ac:dyDescent="0.25">
      <c r="A24" s="11" t="s">
        <v>67</v>
      </c>
      <c r="B24" s="17" t="s">
        <v>53</v>
      </c>
      <c r="C24" s="17" t="s">
        <v>53</v>
      </c>
      <c r="D24" s="18" t="s">
        <v>53</v>
      </c>
      <c r="E24" s="17" t="s">
        <v>53</v>
      </c>
      <c r="F24" s="18" t="s">
        <v>53</v>
      </c>
      <c r="G24" s="17" t="s">
        <v>53</v>
      </c>
      <c r="H24" s="18" t="s">
        <v>53</v>
      </c>
      <c r="I24" s="17" t="s">
        <v>53</v>
      </c>
      <c r="J24" s="18" t="s">
        <v>53</v>
      </c>
      <c r="K24" s="17" t="s">
        <v>53</v>
      </c>
      <c r="L24" s="18" t="s">
        <v>53</v>
      </c>
      <c r="M24" s="17" t="s">
        <v>53</v>
      </c>
      <c r="N24" s="18" t="s">
        <v>53</v>
      </c>
      <c r="O24" s="17" t="s">
        <v>53</v>
      </c>
      <c r="P24" s="18" t="s">
        <v>53</v>
      </c>
      <c r="Q24" s="17" t="s">
        <v>53</v>
      </c>
      <c r="R24" s="18" t="s">
        <v>53</v>
      </c>
    </row>
    <row r="25" spans="1:18" x14ac:dyDescent="0.25">
      <c r="A25" s="11" t="s">
        <v>68</v>
      </c>
      <c r="B25" s="17" t="s">
        <v>53</v>
      </c>
      <c r="C25" s="17" t="s">
        <v>53</v>
      </c>
      <c r="D25" s="18" t="s">
        <v>53</v>
      </c>
      <c r="E25" s="17" t="s">
        <v>53</v>
      </c>
      <c r="F25" s="18" t="s">
        <v>53</v>
      </c>
      <c r="G25" s="17" t="s">
        <v>53</v>
      </c>
      <c r="H25" s="18" t="s">
        <v>53</v>
      </c>
      <c r="I25" s="17" t="s">
        <v>53</v>
      </c>
      <c r="J25" s="18" t="s">
        <v>53</v>
      </c>
      <c r="K25" s="17" t="s">
        <v>53</v>
      </c>
      <c r="L25" s="18" t="s">
        <v>53</v>
      </c>
      <c r="M25" s="17" t="s">
        <v>53</v>
      </c>
      <c r="N25" s="18" t="s">
        <v>53</v>
      </c>
      <c r="O25" s="17" t="s">
        <v>53</v>
      </c>
      <c r="P25" s="18" t="s">
        <v>53</v>
      </c>
      <c r="Q25" s="17" t="s">
        <v>53</v>
      </c>
      <c r="R25" s="18" t="s">
        <v>53</v>
      </c>
    </row>
    <row r="26" spans="1:18" x14ac:dyDescent="0.25">
      <c r="A26" s="11" t="s">
        <v>69</v>
      </c>
      <c r="B26" s="17" t="s">
        <v>53</v>
      </c>
      <c r="C26" s="17" t="s">
        <v>53</v>
      </c>
      <c r="D26" s="18" t="s">
        <v>53</v>
      </c>
      <c r="E26" s="17" t="s">
        <v>53</v>
      </c>
      <c r="F26" s="18" t="s">
        <v>53</v>
      </c>
      <c r="G26" s="17" t="s">
        <v>53</v>
      </c>
      <c r="H26" s="18" t="s">
        <v>53</v>
      </c>
      <c r="I26" s="17" t="s">
        <v>53</v>
      </c>
      <c r="J26" s="18" t="s">
        <v>53</v>
      </c>
      <c r="K26" s="17" t="s">
        <v>53</v>
      </c>
      <c r="L26" s="18" t="s">
        <v>53</v>
      </c>
      <c r="M26" s="17" t="s">
        <v>53</v>
      </c>
      <c r="N26" s="18" t="s">
        <v>53</v>
      </c>
      <c r="O26" s="17" t="s">
        <v>53</v>
      </c>
      <c r="P26" s="18" t="s">
        <v>53</v>
      </c>
      <c r="Q26" s="17" t="s">
        <v>53</v>
      </c>
      <c r="R26" s="18" t="s">
        <v>53</v>
      </c>
    </row>
    <row r="27" spans="1:18" x14ac:dyDescent="0.25">
      <c r="A27" s="11" t="s">
        <v>70</v>
      </c>
      <c r="B27" s="17" t="s">
        <v>53</v>
      </c>
      <c r="C27" s="17" t="s">
        <v>53</v>
      </c>
      <c r="D27" s="18" t="s">
        <v>53</v>
      </c>
      <c r="E27" s="17" t="s">
        <v>53</v>
      </c>
      <c r="F27" s="18" t="s">
        <v>53</v>
      </c>
      <c r="G27" s="17" t="s">
        <v>53</v>
      </c>
      <c r="H27" s="18" t="s">
        <v>53</v>
      </c>
      <c r="I27" s="17" t="s">
        <v>53</v>
      </c>
      <c r="J27" s="18" t="s">
        <v>53</v>
      </c>
      <c r="K27" s="17" t="s">
        <v>53</v>
      </c>
      <c r="L27" s="18" t="s">
        <v>53</v>
      </c>
      <c r="M27" s="17" t="s">
        <v>53</v>
      </c>
      <c r="N27" s="18" t="s">
        <v>53</v>
      </c>
      <c r="O27" s="17" t="s">
        <v>53</v>
      </c>
      <c r="P27" s="18" t="s">
        <v>53</v>
      </c>
      <c r="Q27" s="17" t="s">
        <v>53</v>
      </c>
      <c r="R27" s="18" t="s">
        <v>53</v>
      </c>
    </row>
    <row r="28" spans="1:18" x14ac:dyDescent="0.25">
      <c r="A28" s="11" t="s">
        <v>71</v>
      </c>
      <c r="B28" s="17" t="s">
        <v>53</v>
      </c>
      <c r="C28" s="17" t="s">
        <v>53</v>
      </c>
      <c r="D28" s="18" t="s">
        <v>53</v>
      </c>
      <c r="E28" s="17" t="s">
        <v>53</v>
      </c>
      <c r="F28" s="18" t="s">
        <v>53</v>
      </c>
      <c r="G28" s="17" t="s">
        <v>53</v>
      </c>
      <c r="H28" s="18" t="s">
        <v>53</v>
      </c>
      <c r="I28" s="17" t="s">
        <v>53</v>
      </c>
      <c r="J28" s="18" t="s">
        <v>53</v>
      </c>
      <c r="K28" s="17" t="s">
        <v>53</v>
      </c>
      <c r="L28" s="18" t="s">
        <v>53</v>
      </c>
      <c r="M28" s="17" t="s">
        <v>53</v>
      </c>
      <c r="N28" s="18" t="s">
        <v>53</v>
      </c>
      <c r="O28" s="17" t="s">
        <v>53</v>
      </c>
      <c r="P28" s="18" t="s">
        <v>53</v>
      </c>
      <c r="Q28" s="17" t="s">
        <v>53</v>
      </c>
      <c r="R28" s="18" t="s">
        <v>53</v>
      </c>
    </row>
    <row r="29" spans="1:18" x14ac:dyDescent="0.25">
      <c r="A29" s="11" t="s">
        <v>72</v>
      </c>
      <c r="B29" s="13">
        <v>5385</v>
      </c>
      <c r="C29" s="14">
        <f>(92/B29*100)</f>
        <v>1.7084493964716805</v>
      </c>
      <c r="D29" s="15">
        <v>5293</v>
      </c>
      <c r="E29" s="14">
        <v>16.80863085</v>
      </c>
      <c r="F29" s="16">
        <v>0.39254303000000002</v>
      </c>
      <c r="G29" s="14">
        <v>7.2778842499999996</v>
      </c>
      <c r="H29" s="16">
        <v>0.33680874</v>
      </c>
      <c r="I29" s="14">
        <v>0</v>
      </c>
      <c r="J29" s="16">
        <v>0</v>
      </c>
      <c r="K29" s="14" t="s">
        <v>51</v>
      </c>
      <c r="L29" s="16" t="s">
        <v>51</v>
      </c>
      <c r="M29" s="14">
        <v>75.9134849</v>
      </c>
      <c r="N29" s="16">
        <v>0.29201148999999998</v>
      </c>
      <c r="O29" s="14">
        <v>0</v>
      </c>
      <c r="P29" s="16">
        <v>0</v>
      </c>
      <c r="Q29" s="14">
        <v>0</v>
      </c>
      <c r="R29" s="16">
        <v>0</v>
      </c>
    </row>
    <row r="30" spans="1:18" x14ac:dyDescent="0.25">
      <c r="A30" s="11" t="s">
        <v>73</v>
      </c>
      <c r="B30" s="17" t="s">
        <v>53</v>
      </c>
      <c r="C30" s="17" t="s">
        <v>53</v>
      </c>
      <c r="D30" s="18" t="s">
        <v>53</v>
      </c>
      <c r="E30" s="17" t="s">
        <v>53</v>
      </c>
      <c r="F30" s="18" t="s">
        <v>53</v>
      </c>
      <c r="G30" s="17" t="s">
        <v>53</v>
      </c>
      <c r="H30" s="18" t="s">
        <v>53</v>
      </c>
      <c r="I30" s="17" t="s">
        <v>53</v>
      </c>
      <c r="J30" s="18" t="s">
        <v>53</v>
      </c>
      <c r="K30" s="17" t="s">
        <v>53</v>
      </c>
      <c r="L30" s="18" t="s">
        <v>53</v>
      </c>
      <c r="M30" s="17" t="s">
        <v>53</v>
      </c>
      <c r="N30" s="18" t="s">
        <v>53</v>
      </c>
      <c r="O30" s="17" t="s">
        <v>53</v>
      </c>
      <c r="P30" s="18" t="s">
        <v>53</v>
      </c>
      <c r="Q30" s="17" t="s">
        <v>53</v>
      </c>
      <c r="R30" s="18" t="s">
        <v>53</v>
      </c>
    </row>
    <row r="31" spans="1:18" x14ac:dyDescent="0.25">
      <c r="A31" s="11" t="s">
        <v>74</v>
      </c>
      <c r="B31" s="17" t="s">
        <v>53</v>
      </c>
      <c r="C31" s="17" t="s">
        <v>53</v>
      </c>
      <c r="D31" s="18" t="s">
        <v>53</v>
      </c>
      <c r="E31" s="17" t="s">
        <v>53</v>
      </c>
      <c r="F31" s="18" t="s">
        <v>53</v>
      </c>
      <c r="G31" s="17" t="s">
        <v>53</v>
      </c>
      <c r="H31" s="18" t="s">
        <v>53</v>
      </c>
      <c r="I31" s="17" t="s">
        <v>53</v>
      </c>
      <c r="J31" s="18" t="s">
        <v>53</v>
      </c>
      <c r="K31" s="17" t="s">
        <v>53</v>
      </c>
      <c r="L31" s="18" t="s">
        <v>53</v>
      </c>
      <c r="M31" s="17" t="s">
        <v>53</v>
      </c>
      <c r="N31" s="18" t="s">
        <v>53</v>
      </c>
      <c r="O31" s="17" t="s">
        <v>53</v>
      </c>
      <c r="P31" s="18" t="s">
        <v>53</v>
      </c>
      <c r="Q31" s="17" t="s">
        <v>53</v>
      </c>
      <c r="R31" s="18" t="s">
        <v>53</v>
      </c>
    </row>
    <row r="32" spans="1:18" x14ac:dyDescent="0.25">
      <c r="A32" s="11" t="s">
        <v>75</v>
      </c>
      <c r="B32" s="13">
        <v>4478</v>
      </c>
      <c r="C32" s="14">
        <f>(193/B32*100)</f>
        <v>4.3099598034836983</v>
      </c>
      <c r="D32" s="15">
        <v>4285</v>
      </c>
      <c r="E32" s="14">
        <v>17.421399839999999</v>
      </c>
      <c r="F32" s="16">
        <v>0.52316671999999997</v>
      </c>
      <c r="G32" s="14">
        <v>18.715598060000001</v>
      </c>
      <c r="H32" s="16">
        <v>0.50317592</v>
      </c>
      <c r="I32" s="14">
        <v>0</v>
      </c>
      <c r="J32" s="16">
        <v>0</v>
      </c>
      <c r="K32" s="14" t="s">
        <v>51</v>
      </c>
      <c r="L32" s="16" t="s">
        <v>51</v>
      </c>
      <c r="M32" s="14">
        <v>63.863002100000003</v>
      </c>
      <c r="N32" s="16">
        <v>0.38205670000000003</v>
      </c>
      <c r="O32" s="14">
        <v>0</v>
      </c>
      <c r="P32" s="16">
        <v>0</v>
      </c>
      <c r="Q32" s="14">
        <v>0</v>
      </c>
      <c r="R32" s="16">
        <v>0</v>
      </c>
    </row>
    <row r="33" spans="1:18" x14ac:dyDescent="0.25">
      <c r="A33" s="11" t="s">
        <v>76</v>
      </c>
      <c r="B33" s="17" t="s">
        <v>53</v>
      </c>
      <c r="C33" s="17" t="s">
        <v>53</v>
      </c>
      <c r="D33" s="18" t="s">
        <v>53</v>
      </c>
      <c r="E33" s="17" t="s">
        <v>53</v>
      </c>
      <c r="F33" s="18" t="s">
        <v>53</v>
      </c>
      <c r="G33" s="17" t="s">
        <v>53</v>
      </c>
      <c r="H33" s="18" t="s">
        <v>53</v>
      </c>
      <c r="I33" s="17" t="s">
        <v>53</v>
      </c>
      <c r="J33" s="18" t="s">
        <v>53</v>
      </c>
      <c r="K33" s="17" t="s">
        <v>53</v>
      </c>
      <c r="L33" s="18" t="s">
        <v>53</v>
      </c>
      <c r="M33" s="17" t="s">
        <v>53</v>
      </c>
      <c r="N33" s="18" t="s">
        <v>53</v>
      </c>
      <c r="O33" s="17" t="s">
        <v>53</v>
      </c>
      <c r="P33" s="18" t="s">
        <v>53</v>
      </c>
      <c r="Q33" s="17" t="s">
        <v>53</v>
      </c>
      <c r="R33" s="18" t="s">
        <v>53</v>
      </c>
    </row>
    <row r="34" spans="1:18" x14ac:dyDescent="0.25">
      <c r="A34" s="11" t="s">
        <v>77</v>
      </c>
      <c r="B34" s="13">
        <v>6350</v>
      </c>
      <c r="C34" s="14">
        <f>(381/B34*100)</f>
        <v>6</v>
      </c>
      <c r="D34" s="15">
        <v>5969</v>
      </c>
      <c r="E34" s="14">
        <v>8.7817607100000004</v>
      </c>
      <c r="F34" s="16">
        <v>0.39918285999999997</v>
      </c>
      <c r="G34" s="14">
        <v>11.931024130000001</v>
      </c>
      <c r="H34" s="16">
        <v>0.374303</v>
      </c>
      <c r="I34" s="14">
        <v>0</v>
      </c>
      <c r="J34" s="16">
        <v>0</v>
      </c>
      <c r="K34" s="14" t="s">
        <v>51</v>
      </c>
      <c r="L34" s="16" t="s">
        <v>51</v>
      </c>
      <c r="M34" s="14">
        <v>79.287215160000002</v>
      </c>
      <c r="N34" s="16">
        <v>0.41581045</v>
      </c>
      <c r="O34" s="14">
        <v>0</v>
      </c>
      <c r="P34" s="16">
        <v>0</v>
      </c>
      <c r="Q34" s="14">
        <v>0</v>
      </c>
      <c r="R34" s="16">
        <v>0</v>
      </c>
    </row>
    <row r="35" spans="1:18" x14ac:dyDescent="0.25">
      <c r="A35" s="11" t="s">
        <v>78</v>
      </c>
      <c r="B35" s="17" t="s">
        <v>53</v>
      </c>
      <c r="C35" s="17" t="s">
        <v>53</v>
      </c>
      <c r="D35" s="18" t="s">
        <v>53</v>
      </c>
      <c r="E35" s="17" t="s">
        <v>53</v>
      </c>
      <c r="F35" s="18" t="s">
        <v>53</v>
      </c>
      <c r="G35" s="17" t="s">
        <v>53</v>
      </c>
      <c r="H35" s="18" t="s">
        <v>53</v>
      </c>
      <c r="I35" s="17" t="s">
        <v>53</v>
      </c>
      <c r="J35" s="18" t="s">
        <v>53</v>
      </c>
      <c r="K35" s="17" t="s">
        <v>53</v>
      </c>
      <c r="L35" s="18" t="s">
        <v>53</v>
      </c>
      <c r="M35" s="17" t="s">
        <v>53</v>
      </c>
      <c r="N35" s="18" t="s">
        <v>53</v>
      </c>
      <c r="O35" s="17" t="s">
        <v>53</v>
      </c>
      <c r="P35" s="18" t="s">
        <v>53</v>
      </c>
      <c r="Q35" s="17" t="s">
        <v>53</v>
      </c>
      <c r="R35" s="18" t="s">
        <v>53</v>
      </c>
    </row>
    <row r="36" spans="1:18" x14ac:dyDescent="0.25">
      <c r="A36" s="11" t="s">
        <v>79</v>
      </c>
      <c r="B36" s="13">
        <v>6736</v>
      </c>
      <c r="C36" s="14">
        <f>(321/B36*100)</f>
        <v>4.7654394299287413</v>
      </c>
      <c r="D36" s="15">
        <v>6415</v>
      </c>
      <c r="E36" s="14">
        <v>7.1091379699999999</v>
      </c>
      <c r="F36" s="16">
        <v>0.30408027999999998</v>
      </c>
      <c r="G36" s="14">
        <v>15.240136850000001</v>
      </c>
      <c r="H36" s="16">
        <v>0.34128022000000002</v>
      </c>
      <c r="I36" s="14">
        <v>0</v>
      </c>
      <c r="J36" s="16">
        <v>0</v>
      </c>
      <c r="K36" s="14" t="s">
        <v>51</v>
      </c>
      <c r="L36" s="16" t="s">
        <v>51</v>
      </c>
      <c r="M36" s="14">
        <v>77.650725179999995</v>
      </c>
      <c r="N36" s="16">
        <v>0.30523496</v>
      </c>
      <c r="O36" s="14">
        <v>0</v>
      </c>
      <c r="P36" s="16">
        <v>0</v>
      </c>
      <c r="Q36" s="14">
        <v>0</v>
      </c>
      <c r="R36" s="16">
        <v>0</v>
      </c>
    </row>
    <row r="37" spans="1:18" x14ac:dyDescent="0.25">
      <c r="A37" s="11" t="s">
        <v>80</v>
      </c>
      <c r="B37" s="17" t="s">
        <v>53</v>
      </c>
      <c r="C37" s="17" t="s">
        <v>53</v>
      </c>
      <c r="D37" s="18" t="s">
        <v>53</v>
      </c>
      <c r="E37" s="17" t="s">
        <v>53</v>
      </c>
      <c r="F37" s="18" t="s">
        <v>53</v>
      </c>
      <c r="G37" s="17" t="s">
        <v>53</v>
      </c>
      <c r="H37" s="18" t="s">
        <v>53</v>
      </c>
      <c r="I37" s="17" t="s">
        <v>53</v>
      </c>
      <c r="J37" s="18" t="s">
        <v>53</v>
      </c>
      <c r="K37" s="17" t="s">
        <v>53</v>
      </c>
      <c r="L37" s="18" t="s">
        <v>53</v>
      </c>
      <c r="M37" s="17" t="s">
        <v>53</v>
      </c>
      <c r="N37" s="18" t="s">
        <v>53</v>
      </c>
      <c r="O37" s="17" t="s">
        <v>53</v>
      </c>
      <c r="P37" s="18" t="s">
        <v>53</v>
      </c>
      <c r="Q37" s="17" t="s">
        <v>53</v>
      </c>
      <c r="R37" s="18" t="s">
        <v>53</v>
      </c>
    </row>
    <row r="38" spans="1:18" x14ac:dyDescent="0.25">
      <c r="A38" s="11" t="s">
        <v>81</v>
      </c>
      <c r="B38" s="17" t="s">
        <v>53</v>
      </c>
      <c r="C38" s="17" t="s">
        <v>53</v>
      </c>
      <c r="D38" s="18" t="s">
        <v>53</v>
      </c>
      <c r="E38" s="17" t="s">
        <v>53</v>
      </c>
      <c r="F38" s="18" t="s">
        <v>53</v>
      </c>
      <c r="G38" s="17" t="s">
        <v>53</v>
      </c>
      <c r="H38" s="18" t="s">
        <v>53</v>
      </c>
      <c r="I38" s="17" t="s">
        <v>53</v>
      </c>
      <c r="J38" s="18" t="s">
        <v>53</v>
      </c>
      <c r="K38" s="17" t="s">
        <v>53</v>
      </c>
      <c r="L38" s="18" t="s">
        <v>53</v>
      </c>
      <c r="M38" s="17" t="s">
        <v>53</v>
      </c>
      <c r="N38" s="18" t="s">
        <v>53</v>
      </c>
      <c r="O38" s="17" t="s">
        <v>53</v>
      </c>
      <c r="P38" s="18" t="s">
        <v>53</v>
      </c>
      <c r="Q38" s="17" t="s">
        <v>53</v>
      </c>
      <c r="R38" s="18" t="s">
        <v>53</v>
      </c>
    </row>
    <row r="39" spans="1:18" x14ac:dyDescent="0.25">
      <c r="A39" s="11" t="s">
        <v>82</v>
      </c>
      <c r="B39" s="17" t="s">
        <v>53</v>
      </c>
      <c r="C39" s="17" t="s">
        <v>53</v>
      </c>
      <c r="D39" s="18" t="s">
        <v>53</v>
      </c>
      <c r="E39" s="17" t="s">
        <v>53</v>
      </c>
      <c r="F39" s="18" t="s">
        <v>53</v>
      </c>
      <c r="G39" s="17" t="s">
        <v>53</v>
      </c>
      <c r="H39" s="18" t="s">
        <v>53</v>
      </c>
      <c r="I39" s="17" t="s">
        <v>53</v>
      </c>
      <c r="J39" s="18" t="s">
        <v>53</v>
      </c>
      <c r="K39" s="17" t="s">
        <v>53</v>
      </c>
      <c r="L39" s="18" t="s">
        <v>53</v>
      </c>
      <c r="M39" s="17" t="s">
        <v>53</v>
      </c>
      <c r="N39" s="18" t="s">
        <v>53</v>
      </c>
      <c r="O39" s="17" t="s">
        <v>53</v>
      </c>
      <c r="P39" s="18" t="s">
        <v>53</v>
      </c>
      <c r="Q39" s="17" t="s">
        <v>53</v>
      </c>
      <c r="R39" s="18" t="s">
        <v>53</v>
      </c>
    </row>
    <row r="40" spans="1:18" x14ac:dyDescent="0.25">
      <c r="A40" s="11" t="s">
        <v>83</v>
      </c>
      <c r="B40" s="17" t="s">
        <v>53</v>
      </c>
      <c r="C40" s="17" t="s">
        <v>53</v>
      </c>
      <c r="D40" s="18" t="s">
        <v>53</v>
      </c>
      <c r="E40" s="17" t="s">
        <v>53</v>
      </c>
      <c r="F40" s="18" t="s">
        <v>53</v>
      </c>
      <c r="G40" s="17" t="s">
        <v>53</v>
      </c>
      <c r="H40" s="18" t="s">
        <v>53</v>
      </c>
      <c r="I40" s="17" t="s">
        <v>53</v>
      </c>
      <c r="J40" s="18" t="s">
        <v>53</v>
      </c>
      <c r="K40" s="17" t="s">
        <v>53</v>
      </c>
      <c r="L40" s="18" t="s">
        <v>53</v>
      </c>
      <c r="M40" s="17" t="s">
        <v>53</v>
      </c>
      <c r="N40" s="18" t="s">
        <v>53</v>
      </c>
      <c r="O40" s="17" t="s">
        <v>53</v>
      </c>
      <c r="P40" s="18" t="s">
        <v>53</v>
      </c>
      <c r="Q40" s="17" t="s">
        <v>53</v>
      </c>
      <c r="R40" s="18" t="s">
        <v>53</v>
      </c>
    </row>
    <row r="41" spans="1:18" x14ac:dyDescent="0.25">
      <c r="A41" s="11" t="s">
        <v>84</v>
      </c>
      <c r="B41" s="13">
        <v>5712</v>
      </c>
      <c r="C41" s="14">
        <f>(219/B41*100)</f>
        <v>3.8340336134453783</v>
      </c>
      <c r="D41" s="15">
        <v>5493</v>
      </c>
      <c r="E41" s="14">
        <v>6.6686693699999999</v>
      </c>
      <c r="F41" s="16">
        <v>0.28893750000000001</v>
      </c>
      <c r="G41" s="14">
        <v>16.45686457</v>
      </c>
      <c r="H41" s="16">
        <v>0.42829397000000002</v>
      </c>
      <c r="I41" s="14">
        <v>0</v>
      </c>
      <c r="J41" s="16">
        <v>0</v>
      </c>
      <c r="K41" s="14" t="s">
        <v>51</v>
      </c>
      <c r="L41" s="16" t="s">
        <v>51</v>
      </c>
      <c r="M41" s="14">
        <v>76.874466060000003</v>
      </c>
      <c r="N41" s="16">
        <v>0.37776818000000001</v>
      </c>
      <c r="O41" s="14">
        <v>0</v>
      </c>
      <c r="P41" s="16">
        <v>0</v>
      </c>
      <c r="Q41" s="14">
        <v>0</v>
      </c>
      <c r="R41" s="16">
        <v>0</v>
      </c>
    </row>
    <row r="42" spans="1:18" x14ac:dyDescent="0.25">
      <c r="A42" s="11" t="s">
        <v>85</v>
      </c>
      <c r="B42" s="13">
        <f>IF(COUNT(B7:B41) &gt; 0, AVERAGE(B7:B41), "\u2014")</f>
        <v>8058.4</v>
      </c>
      <c r="C42" s="14">
        <f>IF(COUNT(C7:C41) &gt; 0, AVERAGE(C7:C41), "—")</f>
        <v>7.33220940288858</v>
      </c>
      <c r="D42" s="15">
        <f>IF(COUNT(D7:D41) &gt; 0, AVERAGE(D7:D41), "—")</f>
        <v>7295.8</v>
      </c>
      <c r="E42" s="14">
        <f>IF(COUNT(E7:E41) &gt; 0, AVERAGE(E7:E41), "—")</f>
        <v>12.291524190000002</v>
      </c>
      <c r="F42" s="16">
        <f>IF(COUNT(F7:F41) &gt; 0, SQRT(SUMSQ(F7:F41)/(COUNT(F7:F41)*COUNT(F7:F41)) ), "—")</f>
        <v>0.13188696701634611</v>
      </c>
      <c r="G42" s="14">
        <f>IF(COUNT(G7:G41) &gt; 0, AVERAGE(G7:G41), "—")</f>
        <v>18.885004180999999</v>
      </c>
      <c r="H42" s="16">
        <f>IF(COUNT(H7:H41) &gt; 0, SQRT(SUMSQ(H7:H41)/(COUNT(H7:H41)*COUNT(H7:H41)) ), "—")</f>
        <v>0.13692009026117219</v>
      </c>
      <c r="I42" s="14">
        <f>IF(COUNT(I7:I41) &gt; 0, AVERAGE(I7:I41), "—")</f>
        <v>0</v>
      </c>
      <c r="J42" s="16">
        <f>IF(COUNT(J7:J41) &gt; 0, SQRT(SUMSQ(J7:J41)/(COUNT(J7:J41)*COUNT(J7:J41)) ), "—")</f>
        <v>0</v>
      </c>
      <c r="K42" s="14" t="str">
        <f>IF(COUNT(K7:K41) &gt; 0, AVERAGE(K7:K41), "—")</f>
        <v>—</v>
      </c>
      <c r="L42" s="16" t="str">
        <f>IF(COUNT(L7:L41) &gt; 0, SQRT(SUMSQ(L7:L41)/(COUNT(L7:L41)*COUNT(L7:L41)) ), "—")</f>
        <v>—</v>
      </c>
      <c r="M42" s="14">
        <f>IF(COUNT(M7:M41) &gt; 0, AVERAGE(M7:M41), "—")</f>
        <v>68.823471628000007</v>
      </c>
      <c r="N42" s="16">
        <f>IF(COUNT(N7:N41) &gt; 0, SQRT(SUMSQ(N7:N41)/(COUNT(N7:N41)*COUNT(N7:N41)) ), "—")</f>
        <v>0.11752221390947211</v>
      </c>
      <c r="O42" s="14">
        <f>IF(COUNT(O7:O41) &gt; 0, AVERAGE(O7:O41), "—")</f>
        <v>0</v>
      </c>
      <c r="P42" s="16">
        <f>IF(COUNT(P7:P41) &gt; 0, SQRT(SUMSQ(P7:P41)/(COUNT(P7:P41)*COUNT(P7:P41)) ), "—")</f>
        <v>0</v>
      </c>
      <c r="Q42" s="14">
        <f>IF(COUNT(Q7:Q41) &gt; 0, AVERAGE(Q7:Q41), "—")</f>
        <v>0</v>
      </c>
      <c r="R42" s="16">
        <f>IF(COUNT(R7:R41) &gt; 0, SQRT(SUMSQ(R7:R41)/(COUNT(R7:R41)*COUNT(R7:R41)) ), "—")</f>
        <v>0</v>
      </c>
    </row>
    <row r="43" spans="1:18" x14ac:dyDescent="0.25">
      <c r="A43" s="9" t="s">
        <v>86</v>
      </c>
      <c r="B43" s="10"/>
      <c r="C43" s="10"/>
      <c r="D43" s="11"/>
      <c r="E43" s="10"/>
      <c r="F43" s="11"/>
      <c r="G43" s="10"/>
      <c r="H43" s="11"/>
      <c r="I43" s="10"/>
      <c r="J43" s="11"/>
      <c r="K43" s="10"/>
      <c r="L43" s="11"/>
      <c r="M43" s="10"/>
      <c r="N43" s="11"/>
      <c r="O43" s="10"/>
      <c r="P43" s="11"/>
      <c r="Q43" s="10"/>
      <c r="R43" s="12"/>
    </row>
    <row r="44" spans="1:18" x14ac:dyDescent="0.25">
      <c r="A44" s="11" t="s">
        <v>87</v>
      </c>
      <c r="B44" s="17" t="s">
        <v>53</v>
      </c>
      <c r="C44" s="17" t="s">
        <v>53</v>
      </c>
      <c r="D44" s="18" t="s">
        <v>53</v>
      </c>
      <c r="E44" s="17" t="s">
        <v>53</v>
      </c>
      <c r="F44" s="18" t="s">
        <v>53</v>
      </c>
      <c r="G44" s="17" t="s">
        <v>53</v>
      </c>
      <c r="H44" s="18" t="s">
        <v>53</v>
      </c>
      <c r="I44" s="17" t="s">
        <v>53</v>
      </c>
      <c r="J44" s="18" t="s">
        <v>53</v>
      </c>
      <c r="K44" s="17" t="s">
        <v>53</v>
      </c>
      <c r="L44" s="18" t="s">
        <v>53</v>
      </c>
      <c r="M44" s="17" t="s">
        <v>53</v>
      </c>
      <c r="N44" s="18" t="s">
        <v>53</v>
      </c>
      <c r="O44" s="17" t="s">
        <v>53</v>
      </c>
      <c r="P44" s="18" t="s">
        <v>53</v>
      </c>
      <c r="Q44" s="17" t="s">
        <v>53</v>
      </c>
      <c r="R44" s="18" t="s">
        <v>53</v>
      </c>
    </row>
    <row r="45" spans="1:18" x14ac:dyDescent="0.25">
      <c r="A45" s="11" t="s">
        <v>88</v>
      </c>
      <c r="B45" s="17" t="s">
        <v>53</v>
      </c>
      <c r="C45" s="17" t="s">
        <v>53</v>
      </c>
      <c r="D45" s="18" t="s">
        <v>53</v>
      </c>
      <c r="E45" s="17" t="s">
        <v>53</v>
      </c>
      <c r="F45" s="18" t="s">
        <v>53</v>
      </c>
      <c r="G45" s="17" t="s">
        <v>53</v>
      </c>
      <c r="H45" s="18" t="s">
        <v>53</v>
      </c>
      <c r="I45" s="17" t="s">
        <v>53</v>
      </c>
      <c r="J45" s="18" t="s">
        <v>53</v>
      </c>
      <c r="K45" s="17" t="s">
        <v>53</v>
      </c>
      <c r="L45" s="18" t="s">
        <v>53</v>
      </c>
      <c r="M45" s="17" t="s">
        <v>53</v>
      </c>
      <c r="N45" s="18" t="s">
        <v>53</v>
      </c>
      <c r="O45" s="17" t="s">
        <v>53</v>
      </c>
      <c r="P45" s="18" t="s">
        <v>53</v>
      </c>
      <c r="Q45" s="17" t="s">
        <v>53</v>
      </c>
      <c r="R45" s="18" t="s">
        <v>53</v>
      </c>
    </row>
    <row r="46" spans="1:18" x14ac:dyDescent="0.25">
      <c r="A46" s="11" t="s">
        <v>89</v>
      </c>
      <c r="B46" s="13">
        <v>23141</v>
      </c>
      <c r="C46" s="14">
        <f>(4238/B46*100)</f>
        <v>18.313815306166546</v>
      </c>
      <c r="D46" s="15">
        <v>18903</v>
      </c>
      <c r="E46" s="14">
        <v>3.7109758500000001</v>
      </c>
      <c r="F46" s="16">
        <v>0.19801775999999999</v>
      </c>
      <c r="G46" s="14">
        <v>6.9750618500000003</v>
      </c>
      <c r="H46" s="16">
        <v>0.29802335000000002</v>
      </c>
      <c r="I46" s="14">
        <v>0</v>
      </c>
      <c r="J46" s="16">
        <v>0</v>
      </c>
      <c r="K46" s="14" t="s">
        <v>51</v>
      </c>
      <c r="L46" s="16" t="s">
        <v>51</v>
      </c>
      <c r="M46" s="14">
        <v>89.3139623</v>
      </c>
      <c r="N46" s="16">
        <v>0.36673868999999998</v>
      </c>
      <c r="O46" s="14">
        <v>0</v>
      </c>
      <c r="P46" s="16">
        <v>0</v>
      </c>
      <c r="Q46" s="14">
        <v>0</v>
      </c>
      <c r="R46" s="16">
        <v>0</v>
      </c>
    </row>
    <row r="47" spans="1:18" x14ac:dyDescent="0.25">
      <c r="A47" s="11" t="s">
        <v>90</v>
      </c>
      <c r="B47" s="17" t="s">
        <v>53</v>
      </c>
      <c r="C47" s="17" t="s">
        <v>53</v>
      </c>
      <c r="D47" s="18" t="s">
        <v>53</v>
      </c>
      <c r="E47" s="17" t="s">
        <v>53</v>
      </c>
      <c r="F47" s="18" t="s">
        <v>53</v>
      </c>
      <c r="G47" s="17" t="s">
        <v>53</v>
      </c>
      <c r="H47" s="18" t="s">
        <v>53</v>
      </c>
      <c r="I47" s="17" t="s">
        <v>53</v>
      </c>
      <c r="J47" s="18" t="s">
        <v>53</v>
      </c>
      <c r="K47" s="17" t="s">
        <v>53</v>
      </c>
      <c r="L47" s="18" t="s">
        <v>53</v>
      </c>
      <c r="M47" s="17" t="s">
        <v>53</v>
      </c>
      <c r="N47" s="18" t="s">
        <v>53</v>
      </c>
      <c r="O47" s="17" t="s">
        <v>53</v>
      </c>
      <c r="P47" s="18" t="s">
        <v>53</v>
      </c>
      <c r="Q47" s="17" t="s">
        <v>53</v>
      </c>
      <c r="R47" s="18" t="s">
        <v>53</v>
      </c>
    </row>
    <row r="48" spans="1:18" x14ac:dyDescent="0.25">
      <c r="A48" s="11" t="s">
        <v>91</v>
      </c>
      <c r="B48" s="13">
        <v>9841</v>
      </c>
      <c r="C48" s="14">
        <f>(220/B48*100)</f>
        <v>2.235545168173966</v>
      </c>
      <c r="D48" s="15">
        <v>9621</v>
      </c>
      <c r="E48" s="14">
        <v>10.59210532</v>
      </c>
      <c r="F48" s="16">
        <v>0.37495228000000003</v>
      </c>
      <c r="G48" s="14">
        <v>13.09233824</v>
      </c>
      <c r="H48" s="16">
        <v>0.39312923999999999</v>
      </c>
      <c r="I48" s="14">
        <v>0</v>
      </c>
      <c r="J48" s="16">
        <v>0</v>
      </c>
      <c r="K48" s="14" t="s">
        <v>51</v>
      </c>
      <c r="L48" s="16" t="s">
        <v>51</v>
      </c>
      <c r="M48" s="14">
        <v>76.315556439999995</v>
      </c>
      <c r="N48" s="16">
        <v>0.33664875</v>
      </c>
      <c r="O48" s="14">
        <v>0</v>
      </c>
      <c r="P48" s="16">
        <v>0</v>
      </c>
      <c r="Q48" s="14">
        <v>0</v>
      </c>
      <c r="R48" s="16">
        <v>0</v>
      </c>
    </row>
    <row r="49" spans="1:18" x14ac:dyDescent="0.25">
      <c r="A49" s="11" t="s">
        <v>92</v>
      </c>
      <c r="B49" s="17" t="s">
        <v>53</v>
      </c>
      <c r="C49" s="17" t="s">
        <v>53</v>
      </c>
      <c r="D49" s="18" t="s">
        <v>53</v>
      </c>
      <c r="E49" s="17" t="s">
        <v>53</v>
      </c>
      <c r="F49" s="18" t="s">
        <v>53</v>
      </c>
      <c r="G49" s="17" t="s">
        <v>53</v>
      </c>
      <c r="H49" s="18" t="s">
        <v>53</v>
      </c>
      <c r="I49" s="17" t="s">
        <v>53</v>
      </c>
      <c r="J49" s="18" t="s">
        <v>53</v>
      </c>
      <c r="K49" s="17" t="s">
        <v>53</v>
      </c>
      <c r="L49" s="18" t="s">
        <v>53</v>
      </c>
      <c r="M49" s="17" t="s">
        <v>53</v>
      </c>
      <c r="N49" s="18" t="s">
        <v>53</v>
      </c>
      <c r="O49" s="17" t="s">
        <v>53</v>
      </c>
      <c r="P49" s="18" t="s">
        <v>53</v>
      </c>
      <c r="Q49" s="17" t="s">
        <v>53</v>
      </c>
      <c r="R49" s="18" t="s">
        <v>53</v>
      </c>
    </row>
    <row r="50" spans="1:18" x14ac:dyDescent="0.25">
      <c r="A50" s="11" t="s">
        <v>93</v>
      </c>
      <c r="B50" s="17" t="s">
        <v>53</v>
      </c>
      <c r="C50" s="17" t="s">
        <v>53</v>
      </c>
      <c r="D50" s="18" t="s">
        <v>53</v>
      </c>
      <c r="E50" s="17" t="s">
        <v>53</v>
      </c>
      <c r="F50" s="18" t="s">
        <v>53</v>
      </c>
      <c r="G50" s="17" t="s">
        <v>53</v>
      </c>
      <c r="H50" s="18" t="s">
        <v>53</v>
      </c>
      <c r="I50" s="17" t="s">
        <v>53</v>
      </c>
      <c r="J50" s="18" t="s">
        <v>53</v>
      </c>
      <c r="K50" s="17" t="s">
        <v>53</v>
      </c>
      <c r="L50" s="18" t="s">
        <v>53</v>
      </c>
      <c r="M50" s="17" t="s">
        <v>53</v>
      </c>
      <c r="N50" s="18" t="s">
        <v>53</v>
      </c>
      <c r="O50" s="17" t="s">
        <v>53</v>
      </c>
      <c r="P50" s="18" t="s">
        <v>53</v>
      </c>
      <c r="Q50" s="17" t="s">
        <v>53</v>
      </c>
      <c r="R50" s="18" t="s">
        <v>53</v>
      </c>
    </row>
    <row r="51" spans="1:18" x14ac:dyDescent="0.25">
      <c r="A51" s="11" t="s">
        <v>94</v>
      </c>
      <c r="B51" s="17" t="s">
        <v>53</v>
      </c>
      <c r="C51" s="17" t="s">
        <v>53</v>
      </c>
      <c r="D51" s="18" t="s">
        <v>53</v>
      </c>
      <c r="E51" s="17" t="s">
        <v>53</v>
      </c>
      <c r="F51" s="18" t="s">
        <v>53</v>
      </c>
      <c r="G51" s="17" t="s">
        <v>53</v>
      </c>
      <c r="H51" s="18" t="s">
        <v>53</v>
      </c>
      <c r="I51" s="17" t="s">
        <v>53</v>
      </c>
      <c r="J51" s="18" t="s">
        <v>53</v>
      </c>
      <c r="K51" s="17" t="s">
        <v>53</v>
      </c>
      <c r="L51" s="18" t="s">
        <v>53</v>
      </c>
      <c r="M51" s="17" t="s">
        <v>53</v>
      </c>
      <c r="N51" s="18" t="s">
        <v>53</v>
      </c>
      <c r="O51" s="17" t="s">
        <v>53</v>
      </c>
      <c r="P51" s="18" t="s">
        <v>53</v>
      </c>
      <c r="Q51" s="17" t="s">
        <v>53</v>
      </c>
      <c r="R51" s="18" t="s">
        <v>53</v>
      </c>
    </row>
    <row r="52" spans="1:18" x14ac:dyDescent="0.25">
      <c r="A52" s="11" t="s">
        <v>95</v>
      </c>
      <c r="B52" s="17" t="s">
        <v>53</v>
      </c>
      <c r="C52" s="17" t="s">
        <v>53</v>
      </c>
      <c r="D52" s="18" t="s">
        <v>53</v>
      </c>
      <c r="E52" s="17" t="s">
        <v>53</v>
      </c>
      <c r="F52" s="18" t="s">
        <v>53</v>
      </c>
      <c r="G52" s="17" t="s">
        <v>53</v>
      </c>
      <c r="H52" s="18" t="s">
        <v>53</v>
      </c>
      <c r="I52" s="17" t="s">
        <v>53</v>
      </c>
      <c r="J52" s="18" t="s">
        <v>53</v>
      </c>
      <c r="K52" s="17" t="s">
        <v>53</v>
      </c>
      <c r="L52" s="18" t="s">
        <v>53</v>
      </c>
      <c r="M52" s="17" t="s">
        <v>53</v>
      </c>
      <c r="N52" s="18" t="s">
        <v>53</v>
      </c>
      <c r="O52" s="17" t="s">
        <v>53</v>
      </c>
      <c r="P52" s="18" t="s">
        <v>53</v>
      </c>
      <c r="Q52" s="17" t="s">
        <v>53</v>
      </c>
      <c r="R52" s="18" t="s">
        <v>53</v>
      </c>
    </row>
    <row r="53" spans="1:18" x14ac:dyDescent="0.25">
      <c r="A53" s="11" t="s">
        <v>96</v>
      </c>
      <c r="B53" s="17" t="s">
        <v>53</v>
      </c>
      <c r="C53" s="17" t="s">
        <v>53</v>
      </c>
      <c r="D53" s="18" t="s">
        <v>53</v>
      </c>
      <c r="E53" s="17" t="s">
        <v>53</v>
      </c>
      <c r="F53" s="18" t="s">
        <v>53</v>
      </c>
      <c r="G53" s="17" t="s">
        <v>53</v>
      </c>
      <c r="H53" s="18" t="s">
        <v>53</v>
      </c>
      <c r="I53" s="17" t="s">
        <v>53</v>
      </c>
      <c r="J53" s="18" t="s">
        <v>53</v>
      </c>
      <c r="K53" s="17" t="s">
        <v>53</v>
      </c>
      <c r="L53" s="18" t="s">
        <v>53</v>
      </c>
      <c r="M53" s="17" t="s">
        <v>53</v>
      </c>
      <c r="N53" s="18" t="s">
        <v>53</v>
      </c>
      <c r="O53" s="17" t="s">
        <v>53</v>
      </c>
      <c r="P53" s="18" t="s">
        <v>53</v>
      </c>
      <c r="Q53" s="17" t="s">
        <v>53</v>
      </c>
      <c r="R53" s="18" t="s">
        <v>53</v>
      </c>
    </row>
    <row r="54" spans="1:18" x14ac:dyDescent="0.25">
      <c r="A54" s="11" t="s">
        <v>97</v>
      </c>
      <c r="B54" s="17" t="s">
        <v>53</v>
      </c>
      <c r="C54" s="17" t="s">
        <v>53</v>
      </c>
      <c r="D54" s="18" t="s">
        <v>53</v>
      </c>
      <c r="E54" s="17" t="s">
        <v>53</v>
      </c>
      <c r="F54" s="18" t="s">
        <v>53</v>
      </c>
      <c r="G54" s="17" t="s">
        <v>53</v>
      </c>
      <c r="H54" s="18" t="s">
        <v>53</v>
      </c>
      <c r="I54" s="17" t="s">
        <v>53</v>
      </c>
      <c r="J54" s="18" t="s">
        <v>53</v>
      </c>
      <c r="K54" s="17" t="s">
        <v>53</v>
      </c>
      <c r="L54" s="18" t="s">
        <v>53</v>
      </c>
      <c r="M54" s="17" t="s">
        <v>53</v>
      </c>
      <c r="N54" s="18" t="s">
        <v>53</v>
      </c>
      <c r="O54" s="17" t="s">
        <v>53</v>
      </c>
      <c r="P54" s="18" t="s">
        <v>53</v>
      </c>
      <c r="Q54" s="17" t="s">
        <v>53</v>
      </c>
      <c r="R54" s="18" t="s">
        <v>53</v>
      </c>
    </row>
    <row r="55" spans="1:18" x14ac:dyDescent="0.25">
      <c r="A55" s="11" t="s">
        <v>98</v>
      </c>
      <c r="B55" s="17" t="s">
        <v>53</v>
      </c>
      <c r="C55" s="17" t="s">
        <v>53</v>
      </c>
      <c r="D55" s="18" t="s">
        <v>53</v>
      </c>
      <c r="E55" s="17" t="s">
        <v>53</v>
      </c>
      <c r="F55" s="18" t="s">
        <v>53</v>
      </c>
      <c r="G55" s="17" t="s">
        <v>53</v>
      </c>
      <c r="H55" s="18" t="s">
        <v>53</v>
      </c>
      <c r="I55" s="17" t="s">
        <v>53</v>
      </c>
      <c r="J55" s="18" t="s">
        <v>53</v>
      </c>
      <c r="K55" s="17" t="s">
        <v>53</v>
      </c>
      <c r="L55" s="18" t="s">
        <v>53</v>
      </c>
      <c r="M55" s="17" t="s">
        <v>53</v>
      </c>
      <c r="N55" s="18" t="s">
        <v>53</v>
      </c>
      <c r="O55" s="17" t="s">
        <v>53</v>
      </c>
      <c r="P55" s="18" t="s">
        <v>53</v>
      </c>
      <c r="Q55" s="17" t="s">
        <v>53</v>
      </c>
      <c r="R55" s="18" t="s">
        <v>53</v>
      </c>
    </row>
    <row r="56" spans="1:18" x14ac:dyDescent="0.25">
      <c r="A56" s="11" t="s">
        <v>99</v>
      </c>
      <c r="B56" s="17" t="s">
        <v>53</v>
      </c>
      <c r="C56" s="17" t="s">
        <v>53</v>
      </c>
      <c r="D56" s="18" t="s">
        <v>53</v>
      </c>
      <c r="E56" s="17" t="s">
        <v>53</v>
      </c>
      <c r="F56" s="18" t="s">
        <v>53</v>
      </c>
      <c r="G56" s="17" t="s">
        <v>53</v>
      </c>
      <c r="H56" s="18" t="s">
        <v>53</v>
      </c>
      <c r="I56" s="17" t="s">
        <v>53</v>
      </c>
      <c r="J56" s="18" t="s">
        <v>53</v>
      </c>
      <c r="K56" s="17" t="s">
        <v>53</v>
      </c>
      <c r="L56" s="18" t="s">
        <v>53</v>
      </c>
      <c r="M56" s="17" t="s">
        <v>53</v>
      </c>
      <c r="N56" s="18" t="s">
        <v>53</v>
      </c>
      <c r="O56" s="17" t="s">
        <v>53</v>
      </c>
      <c r="P56" s="18" t="s">
        <v>53</v>
      </c>
      <c r="Q56" s="17" t="s">
        <v>53</v>
      </c>
      <c r="R56" s="18" t="s">
        <v>53</v>
      </c>
    </row>
    <row r="57" spans="1:18" x14ac:dyDescent="0.25">
      <c r="A57" s="11" t="s">
        <v>100</v>
      </c>
      <c r="B57" s="17" t="s">
        <v>53</v>
      </c>
      <c r="C57" s="17" t="s">
        <v>53</v>
      </c>
      <c r="D57" s="18" t="s">
        <v>53</v>
      </c>
      <c r="E57" s="17" t="s">
        <v>53</v>
      </c>
      <c r="F57" s="18" t="s">
        <v>53</v>
      </c>
      <c r="G57" s="17" t="s">
        <v>53</v>
      </c>
      <c r="H57" s="18" t="s">
        <v>53</v>
      </c>
      <c r="I57" s="17" t="s">
        <v>53</v>
      </c>
      <c r="J57" s="18" t="s">
        <v>53</v>
      </c>
      <c r="K57" s="17" t="s">
        <v>53</v>
      </c>
      <c r="L57" s="18" t="s">
        <v>53</v>
      </c>
      <c r="M57" s="17" t="s">
        <v>53</v>
      </c>
      <c r="N57" s="18" t="s">
        <v>53</v>
      </c>
      <c r="O57" s="17" t="s">
        <v>53</v>
      </c>
      <c r="P57" s="18" t="s">
        <v>53</v>
      </c>
      <c r="Q57" s="17" t="s">
        <v>53</v>
      </c>
      <c r="R57" s="18" t="s">
        <v>53</v>
      </c>
    </row>
    <row r="58" spans="1:18" x14ac:dyDescent="0.25">
      <c r="A58" s="11" t="s">
        <v>101</v>
      </c>
      <c r="B58" s="17" t="s">
        <v>53</v>
      </c>
      <c r="C58" s="17" t="s">
        <v>53</v>
      </c>
      <c r="D58" s="18" t="s">
        <v>53</v>
      </c>
      <c r="E58" s="17" t="s">
        <v>53</v>
      </c>
      <c r="F58" s="18" t="s">
        <v>53</v>
      </c>
      <c r="G58" s="17" t="s">
        <v>53</v>
      </c>
      <c r="H58" s="18" t="s">
        <v>53</v>
      </c>
      <c r="I58" s="17" t="s">
        <v>53</v>
      </c>
      <c r="J58" s="18" t="s">
        <v>53</v>
      </c>
      <c r="K58" s="17" t="s">
        <v>53</v>
      </c>
      <c r="L58" s="18" t="s">
        <v>53</v>
      </c>
      <c r="M58" s="17" t="s">
        <v>53</v>
      </c>
      <c r="N58" s="18" t="s">
        <v>53</v>
      </c>
      <c r="O58" s="17" t="s">
        <v>53</v>
      </c>
      <c r="P58" s="18" t="s">
        <v>53</v>
      </c>
      <c r="Q58" s="17" t="s">
        <v>53</v>
      </c>
      <c r="R58" s="18" t="s">
        <v>53</v>
      </c>
    </row>
    <row r="59" spans="1:18" x14ac:dyDescent="0.25">
      <c r="A59" s="11" t="s">
        <v>102</v>
      </c>
      <c r="B59" s="17" t="s">
        <v>53</v>
      </c>
      <c r="C59" s="17" t="s">
        <v>53</v>
      </c>
      <c r="D59" s="18" t="s">
        <v>53</v>
      </c>
      <c r="E59" s="17" t="s">
        <v>53</v>
      </c>
      <c r="F59" s="18" t="s">
        <v>53</v>
      </c>
      <c r="G59" s="17" t="s">
        <v>53</v>
      </c>
      <c r="H59" s="18" t="s">
        <v>53</v>
      </c>
      <c r="I59" s="17" t="s">
        <v>53</v>
      </c>
      <c r="J59" s="18" t="s">
        <v>53</v>
      </c>
      <c r="K59" s="17" t="s">
        <v>53</v>
      </c>
      <c r="L59" s="18" t="s">
        <v>53</v>
      </c>
      <c r="M59" s="17" t="s">
        <v>53</v>
      </c>
      <c r="N59" s="18" t="s">
        <v>53</v>
      </c>
      <c r="O59" s="17" t="s">
        <v>53</v>
      </c>
      <c r="P59" s="18" t="s">
        <v>53</v>
      </c>
      <c r="Q59" s="17" t="s">
        <v>53</v>
      </c>
      <c r="R59" s="18" t="s">
        <v>53</v>
      </c>
    </row>
    <row r="60" spans="1:18" x14ac:dyDescent="0.25">
      <c r="A60" s="11" t="s">
        <v>103</v>
      </c>
      <c r="B60" s="17" t="s">
        <v>53</v>
      </c>
      <c r="C60" s="17" t="s">
        <v>53</v>
      </c>
      <c r="D60" s="18" t="s">
        <v>53</v>
      </c>
      <c r="E60" s="17" t="s">
        <v>53</v>
      </c>
      <c r="F60" s="18" t="s">
        <v>53</v>
      </c>
      <c r="G60" s="17" t="s">
        <v>53</v>
      </c>
      <c r="H60" s="18" t="s">
        <v>53</v>
      </c>
      <c r="I60" s="17" t="s">
        <v>53</v>
      </c>
      <c r="J60" s="18" t="s">
        <v>53</v>
      </c>
      <c r="K60" s="17" t="s">
        <v>53</v>
      </c>
      <c r="L60" s="18" t="s">
        <v>53</v>
      </c>
      <c r="M60" s="17" t="s">
        <v>53</v>
      </c>
      <c r="N60" s="18" t="s">
        <v>53</v>
      </c>
      <c r="O60" s="17" t="s">
        <v>53</v>
      </c>
      <c r="P60" s="18" t="s">
        <v>53</v>
      </c>
      <c r="Q60" s="17" t="s">
        <v>53</v>
      </c>
      <c r="R60" s="18" t="s">
        <v>53</v>
      </c>
    </row>
    <row r="61" spans="1:18" x14ac:dyDescent="0.25">
      <c r="A61" s="11" t="s">
        <v>104</v>
      </c>
      <c r="B61" s="13">
        <v>6525</v>
      </c>
      <c r="C61" s="14">
        <f>(234/B61*100)</f>
        <v>3.5862068965517238</v>
      </c>
      <c r="D61" s="15">
        <v>6291</v>
      </c>
      <c r="E61" s="14">
        <v>11.441356710000001</v>
      </c>
      <c r="F61" s="16">
        <v>0.37419752000000001</v>
      </c>
      <c r="G61" s="14">
        <v>12.491554450000001</v>
      </c>
      <c r="H61" s="16">
        <v>0.40313655999999998</v>
      </c>
      <c r="I61" s="14">
        <v>0</v>
      </c>
      <c r="J61" s="16">
        <v>0</v>
      </c>
      <c r="K61" s="14" t="s">
        <v>51</v>
      </c>
      <c r="L61" s="16" t="s">
        <v>51</v>
      </c>
      <c r="M61" s="14">
        <v>76.067088839999997</v>
      </c>
      <c r="N61" s="16">
        <v>0.38770993999999998</v>
      </c>
      <c r="O61" s="14">
        <v>0</v>
      </c>
      <c r="P61" s="16">
        <v>0</v>
      </c>
      <c r="Q61" s="14">
        <v>0</v>
      </c>
      <c r="R61" s="16">
        <v>0</v>
      </c>
    </row>
    <row r="62" spans="1:18" x14ac:dyDescent="0.25">
      <c r="A62" s="11" t="s">
        <v>105</v>
      </c>
      <c r="B62" s="17" t="s">
        <v>53</v>
      </c>
      <c r="C62" s="17" t="s">
        <v>53</v>
      </c>
      <c r="D62" s="18" t="s">
        <v>53</v>
      </c>
      <c r="E62" s="17" t="s">
        <v>53</v>
      </c>
      <c r="F62" s="18" t="s">
        <v>53</v>
      </c>
      <c r="G62" s="17" t="s">
        <v>53</v>
      </c>
      <c r="H62" s="18" t="s">
        <v>53</v>
      </c>
      <c r="I62" s="17" t="s">
        <v>53</v>
      </c>
      <c r="J62" s="18" t="s">
        <v>53</v>
      </c>
      <c r="K62" s="17" t="s">
        <v>53</v>
      </c>
      <c r="L62" s="18" t="s">
        <v>53</v>
      </c>
      <c r="M62" s="17" t="s">
        <v>53</v>
      </c>
      <c r="N62" s="18" t="s">
        <v>53</v>
      </c>
      <c r="O62" s="17" t="s">
        <v>53</v>
      </c>
      <c r="P62" s="18" t="s">
        <v>53</v>
      </c>
      <c r="Q62" s="17" t="s">
        <v>53</v>
      </c>
      <c r="R62" s="18" t="s">
        <v>53</v>
      </c>
    </row>
    <row r="63" spans="1:18" x14ac:dyDescent="0.25">
      <c r="A63" s="11" t="s">
        <v>106</v>
      </c>
      <c r="B63" s="17" t="s">
        <v>53</v>
      </c>
      <c r="C63" s="17" t="s">
        <v>53</v>
      </c>
      <c r="D63" s="18" t="s">
        <v>53</v>
      </c>
      <c r="E63" s="17" t="s">
        <v>53</v>
      </c>
      <c r="F63" s="18" t="s">
        <v>53</v>
      </c>
      <c r="G63" s="17" t="s">
        <v>53</v>
      </c>
      <c r="H63" s="18" t="s">
        <v>53</v>
      </c>
      <c r="I63" s="17" t="s">
        <v>53</v>
      </c>
      <c r="J63" s="18" t="s">
        <v>53</v>
      </c>
      <c r="K63" s="17" t="s">
        <v>53</v>
      </c>
      <c r="L63" s="18" t="s">
        <v>53</v>
      </c>
      <c r="M63" s="17" t="s">
        <v>53</v>
      </c>
      <c r="N63" s="18" t="s">
        <v>53</v>
      </c>
      <c r="O63" s="17" t="s">
        <v>53</v>
      </c>
      <c r="P63" s="18" t="s">
        <v>53</v>
      </c>
      <c r="Q63" s="17" t="s">
        <v>53</v>
      </c>
      <c r="R63" s="18" t="s">
        <v>53</v>
      </c>
    </row>
    <row r="64" spans="1:18" x14ac:dyDescent="0.25">
      <c r="A64" s="11" t="s">
        <v>107</v>
      </c>
      <c r="B64" s="17" t="s">
        <v>53</v>
      </c>
      <c r="C64" s="17" t="s">
        <v>53</v>
      </c>
      <c r="D64" s="18" t="s">
        <v>53</v>
      </c>
      <c r="E64" s="17" t="s">
        <v>53</v>
      </c>
      <c r="F64" s="18" t="s">
        <v>53</v>
      </c>
      <c r="G64" s="17" t="s">
        <v>53</v>
      </c>
      <c r="H64" s="18" t="s">
        <v>53</v>
      </c>
      <c r="I64" s="17" t="s">
        <v>53</v>
      </c>
      <c r="J64" s="18" t="s">
        <v>53</v>
      </c>
      <c r="K64" s="17" t="s">
        <v>53</v>
      </c>
      <c r="L64" s="18" t="s">
        <v>53</v>
      </c>
      <c r="M64" s="17" t="s">
        <v>53</v>
      </c>
      <c r="N64" s="18" t="s">
        <v>53</v>
      </c>
      <c r="O64" s="17" t="s">
        <v>53</v>
      </c>
      <c r="P64" s="18" t="s">
        <v>53</v>
      </c>
      <c r="Q64" s="17" t="s">
        <v>53</v>
      </c>
      <c r="R64" s="18" t="s">
        <v>53</v>
      </c>
    </row>
    <row r="65" spans="1:18" x14ac:dyDescent="0.25">
      <c r="A65" s="11" t="s">
        <v>108</v>
      </c>
      <c r="B65" s="17" t="s">
        <v>53</v>
      </c>
      <c r="C65" s="17" t="s">
        <v>53</v>
      </c>
      <c r="D65" s="18" t="s">
        <v>53</v>
      </c>
      <c r="E65" s="17" t="s">
        <v>53</v>
      </c>
      <c r="F65" s="18" t="s">
        <v>53</v>
      </c>
      <c r="G65" s="17" t="s">
        <v>53</v>
      </c>
      <c r="H65" s="18" t="s">
        <v>53</v>
      </c>
      <c r="I65" s="17" t="s">
        <v>53</v>
      </c>
      <c r="J65" s="18" t="s">
        <v>53</v>
      </c>
      <c r="K65" s="17" t="s">
        <v>53</v>
      </c>
      <c r="L65" s="18" t="s">
        <v>53</v>
      </c>
      <c r="M65" s="17" t="s">
        <v>53</v>
      </c>
      <c r="N65" s="18" t="s">
        <v>53</v>
      </c>
      <c r="O65" s="17" t="s">
        <v>53</v>
      </c>
      <c r="P65" s="18" t="s">
        <v>53</v>
      </c>
      <c r="Q65" s="17" t="s">
        <v>53</v>
      </c>
      <c r="R65" s="18" t="s">
        <v>53</v>
      </c>
    </row>
    <row r="66" spans="1:18" x14ac:dyDescent="0.25">
      <c r="A66" s="11" t="s">
        <v>109</v>
      </c>
      <c r="B66" s="17" t="s">
        <v>53</v>
      </c>
      <c r="C66" s="17" t="s">
        <v>53</v>
      </c>
      <c r="D66" s="18" t="s">
        <v>53</v>
      </c>
      <c r="E66" s="17" t="s">
        <v>53</v>
      </c>
      <c r="F66" s="18" t="s">
        <v>53</v>
      </c>
      <c r="G66" s="17" t="s">
        <v>53</v>
      </c>
      <c r="H66" s="18" t="s">
        <v>53</v>
      </c>
      <c r="I66" s="17" t="s">
        <v>53</v>
      </c>
      <c r="J66" s="18" t="s">
        <v>53</v>
      </c>
      <c r="K66" s="17" t="s">
        <v>53</v>
      </c>
      <c r="L66" s="18" t="s">
        <v>53</v>
      </c>
      <c r="M66" s="17" t="s">
        <v>53</v>
      </c>
      <c r="N66" s="18" t="s">
        <v>53</v>
      </c>
      <c r="O66" s="17" t="s">
        <v>53</v>
      </c>
      <c r="P66" s="18" t="s">
        <v>53</v>
      </c>
      <c r="Q66" s="17" t="s">
        <v>53</v>
      </c>
      <c r="R66" s="18" t="s">
        <v>53</v>
      </c>
    </row>
    <row r="67" spans="1:18" x14ac:dyDescent="0.25">
      <c r="A67" s="11" t="s">
        <v>110</v>
      </c>
      <c r="B67" s="13">
        <v>6971</v>
      </c>
      <c r="C67" s="14">
        <f>(892/B67*100)</f>
        <v>12.795868598479416</v>
      </c>
      <c r="D67" s="15">
        <v>6079</v>
      </c>
      <c r="E67" s="14">
        <v>3.6931548900000002</v>
      </c>
      <c r="F67" s="16">
        <v>0.30804788</v>
      </c>
      <c r="G67" s="14">
        <v>11.40449978</v>
      </c>
      <c r="H67" s="16">
        <v>0.42764816999999999</v>
      </c>
      <c r="I67" s="14">
        <v>0</v>
      </c>
      <c r="J67" s="16">
        <v>0</v>
      </c>
      <c r="K67" s="14" t="s">
        <v>51</v>
      </c>
      <c r="L67" s="16" t="s">
        <v>51</v>
      </c>
      <c r="M67" s="14">
        <v>84.902345330000003</v>
      </c>
      <c r="N67" s="16">
        <v>0.56831597</v>
      </c>
      <c r="O67" s="14">
        <v>0</v>
      </c>
      <c r="P67" s="16">
        <v>0</v>
      </c>
      <c r="Q67" s="14">
        <v>0</v>
      </c>
      <c r="R67" s="16">
        <v>0</v>
      </c>
    </row>
    <row r="68" spans="1:18" x14ac:dyDescent="0.25">
      <c r="A68" s="11" t="s">
        <v>111</v>
      </c>
      <c r="B68" s="17" t="s">
        <v>53</v>
      </c>
      <c r="C68" s="17" t="s">
        <v>53</v>
      </c>
      <c r="D68" s="18" t="s">
        <v>53</v>
      </c>
      <c r="E68" s="17" t="s">
        <v>53</v>
      </c>
      <c r="F68" s="18" t="s">
        <v>53</v>
      </c>
      <c r="G68" s="17" t="s">
        <v>53</v>
      </c>
      <c r="H68" s="18" t="s">
        <v>53</v>
      </c>
      <c r="I68" s="17" t="s">
        <v>53</v>
      </c>
      <c r="J68" s="18" t="s">
        <v>53</v>
      </c>
      <c r="K68" s="17" t="s">
        <v>53</v>
      </c>
      <c r="L68" s="18" t="s">
        <v>53</v>
      </c>
      <c r="M68" s="17" t="s">
        <v>53</v>
      </c>
      <c r="N68" s="18" t="s">
        <v>53</v>
      </c>
      <c r="O68" s="17" t="s">
        <v>53</v>
      </c>
      <c r="P68" s="18" t="s">
        <v>53</v>
      </c>
      <c r="Q68" s="17" t="s">
        <v>53</v>
      </c>
      <c r="R68" s="18" t="s">
        <v>53</v>
      </c>
    </row>
    <row r="69" spans="1:18" x14ac:dyDescent="0.25">
      <c r="A69" s="11" t="s">
        <v>112</v>
      </c>
      <c r="B69" s="17" t="s">
        <v>53</v>
      </c>
      <c r="C69" s="17" t="s">
        <v>53</v>
      </c>
      <c r="D69" s="18" t="s">
        <v>53</v>
      </c>
      <c r="E69" s="17" t="s">
        <v>53</v>
      </c>
      <c r="F69" s="18" t="s">
        <v>53</v>
      </c>
      <c r="G69" s="17" t="s">
        <v>53</v>
      </c>
      <c r="H69" s="18" t="s">
        <v>53</v>
      </c>
      <c r="I69" s="17" t="s">
        <v>53</v>
      </c>
      <c r="J69" s="18" t="s">
        <v>53</v>
      </c>
      <c r="K69" s="17" t="s">
        <v>53</v>
      </c>
      <c r="L69" s="18" t="s">
        <v>53</v>
      </c>
      <c r="M69" s="17" t="s">
        <v>53</v>
      </c>
      <c r="N69" s="18" t="s">
        <v>53</v>
      </c>
      <c r="O69" s="17" t="s">
        <v>53</v>
      </c>
      <c r="P69" s="18" t="s">
        <v>53</v>
      </c>
      <c r="Q69" s="17" t="s">
        <v>53</v>
      </c>
      <c r="R69" s="18" t="s">
        <v>53</v>
      </c>
    </row>
    <row r="70" spans="1:18" x14ac:dyDescent="0.25">
      <c r="A70" s="11" t="s">
        <v>113</v>
      </c>
      <c r="B70" s="13">
        <v>6036</v>
      </c>
      <c r="C70" s="14">
        <f>(464/B70*100)</f>
        <v>7.6872100728959571</v>
      </c>
      <c r="D70" s="15">
        <v>5572</v>
      </c>
      <c r="E70" s="14">
        <v>11.42242776</v>
      </c>
      <c r="F70" s="16">
        <v>0.49570059</v>
      </c>
      <c r="G70" s="14">
        <v>8.0416346599999997</v>
      </c>
      <c r="H70" s="16">
        <v>0.42402321999999998</v>
      </c>
      <c r="I70" s="14">
        <v>0</v>
      </c>
      <c r="J70" s="16">
        <v>0</v>
      </c>
      <c r="K70" s="14" t="s">
        <v>51</v>
      </c>
      <c r="L70" s="16" t="s">
        <v>51</v>
      </c>
      <c r="M70" s="14">
        <v>80.535937579999995</v>
      </c>
      <c r="N70" s="16">
        <v>0.56186782999999996</v>
      </c>
      <c r="O70" s="14">
        <v>0</v>
      </c>
      <c r="P70" s="16">
        <v>0</v>
      </c>
      <c r="Q70" s="14">
        <v>0</v>
      </c>
      <c r="R70" s="16">
        <v>0</v>
      </c>
    </row>
    <row r="71" spans="1:18" x14ac:dyDescent="0.25">
      <c r="A71" s="11" t="s">
        <v>114</v>
      </c>
      <c r="B71" s="17" t="s">
        <v>53</v>
      </c>
      <c r="C71" s="17" t="s">
        <v>53</v>
      </c>
      <c r="D71" s="18" t="s">
        <v>53</v>
      </c>
      <c r="E71" s="17" t="s">
        <v>53</v>
      </c>
      <c r="F71" s="18" t="s">
        <v>53</v>
      </c>
      <c r="G71" s="17" t="s">
        <v>53</v>
      </c>
      <c r="H71" s="18" t="s">
        <v>53</v>
      </c>
      <c r="I71" s="17" t="s">
        <v>53</v>
      </c>
      <c r="J71" s="18" t="s">
        <v>53</v>
      </c>
      <c r="K71" s="17" t="s">
        <v>53</v>
      </c>
      <c r="L71" s="18" t="s">
        <v>53</v>
      </c>
      <c r="M71" s="17" t="s">
        <v>53</v>
      </c>
      <c r="N71" s="18" t="s">
        <v>53</v>
      </c>
      <c r="O71" s="17" t="s">
        <v>53</v>
      </c>
      <c r="P71" s="18" t="s">
        <v>53</v>
      </c>
      <c r="Q71" s="17" t="s">
        <v>53</v>
      </c>
      <c r="R71" s="18" t="s">
        <v>53</v>
      </c>
    </row>
    <row r="72" spans="1:18" x14ac:dyDescent="0.25">
      <c r="A72" s="11" t="s">
        <v>115</v>
      </c>
      <c r="B72" s="17" t="s">
        <v>53</v>
      </c>
      <c r="C72" s="17" t="s">
        <v>53</v>
      </c>
      <c r="D72" s="18" t="s">
        <v>53</v>
      </c>
      <c r="E72" s="17" t="s">
        <v>53</v>
      </c>
      <c r="F72" s="18" t="s">
        <v>53</v>
      </c>
      <c r="G72" s="17" t="s">
        <v>53</v>
      </c>
      <c r="H72" s="18" t="s">
        <v>53</v>
      </c>
      <c r="I72" s="17" t="s">
        <v>53</v>
      </c>
      <c r="J72" s="18" t="s">
        <v>53</v>
      </c>
      <c r="K72" s="17" t="s">
        <v>53</v>
      </c>
      <c r="L72" s="18" t="s">
        <v>53</v>
      </c>
      <c r="M72" s="17" t="s">
        <v>53</v>
      </c>
      <c r="N72" s="18" t="s">
        <v>53</v>
      </c>
      <c r="O72" s="17" t="s">
        <v>53</v>
      </c>
      <c r="P72" s="18" t="s">
        <v>53</v>
      </c>
      <c r="Q72" s="17" t="s">
        <v>53</v>
      </c>
      <c r="R72" s="18" t="s">
        <v>53</v>
      </c>
    </row>
    <row r="73" spans="1:18" x14ac:dyDescent="0.25">
      <c r="A73" s="11" t="s">
        <v>116</v>
      </c>
      <c r="B73" s="17" t="s">
        <v>53</v>
      </c>
      <c r="C73" s="17" t="s">
        <v>53</v>
      </c>
      <c r="D73" s="18" t="s">
        <v>53</v>
      </c>
      <c r="E73" s="17" t="s">
        <v>53</v>
      </c>
      <c r="F73" s="18" t="s">
        <v>53</v>
      </c>
      <c r="G73" s="17" t="s">
        <v>53</v>
      </c>
      <c r="H73" s="18" t="s">
        <v>53</v>
      </c>
      <c r="I73" s="17" t="s">
        <v>53</v>
      </c>
      <c r="J73" s="18" t="s">
        <v>53</v>
      </c>
      <c r="K73" s="17" t="s">
        <v>53</v>
      </c>
      <c r="L73" s="18" t="s">
        <v>53</v>
      </c>
      <c r="M73" s="17" t="s">
        <v>53</v>
      </c>
      <c r="N73" s="18" t="s">
        <v>53</v>
      </c>
      <c r="O73" s="17" t="s">
        <v>53</v>
      </c>
      <c r="P73" s="18" t="s">
        <v>53</v>
      </c>
      <c r="Q73" s="17" t="s">
        <v>53</v>
      </c>
      <c r="R73" s="18" t="s">
        <v>53</v>
      </c>
    </row>
    <row r="74" spans="1:18" x14ac:dyDescent="0.25">
      <c r="A74" s="11" t="s">
        <v>117</v>
      </c>
      <c r="B74" s="17" t="s">
        <v>53</v>
      </c>
      <c r="C74" s="17" t="s">
        <v>53</v>
      </c>
      <c r="D74" s="18" t="s">
        <v>53</v>
      </c>
      <c r="E74" s="17" t="s">
        <v>53</v>
      </c>
      <c r="F74" s="18" t="s">
        <v>53</v>
      </c>
      <c r="G74" s="17" t="s">
        <v>53</v>
      </c>
      <c r="H74" s="18" t="s">
        <v>53</v>
      </c>
      <c r="I74" s="17" t="s">
        <v>53</v>
      </c>
      <c r="J74" s="18" t="s">
        <v>53</v>
      </c>
      <c r="K74" s="17" t="s">
        <v>53</v>
      </c>
      <c r="L74" s="18" t="s">
        <v>53</v>
      </c>
      <c r="M74" s="17" t="s">
        <v>53</v>
      </c>
      <c r="N74" s="18" t="s">
        <v>53</v>
      </c>
      <c r="O74" s="17" t="s">
        <v>53</v>
      </c>
      <c r="P74" s="18" t="s">
        <v>53</v>
      </c>
      <c r="Q74" s="17" t="s">
        <v>53</v>
      </c>
      <c r="R74" s="18" t="s">
        <v>53</v>
      </c>
    </row>
    <row r="75" spans="1:18" x14ac:dyDescent="0.25">
      <c r="A75" s="11" t="s">
        <v>118</v>
      </c>
      <c r="B75" s="17" t="s">
        <v>53</v>
      </c>
      <c r="C75" s="17" t="s">
        <v>53</v>
      </c>
      <c r="D75" s="18" t="s">
        <v>53</v>
      </c>
      <c r="E75" s="17" t="s">
        <v>53</v>
      </c>
      <c r="F75" s="18" t="s">
        <v>53</v>
      </c>
      <c r="G75" s="17" t="s">
        <v>53</v>
      </c>
      <c r="H75" s="18" t="s">
        <v>53</v>
      </c>
      <c r="I75" s="17" t="s">
        <v>53</v>
      </c>
      <c r="J75" s="18" t="s">
        <v>53</v>
      </c>
      <c r="K75" s="17" t="s">
        <v>53</v>
      </c>
      <c r="L75" s="18" t="s">
        <v>53</v>
      </c>
      <c r="M75" s="17" t="s">
        <v>53</v>
      </c>
      <c r="N75" s="18" t="s">
        <v>53</v>
      </c>
      <c r="O75" s="17" t="s">
        <v>53</v>
      </c>
      <c r="P75" s="18" t="s">
        <v>53</v>
      </c>
      <c r="Q75" s="17" t="s">
        <v>53</v>
      </c>
      <c r="R75" s="18" t="s">
        <v>53</v>
      </c>
    </row>
    <row r="76" spans="1:18" x14ac:dyDescent="0.25">
      <c r="A76" s="11" t="s">
        <v>119</v>
      </c>
      <c r="B76" s="17" t="s">
        <v>53</v>
      </c>
      <c r="C76" s="17" t="s">
        <v>53</v>
      </c>
      <c r="D76" s="18" t="s">
        <v>53</v>
      </c>
      <c r="E76" s="17" t="s">
        <v>53</v>
      </c>
      <c r="F76" s="18" t="s">
        <v>53</v>
      </c>
      <c r="G76" s="17" t="s">
        <v>53</v>
      </c>
      <c r="H76" s="18" t="s">
        <v>53</v>
      </c>
      <c r="I76" s="17" t="s">
        <v>53</v>
      </c>
      <c r="J76" s="18" t="s">
        <v>53</v>
      </c>
      <c r="K76" s="17" t="s">
        <v>53</v>
      </c>
      <c r="L76" s="18" t="s">
        <v>53</v>
      </c>
      <c r="M76" s="17" t="s">
        <v>53</v>
      </c>
      <c r="N76" s="18" t="s">
        <v>53</v>
      </c>
      <c r="O76" s="17" t="s">
        <v>53</v>
      </c>
      <c r="P76" s="18" t="s">
        <v>53</v>
      </c>
      <c r="Q76" s="17" t="s">
        <v>53</v>
      </c>
      <c r="R76" s="18" t="s">
        <v>53</v>
      </c>
    </row>
    <row r="77" spans="1:18" x14ac:dyDescent="0.25">
      <c r="A77" s="11" t="s">
        <v>120</v>
      </c>
      <c r="B77" s="17" t="s">
        <v>53</v>
      </c>
      <c r="C77" s="17" t="s">
        <v>53</v>
      </c>
      <c r="D77" s="18" t="s">
        <v>53</v>
      </c>
      <c r="E77" s="17" t="s">
        <v>53</v>
      </c>
      <c r="F77" s="18" t="s">
        <v>53</v>
      </c>
      <c r="G77" s="17" t="s">
        <v>53</v>
      </c>
      <c r="H77" s="18" t="s">
        <v>53</v>
      </c>
      <c r="I77" s="17" t="s">
        <v>53</v>
      </c>
      <c r="J77" s="18" t="s">
        <v>53</v>
      </c>
      <c r="K77" s="17" t="s">
        <v>53</v>
      </c>
      <c r="L77" s="18" t="s">
        <v>53</v>
      </c>
      <c r="M77" s="17" t="s">
        <v>53</v>
      </c>
      <c r="N77" s="18" t="s">
        <v>53</v>
      </c>
      <c r="O77" s="17" t="s">
        <v>53</v>
      </c>
      <c r="P77" s="18" t="s">
        <v>53</v>
      </c>
      <c r="Q77" s="17" t="s">
        <v>53</v>
      </c>
      <c r="R77" s="18" t="s">
        <v>53</v>
      </c>
    </row>
    <row r="78" spans="1:18" x14ac:dyDescent="0.25">
      <c r="A78" s="11" t="s">
        <v>121</v>
      </c>
      <c r="B78" s="17" t="s">
        <v>53</v>
      </c>
      <c r="C78" s="17" t="s">
        <v>53</v>
      </c>
      <c r="D78" s="18" t="s">
        <v>53</v>
      </c>
      <c r="E78" s="17" t="s">
        <v>53</v>
      </c>
      <c r="F78" s="18" t="s">
        <v>53</v>
      </c>
      <c r="G78" s="17" t="s">
        <v>53</v>
      </c>
      <c r="H78" s="18" t="s">
        <v>53</v>
      </c>
      <c r="I78" s="17" t="s">
        <v>53</v>
      </c>
      <c r="J78" s="18" t="s">
        <v>53</v>
      </c>
      <c r="K78" s="17" t="s">
        <v>53</v>
      </c>
      <c r="L78" s="18" t="s">
        <v>53</v>
      </c>
      <c r="M78" s="17" t="s">
        <v>53</v>
      </c>
      <c r="N78" s="18" t="s">
        <v>53</v>
      </c>
      <c r="O78" s="17" t="s">
        <v>53</v>
      </c>
      <c r="P78" s="18" t="s">
        <v>53</v>
      </c>
      <c r="Q78" s="17" t="s">
        <v>53</v>
      </c>
      <c r="R78" s="18" t="s">
        <v>53</v>
      </c>
    </row>
    <row r="79" spans="1:18" ht="24.95" customHeight="1" x14ac:dyDescent="0.25">
      <c r="A79" s="11" t="s">
        <v>122</v>
      </c>
      <c r="B79" s="17" t="s">
        <v>53</v>
      </c>
      <c r="C79" s="17" t="s">
        <v>53</v>
      </c>
      <c r="D79" s="18" t="s">
        <v>53</v>
      </c>
      <c r="E79" s="17" t="s">
        <v>53</v>
      </c>
      <c r="F79" s="18" t="s">
        <v>53</v>
      </c>
      <c r="G79" s="17" t="s">
        <v>53</v>
      </c>
      <c r="H79" s="18" t="s">
        <v>53</v>
      </c>
      <c r="I79" s="17" t="s">
        <v>53</v>
      </c>
      <c r="J79" s="18" t="s">
        <v>53</v>
      </c>
      <c r="K79" s="17" t="s">
        <v>53</v>
      </c>
      <c r="L79" s="18" t="s">
        <v>53</v>
      </c>
      <c r="M79" s="17" t="s">
        <v>53</v>
      </c>
      <c r="N79" s="18" t="s">
        <v>53</v>
      </c>
      <c r="O79" s="17" t="s">
        <v>53</v>
      </c>
      <c r="P79" s="18" t="s">
        <v>53</v>
      </c>
      <c r="Q79" s="17" t="s">
        <v>53</v>
      </c>
      <c r="R79" s="18" t="s">
        <v>53</v>
      </c>
    </row>
    <row r="80" spans="1:18" x14ac:dyDescent="0.25">
      <c r="A80" s="11" t="s">
        <v>123</v>
      </c>
      <c r="B80" s="17" t="s">
        <v>53</v>
      </c>
      <c r="C80" s="17" t="s">
        <v>53</v>
      </c>
      <c r="D80" s="18" t="s">
        <v>53</v>
      </c>
      <c r="E80" s="17" t="s">
        <v>53</v>
      </c>
      <c r="F80" s="18" t="s">
        <v>53</v>
      </c>
      <c r="G80" s="17" t="s">
        <v>53</v>
      </c>
      <c r="H80" s="18" t="s">
        <v>53</v>
      </c>
      <c r="I80" s="17" t="s">
        <v>53</v>
      </c>
      <c r="J80" s="18" t="s">
        <v>53</v>
      </c>
      <c r="K80" s="17" t="s">
        <v>53</v>
      </c>
      <c r="L80" s="18" t="s">
        <v>53</v>
      </c>
      <c r="M80" s="17" t="s">
        <v>53</v>
      </c>
      <c r="N80" s="18" t="s">
        <v>53</v>
      </c>
      <c r="O80" s="17" t="s">
        <v>53</v>
      </c>
      <c r="P80" s="18" t="s">
        <v>53</v>
      </c>
      <c r="Q80" s="17" t="s">
        <v>53</v>
      </c>
      <c r="R80" s="18" t="s">
        <v>53</v>
      </c>
    </row>
    <row r="81" spans="1:18" x14ac:dyDescent="0.25">
      <c r="A81" s="19" t="s">
        <v>124</v>
      </c>
      <c r="B81" s="17" t="s">
        <v>53</v>
      </c>
      <c r="C81" s="17" t="s">
        <v>53</v>
      </c>
      <c r="D81" s="18" t="s">
        <v>53</v>
      </c>
      <c r="E81" s="17" t="s">
        <v>53</v>
      </c>
      <c r="F81" s="18" t="s">
        <v>53</v>
      </c>
      <c r="G81" s="17" t="s">
        <v>53</v>
      </c>
      <c r="H81" s="18" t="s">
        <v>53</v>
      </c>
      <c r="I81" s="17" t="s">
        <v>53</v>
      </c>
      <c r="J81" s="18" t="s">
        <v>53</v>
      </c>
      <c r="K81" s="17" t="s">
        <v>53</v>
      </c>
      <c r="L81" s="18" t="s">
        <v>53</v>
      </c>
      <c r="M81" s="17" t="s">
        <v>53</v>
      </c>
      <c r="N81" s="18" t="s">
        <v>53</v>
      </c>
      <c r="O81" s="17" t="s">
        <v>53</v>
      </c>
      <c r="P81" s="18" t="s">
        <v>53</v>
      </c>
      <c r="Q81" s="17" t="s">
        <v>53</v>
      </c>
      <c r="R81" s="18" t="s">
        <v>53</v>
      </c>
    </row>
    <row r="82" spans="1:18" x14ac:dyDescent="0.25">
      <c r="A82" s="20"/>
      <c r="B82" s="20" t="s">
        <v>125</v>
      </c>
      <c r="C82" s="20" t="s">
        <v>125</v>
      </c>
      <c r="D82" s="20" t="s">
        <v>125</v>
      </c>
      <c r="E82" s="20" t="s">
        <v>125</v>
      </c>
      <c r="F82" s="20" t="s">
        <v>125</v>
      </c>
      <c r="G82" s="20" t="s">
        <v>125</v>
      </c>
      <c r="H82" s="20" t="s">
        <v>125</v>
      </c>
      <c r="I82" s="20" t="s">
        <v>125</v>
      </c>
      <c r="J82" s="20" t="s">
        <v>125</v>
      </c>
      <c r="K82" s="20" t="s">
        <v>125</v>
      </c>
      <c r="L82" s="20" t="s">
        <v>125</v>
      </c>
      <c r="M82" s="20" t="s">
        <v>125</v>
      </c>
      <c r="N82" s="20" t="s">
        <v>125</v>
      </c>
      <c r="O82" s="20" t="s">
        <v>125</v>
      </c>
      <c r="P82" s="20" t="s">
        <v>125</v>
      </c>
      <c r="Q82" s="20" t="s">
        <v>125</v>
      </c>
      <c r="R82" s="20" t="s">
        <v>125</v>
      </c>
    </row>
    <row r="83" spans="1:18" x14ac:dyDescent="0.25">
      <c r="A83" s="3" t="s">
        <v>126</v>
      </c>
    </row>
    <row r="84" spans="1:18" x14ac:dyDescent="0.25">
      <c r="A84" s="26" t="s">
        <v>127</v>
      </c>
      <c r="B84" s="24"/>
      <c r="C84" s="24"/>
      <c r="D84" s="24"/>
      <c r="E84" s="24"/>
      <c r="F84" s="24"/>
      <c r="G84" s="24"/>
      <c r="H84" s="24"/>
      <c r="I84" s="24"/>
      <c r="J84" s="24"/>
      <c r="K84" s="24"/>
      <c r="L84" s="24"/>
      <c r="M84" s="24"/>
      <c r="N84" s="24"/>
      <c r="O84" s="24"/>
      <c r="P84" s="24"/>
      <c r="Q84" s="24"/>
      <c r="R84" s="24"/>
    </row>
    <row r="85" spans="1:18" x14ac:dyDescent="0.25">
      <c r="A85" s="26" t="s">
        <v>128</v>
      </c>
      <c r="B85" s="24"/>
      <c r="C85" s="24"/>
      <c r="D85" s="24"/>
      <c r="E85" s="24"/>
      <c r="F85" s="24"/>
      <c r="G85" s="24"/>
      <c r="H85" s="24"/>
      <c r="I85" s="24"/>
      <c r="J85" s="24"/>
      <c r="K85" s="24"/>
      <c r="L85" s="24"/>
      <c r="M85" s="24"/>
      <c r="N85" s="24"/>
      <c r="O85" s="24"/>
      <c r="P85" s="24"/>
      <c r="Q85" s="24"/>
      <c r="R85" s="24"/>
    </row>
    <row r="86" spans="1:18" ht="30" customHeight="1" x14ac:dyDescent="0.25">
      <c r="A86" s="26" t="s">
        <v>129</v>
      </c>
      <c r="B86" s="24"/>
      <c r="C86" s="24"/>
      <c r="D86" s="24"/>
      <c r="E86" s="24"/>
      <c r="F86" s="24"/>
      <c r="G86" s="24"/>
      <c r="H86" s="24"/>
      <c r="I86" s="24"/>
      <c r="J86" s="24"/>
      <c r="K86" s="24"/>
      <c r="L86" s="24"/>
      <c r="M86" s="24"/>
      <c r="N86" s="24"/>
      <c r="O86" s="24"/>
      <c r="P86" s="24"/>
      <c r="Q86" s="24"/>
      <c r="R86" s="24"/>
    </row>
    <row r="87" spans="1:18" ht="30" customHeight="1" x14ac:dyDescent="0.25">
      <c r="A87" s="26" t="s">
        <v>125</v>
      </c>
      <c r="B87" s="24"/>
      <c r="C87" s="24"/>
      <c r="D87" s="24"/>
      <c r="E87" s="24"/>
      <c r="F87" s="24"/>
      <c r="G87" s="24"/>
      <c r="H87" s="24"/>
      <c r="I87" s="24"/>
      <c r="J87" s="24"/>
      <c r="K87" s="24"/>
      <c r="L87" s="24"/>
      <c r="M87" s="24"/>
      <c r="N87" s="24"/>
      <c r="O87" s="24"/>
      <c r="P87" s="24"/>
      <c r="Q87" s="24"/>
      <c r="R87" s="24"/>
    </row>
    <row r="88" spans="1:18" ht="30" customHeight="1" x14ac:dyDescent="0.25">
      <c r="A88" s="26" t="s">
        <v>130</v>
      </c>
      <c r="B88" s="24"/>
      <c r="C88" s="24"/>
      <c r="D88" s="24"/>
      <c r="E88" s="24"/>
      <c r="F88" s="24"/>
      <c r="G88" s="24"/>
      <c r="H88" s="24"/>
      <c r="I88" s="24"/>
      <c r="J88" s="24"/>
      <c r="K88" s="24"/>
      <c r="L88" s="24"/>
      <c r="M88" s="24"/>
      <c r="N88" s="24"/>
      <c r="O88" s="24"/>
      <c r="P88" s="24"/>
      <c r="Q88" s="24"/>
      <c r="R88" s="24"/>
    </row>
    <row r="89" spans="1:18" ht="30" customHeight="1" x14ac:dyDescent="0.25">
      <c r="A89" s="26" t="s">
        <v>131</v>
      </c>
      <c r="B89" s="24"/>
      <c r="C89" s="24"/>
      <c r="D89" s="24"/>
      <c r="E89" s="24"/>
      <c r="F89" s="24"/>
      <c r="G89" s="24"/>
      <c r="H89" s="24"/>
      <c r="I89" s="24"/>
      <c r="J89" s="24"/>
      <c r="K89" s="24"/>
      <c r="L89" s="24"/>
      <c r="M89" s="24"/>
      <c r="N89" s="24"/>
      <c r="O89" s="24"/>
      <c r="P89" s="24"/>
      <c r="Q89" s="24"/>
      <c r="R89" s="24"/>
    </row>
    <row r="90" spans="1:18" ht="30" customHeight="1" x14ac:dyDescent="0.25">
      <c r="A90" s="26" t="s">
        <v>132</v>
      </c>
      <c r="B90" s="24"/>
      <c r="C90" s="24"/>
      <c r="D90" s="24"/>
      <c r="E90" s="24"/>
      <c r="F90" s="24"/>
      <c r="G90" s="24"/>
      <c r="H90" s="24"/>
      <c r="I90" s="24"/>
      <c r="J90" s="24"/>
      <c r="K90" s="24"/>
      <c r="L90" s="24"/>
      <c r="M90" s="24"/>
      <c r="N90" s="24"/>
      <c r="O90" s="24"/>
      <c r="P90" s="24"/>
      <c r="Q90" s="24"/>
      <c r="R90" s="24"/>
    </row>
    <row r="91" spans="1:18" ht="30" customHeight="1" x14ac:dyDescent="0.25">
      <c r="A91" s="26" t="s">
        <v>133</v>
      </c>
      <c r="B91" s="24"/>
      <c r="C91" s="24"/>
      <c r="D91" s="24"/>
      <c r="E91" s="24"/>
      <c r="F91" s="24"/>
      <c r="G91" s="24"/>
      <c r="H91" s="24"/>
      <c r="I91" s="24"/>
      <c r="J91" s="24"/>
      <c r="K91" s="24"/>
      <c r="L91" s="24"/>
      <c r="M91" s="24"/>
      <c r="N91" s="24"/>
      <c r="O91" s="24"/>
      <c r="P91" s="24"/>
      <c r="Q91" s="24"/>
      <c r="R91" s="24"/>
    </row>
    <row r="92" spans="1:18" ht="30" customHeight="1" x14ac:dyDescent="0.25">
      <c r="A92" s="26" t="s">
        <v>134</v>
      </c>
      <c r="B92" s="24"/>
      <c r="C92" s="24"/>
      <c r="D92" s="24"/>
      <c r="E92" s="24"/>
      <c r="F92" s="24"/>
      <c r="G92" s="24"/>
      <c r="H92" s="24"/>
      <c r="I92" s="24"/>
      <c r="J92" s="24"/>
      <c r="K92" s="24"/>
      <c r="L92" s="24"/>
      <c r="M92" s="24"/>
      <c r="N92" s="24"/>
      <c r="O92" s="24"/>
      <c r="P92" s="24"/>
      <c r="Q92" s="24"/>
      <c r="R92" s="24"/>
    </row>
    <row r="93" spans="1:18" ht="30" customHeight="1" x14ac:dyDescent="0.25">
      <c r="A93" s="26" t="s">
        <v>135</v>
      </c>
      <c r="B93" s="24"/>
      <c r="C93" s="24"/>
      <c r="D93" s="24"/>
      <c r="E93" s="24"/>
      <c r="F93" s="24"/>
      <c r="G93" s="24"/>
      <c r="H93" s="24"/>
      <c r="I93" s="24"/>
      <c r="J93" s="24"/>
      <c r="K93" s="24"/>
      <c r="L93" s="24"/>
      <c r="M93" s="24"/>
      <c r="N93" s="24"/>
      <c r="O93" s="24"/>
      <c r="P93" s="24"/>
      <c r="Q93" s="24"/>
      <c r="R93" s="24"/>
    </row>
    <row r="94" spans="1:18" ht="30" customHeight="1" x14ac:dyDescent="0.25">
      <c r="A94" s="26" t="s">
        <v>136</v>
      </c>
      <c r="B94" s="24"/>
      <c r="C94" s="24"/>
      <c r="D94" s="24"/>
      <c r="E94" s="24"/>
      <c r="F94" s="24"/>
      <c r="G94" s="24"/>
      <c r="H94" s="24"/>
      <c r="I94" s="24"/>
      <c r="J94" s="24"/>
      <c r="K94" s="24"/>
      <c r="L94" s="24"/>
      <c r="M94" s="24"/>
      <c r="N94" s="24"/>
      <c r="O94" s="24"/>
      <c r="P94" s="24"/>
      <c r="Q94" s="24"/>
      <c r="R94" s="24"/>
    </row>
    <row r="95" spans="1:18" ht="30" customHeight="1" x14ac:dyDescent="0.25">
      <c r="A95" s="26" t="s">
        <v>137</v>
      </c>
      <c r="B95" s="24"/>
      <c r="C95" s="24"/>
      <c r="D95" s="24"/>
      <c r="E95" s="24"/>
      <c r="F95" s="24"/>
      <c r="G95" s="24"/>
      <c r="H95" s="24"/>
      <c r="I95" s="24"/>
      <c r="J95" s="24"/>
      <c r="K95" s="24"/>
      <c r="L95" s="24"/>
      <c r="M95" s="24"/>
      <c r="N95" s="24"/>
      <c r="O95" s="24"/>
      <c r="P95" s="24"/>
      <c r="Q95" s="24"/>
      <c r="R95" s="24"/>
    </row>
    <row r="96" spans="1:18" ht="30" customHeight="1" x14ac:dyDescent="0.25">
      <c r="A96" s="26" t="s">
        <v>138</v>
      </c>
      <c r="B96" s="24"/>
      <c r="C96" s="24"/>
      <c r="D96" s="24"/>
      <c r="E96" s="24"/>
      <c r="F96" s="24"/>
      <c r="G96" s="24"/>
      <c r="H96" s="24"/>
      <c r="I96" s="24"/>
      <c r="J96" s="24"/>
      <c r="K96" s="24"/>
      <c r="L96" s="24"/>
      <c r="M96" s="24"/>
      <c r="N96" s="24"/>
      <c r="O96" s="24"/>
      <c r="P96" s="24"/>
      <c r="Q96" s="24"/>
      <c r="R96" s="24"/>
    </row>
    <row r="97" spans="1:1" ht="30" customHeight="1" x14ac:dyDescent="0.25">
      <c r="A97" s="27" t="s">
        <v>171</v>
      </c>
    </row>
  </sheetData>
  <mergeCells count="22">
    <mergeCell ref="A95:R95"/>
    <mergeCell ref="A96:R96"/>
    <mergeCell ref="A90:R90"/>
    <mergeCell ref="A91:R91"/>
    <mergeCell ref="A92:R92"/>
    <mergeCell ref="A93:R93"/>
    <mergeCell ref="A94:R94"/>
    <mergeCell ref="A85:R85"/>
    <mergeCell ref="A86:R86"/>
    <mergeCell ref="A87:R87"/>
    <mergeCell ref="A88:R88"/>
    <mergeCell ref="A89:R89"/>
    <mergeCell ref="O4:P4"/>
    <mergeCell ref="Q4:R4"/>
    <mergeCell ref="A1:R1"/>
    <mergeCell ref="A2:R2"/>
    <mergeCell ref="A84:R84"/>
    <mergeCell ref="E4:F4"/>
    <mergeCell ref="G4:H4"/>
    <mergeCell ref="I4:J4"/>
    <mergeCell ref="K4:L4"/>
    <mergeCell ref="M4:N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Table of Contents</vt:lpstr>
      <vt:lpstr>FQ001Q01TA</vt:lpstr>
      <vt:lpstr>FQ001Q02TA</vt:lpstr>
      <vt:lpstr>FQ001Q03TA</vt:lpstr>
      <vt:lpstr>FQ002Q01TA</vt:lpstr>
      <vt:lpstr>FQ002Q02TA</vt:lpstr>
      <vt:lpstr>FQ003Q01TA</vt:lpstr>
      <vt:lpstr>FQ004Q01TA</vt:lpstr>
      <vt:lpstr>FQ004Q02TA</vt:lpstr>
      <vt:lpstr>FQ004Q03TA</vt:lpstr>
      <vt:lpstr>FQ004Q04TA</vt:lpstr>
      <vt:lpstr>FQ004Q05TA</vt:lpstr>
      <vt:lpstr>FQ004Q06TA</vt:lpstr>
      <vt:lpstr>FQ004Q07TA</vt:lpstr>
      <vt:lpstr>FQ005Q01TA</vt:lpstr>
      <vt:lpstr>FQ006Q01TA</vt:lpstr>
      <vt:lpstr>FQ006Q02TA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BOUSQUET Guillaume</cp:lastModifiedBy>
  <cp:revision/>
  <dcterms:created xsi:type="dcterms:W3CDTF">2017-02-16T15:21:17Z</dcterms:created>
  <dcterms:modified xsi:type="dcterms:W3CDTF">2017-05-02T11:58:33Z</dcterms:modified>
  <cp:category/>
  <dc:identifier/>
  <cp:contentStatus/>
  <dc:language/>
  <cp:version/>
</cp:coreProperties>
</file>