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s:workbook xmlns:r="http://schemas.openxmlformats.org/officeDocument/2006/relationships" xmlns:s="http://schemas.openxmlformats.org/spreadsheetml/2006/main">
  <s:workbookPr/>
  <s:bookViews>
    <s:workbookView activeTab="0"/>
  </s:bookViews>
  <s:sheets>
    <s:sheet name="Table of Contents" sheetId="1" r:id="rId1"/>
    <s:sheet name="CF009Q02S" sheetId="2" r:id="rId2"/>
    <s:sheet name="CF110Q01S" sheetId="3" r:id="rId3"/>
    <s:sheet name="CF001Q01S" sheetId="4" r:id="rId4"/>
    <s:sheet name="DF054Q01C" sheetId="5" r:id="rId5"/>
    <s:sheet name="DF028Q02C" sheetId="6" r:id="rId6"/>
    <s:sheet name="CF028Q03S" sheetId="7" r:id="rId7"/>
    <s:sheet name="DF082Q01C" sheetId="8" r:id="rId8"/>
    <s:sheet name="CF082Q02S" sheetId="9" r:id="rId9"/>
    <s:sheet name="DF068Q01C" sheetId="10" r:id="rId10"/>
    <s:sheet name="CF031Q01S" sheetId="11" r:id="rId11"/>
    <s:sheet name="CF031Q02S" sheetId="12" r:id="rId12"/>
    <s:sheet name="CF012Q01S" sheetId="13" r:id="rId13"/>
    <s:sheet name="CF012Q02S" sheetId="14" r:id="rId14"/>
    <s:sheet name="CF010Q01S" sheetId="15" r:id="rId15"/>
    <s:sheet name="CF010Q02S" sheetId="16" r:id="rId16"/>
    <s:sheet name="DF201Q01C" sheetId="17" r:id="rId17"/>
    <s:sheet name="DF036Q01C" sheetId="18" r:id="rId18"/>
    <s:sheet name="DF103Q01C" sheetId="19" r:id="rId19"/>
    <s:sheet name="CF097Q01S" sheetId="20" r:id="rId20"/>
    <s:sheet name="DF200Q01C" sheetId="21" r:id="rId21"/>
    <s:sheet name="CF105Q01S" sheetId="22" r:id="rId22"/>
    <s:sheet name="CF105Q02S" sheetId="23" r:id="rId23"/>
    <s:sheet name="CF102Q01S" sheetId="24" r:id="rId24"/>
    <s:sheet name="DF102Q02C" sheetId="25" r:id="rId25"/>
    <s:sheet name="DF058Q01C" sheetId="26" r:id="rId26"/>
    <s:sheet name="CF006Q02S" sheetId="27" r:id="rId27"/>
    <s:sheet name="CF069Q01S" sheetId="28" r:id="rId28"/>
    <s:sheet name="DF051Q01C" sheetId="29" r:id="rId29"/>
    <s:sheet name="DF051Q02C" sheetId="30" r:id="rId30"/>
    <s:sheet name="CF062Q01S" sheetId="31" r:id="rId31"/>
    <s:sheet name="CF052Q01S" sheetId="32" r:id="rId32"/>
    <s:sheet name="DF106Q01C" sheetId="33" r:id="rId33"/>
    <s:sheet name="CF106Q02S" sheetId="34" r:id="rId34"/>
    <s:sheet name="DF024Q02C" sheetId="35" r:id="rId35"/>
    <s:sheet name="CF033Q01S" sheetId="36" r:id="rId36"/>
    <s:sheet name="CF033Q02S" sheetId="37" r:id="rId37"/>
    <s:sheet name="CF202Q01S" sheetId="38" r:id="rId38"/>
    <s:sheet name="CF035Q01S" sheetId="39" r:id="rId39"/>
    <s:sheet name="CF075Q02S" sheetId="40" r:id="rId40"/>
    <s:sheet name="CF095Q01S" sheetId="41" r:id="rId41"/>
    <s:sheet name="CF095Q02S" sheetId="42" r:id="rId42"/>
    <s:sheet name="DF004Q03C" sheetId="43" r:id="rId43"/>
    <s:sheet name="DF203Q01C" sheetId="44" r:id="rId44"/>
  </s:sheets>
  <s:definedNames/>
  <s:calcPr calcId="124519" fullCalcOnLoad="1"/>
</s:workbook>
</file>

<file path=xl/sharedStrings.xml><?xml version="1.0" encoding="utf-8"?>
<sst xmlns="http://schemas.openxmlformats.org/spreadsheetml/2006/main" uniqueCount="250">
  <si>
    <t>Table of Contents</t>
  </si>
  <si>
    <t>CF009Q02S</t>
  </si>
  <si>
    <t>Shopping - Q02 (Scored Response)</t>
  </si>
  <si>
    <t>CF110Q01S</t>
  </si>
  <si>
    <t>Living Alone - Q01 (Scored Response)</t>
  </si>
  <si>
    <t>CF001Q01S</t>
  </si>
  <si>
    <t>Costs of Running a Car - Q01 (Scored Response)</t>
  </si>
  <si>
    <t>DF054Q01C</t>
  </si>
  <si>
    <t>E-mail - Q01 (Coded Response)</t>
  </si>
  <si>
    <t>DF028Q02C</t>
  </si>
  <si>
    <t>Phone plans - Q02 (Coded Response)</t>
  </si>
  <si>
    <t>CF028Q03S</t>
  </si>
  <si>
    <t>Phone plans - Q03 (Scored Response)</t>
  </si>
  <si>
    <t>DF082Q01C</t>
  </si>
  <si>
    <t>New Bike - Q01 (Coded Response)</t>
  </si>
  <si>
    <t>CF082Q02S</t>
  </si>
  <si>
    <t>New Bike - Q02 (Scored Response)</t>
  </si>
  <si>
    <t>DF068Q01C</t>
  </si>
  <si>
    <t>Job Change - Q01 (Coded Response)</t>
  </si>
  <si>
    <t>CF031Q01S</t>
  </si>
  <si>
    <t>Laptop - Q01 (Scored Response)</t>
  </si>
  <si>
    <t>CF031Q02S</t>
  </si>
  <si>
    <t>Laptop - Q02 (Scored Response)</t>
  </si>
  <si>
    <t>CF012Q01S</t>
  </si>
  <si>
    <t>Interest - Q01 (Scored Response)</t>
  </si>
  <si>
    <t>CF012Q02S</t>
  </si>
  <si>
    <t>Interest - Q02 (Scored Response)</t>
  </si>
  <si>
    <t>CF010Q01S</t>
  </si>
  <si>
    <t>Bank statement - Q01 (Scored Response)</t>
  </si>
  <si>
    <t>CF010Q02S</t>
  </si>
  <si>
    <t>Bank statement - Q02 (Scored Response)</t>
  </si>
  <si>
    <t>DF201Q01C</t>
  </si>
  <si>
    <t>Emergency Funds - Q01 (Coded Response)</t>
  </si>
  <si>
    <t>DF036Q01C</t>
  </si>
  <si>
    <t>Online Shopping - Q01 (Coded Response)</t>
  </si>
  <si>
    <t>DF103Q01C</t>
  </si>
  <si>
    <t>Investing - Q01 (Coded Response)</t>
  </si>
  <si>
    <t>CF097Q01S</t>
  </si>
  <si>
    <t>Company Profit - Q01 (Scored Response)</t>
  </si>
  <si>
    <t>DF200Q01C</t>
  </si>
  <si>
    <t>Charitable Giving - Q01 (Coded Response)</t>
  </si>
  <si>
    <t>CF105Q01S</t>
  </si>
  <si>
    <t>Interest Rates - Q01 (Scored Response)</t>
  </si>
  <si>
    <t>CF105Q02S</t>
  </si>
  <si>
    <t>Interest Rates - Q02 (Scored Response)</t>
  </si>
  <si>
    <t>CF102Q01S</t>
  </si>
  <si>
    <t>Gantica - Q01 (Scored Response)</t>
  </si>
  <si>
    <t>DF102Q02C</t>
  </si>
  <si>
    <t>Gantica - Q02 (Coded Response)</t>
  </si>
  <si>
    <t>DF058Q01C</t>
  </si>
  <si>
    <t>PIN - Q01 (Coded Response)</t>
  </si>
  <si>
    <t>CF006Q02S</t>
  </si>
  <si>
    <t>Music system - Q02 (Scored Response)</t>
  </si>
  <si>
    <t>CF069Q01S</t>
  </si>
  <si>
    <t>Student Account - Q01 (Scored Response)</t>
  </si>
  <si>
    <t>DF051Q01C</t>
  </si>
  <si>
    <t>Bicycle Shop - Q01 (Coded Response)</t>
  </si>
  <si>
    <t>DF051Q02C</t>
  </si>
  <si>
    <t>Bicycle Shop - Q02 (Coded Response)</t>
  </si>
  <si>
    <t>CF062Q01S</t>
  </si>
  <si>
    <t>Mobile Phone Contract - Q01 (Scored Response)</t>
  </si>
  <si>
    <t>CF052Q01S</t>
  </si>
  <si>
    <t>Video Game - Q01 (Scored Response)</t>
  </si>
  <si>
    <t>DF106Q01C</t>
  </si>
  <si>
    <t>Family Holiday - Q01 (Coded Response)</t>
  </si>
  <si>
    <t>CF106Q02S</t>
  </si>
  <si>
    <t>Family Holiday - Q02 (Scored Response)</t>
  </si>
  <si>
    <t>DF024Q02C</t>
  </si>
  <si>
    <t>Jacket sale - Q02 (Coded Response)</t>
  </si>
  <si>
    <t>CF033Q01S</t>
  </si>
  <si>
    <t>Wayne's Bank Statement - Q01 (Scored Response)</t>
  </si>
  <si>
    <t>CF033Q02S</t>
  </si>
  <si>
    <t>Wayne's Bank Statement - Q02 (Scored Response)</t>
  </si>
  <si>
    <t>CF202Q01S</t>
  </si>
  <si>
    <t>Book Purchase - Q01 (Scored Response)</t>
  </si>
  <si>
    <t>CF035Q01S</t>
  </si>
  <si>
    <t>Ring-Tones - Q01 (Scored Response)</t>
  </si>
  <si>
    <t>CF075Q02S</t>
  </si>
  <si>
    <t>Study Options - Q02 (Scored Response)</t>
  </si>
  <si>
    <t>CF095Q01S</t>
  </si>
  <si>
    <t>Changing Value - Q01 (Scored Response)</t>
  </si>
  <si>
    <t>CF095Q02S</t>
  </si>
  <si>
    <t>Changing Value - Q02 (Scored Response)</t>
  </si>
  <si>
    <t>DF004Q03C</t>
  </si>
  <si>
    <t>Income tax - Q03 (Coded Response)</t>
  </si>
  <si>
    <t>DF203Q01C</t>
  </si>
  <si>
    <t>No Credit - Q01 (Coded Response)</t>
  </si>
  <si>
    <t>Cognitive items: Financial Literacy results for female students</t>
  </si>
  <si>
    <t>CF009Q02S: Shopping - Q02 (Scored Response)</t>
  </si>
  <si>
    <t>N</t>
  </si>
  <si>
    <t>System</t>
  </si>
  <si>
    <t>No credit</t>
  </si>
  <si>
    <t>Full credit</t>
  </si>
  <si>
    <t>Valid Skip</t>
  </si>
  <si>
    <t>Not Reached</t>
  </si>
  <si>
    <t>Not Applicable</t>
  </si>
  <si>
    <t>Invalid</t>
  </si>
  <si>
    <t>No Response</t>
  </si>
  <si>
    <t>All</t>
  </si>
  <si>
    <t>Missing %</t>
  </si>
  <si>
    <t>Valid</t>
  </si>
  <si>
    <t>%</t>
  </si>
  <si>
    <t>(SE)</t>
  </si>
  <si>
    <t>OECD</t>
  </si>
  <si>
    <t>Australia</t>
  </si>
  <si>
    <t>—</t>
  </si>
  <si>
    <t>Austria</t>
  </si>
  <si>
    <t>n/a</t>
  </si>
  <si>
    <t>Belgium ⁸</t>
  </si>
  <si>
    <t>Canada ⁸</t>
  </si>
  <si>
    <t>Chile</t>
  </si>
  <si>
    <t>Czech Republic</t>
  </si>
  <si>
    <t>Denmark</t>
  </si>
  <si>
    <t>Estonia</t>
  </si>
  <si>
    <t>Finland</t>
  </si>
  <si>
    <t>France</t>
  </si>
  <si>
    <t>Germany</t>
  </si>
  <si>
    <t>Greece</t>
  </si>
  <si>
    <t>Hungary</t>
  </si>
  <si>
    <t>Iceland</t>
  </si>
  <si>
    <t>Ireland</t>
  </si>
  <si>
    <t>Israel ¹</t>
  </si>
  <si>
    <t>Italy</t>
  </si>
  <si>
    <t>Japan</t>
  </si>
  <si>
    <t>Korea</t>
  </si>
  <si>
    <t>Latvia</t>
  </si>
  <si>
    <t>Luxembourg</t>
  </si>
  <si>
    <t>Mexico</t>
  </si>
  <si>
    <t>Netherlands</t>
  </si>
  <si>
    <t>New Zealand</t>
  </si>
  <si>
    <t>Norway</t>
  </si>
  <si>
    <t>Poland</t>
  </si>
  <si>
    <t>Portugal</t>
  </si>
  <si>
    <t>Slovak Republic</t>
  </si>
  <si>
    <t>Slovenia</t>
  </si>
  <si>
    <t>Spain</t>
  </si>
  <si>
    <t>Sweden</t>
  </si>
  <si>
    <t>Switzerland</t>
  </si>
  <si>
    <t>Turkey</t>
  </si>
  <si>
    <t>United Kingdom</t>
  </si>
  <si>
    <t>United States</t>
  </si>
  <si>
    <t>OECD average</t>
  </si>
  <si>
    <t>Partners</t>
  </si>
  <si>
    <t>Albania</t>
  </si>
  <si>
    <t>Algeria</t>
  </si>
  <si>
    <t>Brazil</t>
  </si>
  <si>
    <t>Bulgaria</t>
  </si>
  <si>
    <t>B-S-J-G (China) ²</t>
  </si>
  <si>
    <t>CABA (Argentina) ³</t>
  </si>
  <si>
    <t>Colombia</t>
  </si>
  <si>
    <t>Costa Rica</t>
  </si>
  <si>
    <t>Croatia</t>
  </si>
  <si>
    <t>Cyprus ⁴</t>
  </si>
  <si>
    <t>Dominican Republic</t>
  </si>
  <si>
    <t>Georgia</t>
  </si>
  <si>
    <t>Hong Kong (China)</t>
  </si>
  <si>
    <t>Indonesia</t>
  </si>
  <si>
    <t>Jordan</t>
  </si>
  <si>
    <t>Kosovo</t>
  </si>
  <si>
    <t>Lebanon</t>
  </si>
  <si>
    <t>Lithuania</t>
  </si>
  <si>
    <t>Macao (China)</t>
  </si>
  <si>
    <t>FYROM ⁵</t>
  </si>
  <si>
    <t>Malta</t>
  </si>
  <si>
    <t>Moldova</t>
  </si>
  <si>
    <t>Montenegro</t>
  </si>
  <si>
    <t>Peru</t>
  </si>
  <si>
    <t>Qatar</t>
  </si>
  <si>
    <t>Romania</t>
  </si>
  <si>
    <t>Russia ⁶</t>
  </si>
  <si>
    <t>Singapore</t>
  </si>
  <si>
    <t>Chinese Taipei</t>
  </si>
  <si>
    <t>Thailand</t>
  </si>
  <si>
    <t>Trinidad and Tobago</t>
  </si>
  <si>
    <t>Tunisia</t>
  </si>
  <si>
    <t>United Arab Emirates</t>
  </si>
  <si>
    <t>Uruguay</t>
  </si>
  <si>
    <t>Viet Nam</t>
  </si>
  <si>
    <t>Argentina ⁷</t>
  </si>
  <si>
    <t>Kazakhstan ⁷</t>
  </si>
  <si>
    <t>Malaysia ⁷</t>
  </si>
  <si>
    <t xml:space="preserve"> </t>
  </si>
  <si>
    <t>Data Notes:</t>
  </si>
  <si>
    <t>n/a Data not available</t>
  </si>
  <si>
    <t>— No data</t>
  </si>
  <si>
    <t>'System Missing %' for cognitive questions refers to the percentage of data missing because a respondent did not see a question. This may have occurred when the student did not receive a particular set of questions (cluster) by design, exited the assessment early, ran out of time, or refused, or when a technical issue was encountered. Variables that derive themselves from other variables that are 'System Missing' may also retain a 'System Missing' value.</t>
  </si>
  <si>
    <t>Country Notes:</t>
  </si>
  <si>
    <t>¹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</si>
  <si>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² B-S-J-G (China) refers to the four PISA participating China provinces: Beijing, Shanghai, Jiangsu, Guangdong.</t>
  </si>
  <si>
    <t>³ CABA (Argentina) refers to Ciudad Autónoma de Buenos Aires (Argentina).</t>
  </si>
  <si>
    <t>⁴ Note by Turkey: The information in this document with reference to "Cyprus" relates to the southern part of the Island. There is no single authority representing both Turkish and Greek Cypriot people on the Island. Turkey recognises the Turkish Republic of Northern Cyprus (TRNC). Until a lasting and equitable solution is found within the context of the United Nations, Turkey shall preserve its position concerning the "Cyprus issue".</t>
  </si>
  <si>
    <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t>
  </si>
  <si>
    <t>⁵ FYROM refers to the Former Yugoslav Republic of Macedonia.</t>
  </si>
  <si>
    <t>⁶ Russia refers to the Russian Federation.</t>
  </si>
  <si>
    <t>⁷ Argentina, Kazakhstan and Malaysia: Coverage is too small to ensure comparability (see "PISA 2015 Results [Volume I]: Excellence and Equity in Education" [OECD, 2016], Annex A4).</t>
  </si>
  <si>
    <t>⁸ Financial literacy data for Belgium refer to the Flemish community; financial literacy data for Canada refer to the Canadian provinces of British Columbia, Manitoba, New Brunswick, Newfoundland and Labrador, Nova Scotia, Ontario and Prince Edward Island.</t>
  </si>
  <si>
    <t>CF110Q01S: Living Alone - Q01 (Scored Response)</t>
  </si>
  <si>
    <t>CF001Q01S: Costs of Running a Car - Q01 (Scored Response)</t>
  </si>
  <si>
    <t>DF054Q01C: E-mail - Q01 (Coded Response)</t>
  </si>
  <si>
    <t>0 - No credit</t>
  </si>
  <si>
    <t>1 - Full credit</t>
  </si>
  <si>
    <t>DF028Q02C: Phone plans - Q02 (Coded Response)</t>
  </si>
  <si>
    <t>00 - No credit</t>
  </si>
  <si>
    <t>11 - Full credit</t>
  </si>
  <si>
    <t>12 - Full credit</t>
  </si>
  <si>
    <t>CF028Q03S: Phone plans - Q03 (Scored Response)</t>
  </si>
  <si>
    <t>DF082Q01C: New Bike - Q01 (Coded Response)</t>
  </si>
  <si>
    <t>1 - Partial credit</t>
  </si>
  <si>
    <t>2 - Full credit</t>
  </si>
  <si>
    <t>CF082Q02S: New Bike - Q02 (Scored Response)</t>
  </si>
  <si>
    <t>DF068Q01C: Job Change - Q01 (Coded Response)</t>
  </si>
  <si>
    <t>CF031Q01S: Laptop - Q01 (Scored Response)</t>
  </si>
  <si>
    <t>CF031Q02S: Laptop - Q02 (Scored Response)</t>
  </si>
  <si>
    <t>CF012Q01S: Interest - Q01 (Scored Response)</t>
  </si>
  <si>
    <t>CF012Q02S: Interest - Q02 (Scored Response)</t>
  </si>
  <si>
    <t>CF010Q01S: Bank statement - Q01 (Scored Response)</t>
  </si>
  <si>
    <t>CF010Q02S: Bank statement - Q02 (Scored Response)</t>
  </si>
  <si>
    <t>9 - No data (CBA only)</t>
  </si>
  <si>
    <t>11 - Partial credit</t>
  </si>
  <si>
    <t>12 - Partial credit</t>
  </si>
  <si>
    <t>21 - Full credit</t>
  </si>
  <si>
    <t>DF201Q01C: Emergency Funds - Q01 (Coded Response)</t>
  </si>
  <si>
    <t>13 - Full credit</t>
  </si>
  <si>
    <t>DF036Q01C: Online Shopping - Q01 (Coded Response)</t>
  </si>
  <si>
    <t>DF103Q01C: Investing - Q01 (Coded Response)</t>
  </si>
  <si>
    <t>CF097Q01S: Company Profit - Q01 (Scored Response)</t>
  </si>
  <si>
    <t>DF200Q01C: Charitable Giving - Q01 (Coded Response)</t>
  </si>
  <si>
    <t>CF105Q01S: Interest Rates - Q01 (Scored Response)</t>
  </si>
  <si>
    <t>CF105Q02S: Interest Rates - Q02 (Scored Response)</t>
  </si>
  <si>
    <t>CF102Q01S: Gantica - Q01 (Scored Response)</t>
  </si>
  <si>
    <t>DF102Q02C: Gantica - Q02 (Coded Response)</t>
  </si>
  <si>
    <t>DF058Q01C: PIN - Q01 (Coded Response)</t>
  </si>
  <si>
    <t>CF006Q02S: Music system - Q02 (Scored Response)</t>
  </si>
  <si>
    <t>CF069Q01S: Student Account - Q01 (Scored Response)</t>
  </si>
  <si>
    <t>DF051Q01C: Bicycle Shop - Q01 (Coded Response)</t>
  </si>
  <si>
    <t>DF051Q02C: Bicycle Shop - Q02 (Coded Response)</t>
  </si>
  <si>
    <t>CF062Q01S: Mobile Phone Contract - Q01 (Scored Response)</t>
  </si>
  <si>
    <t>CF052Q01S: Video Game - Q01 (Scored Response)</t>
  </si>
  <si>
    <t>DF106Q01C: Family Holiday - Q01 (Coded Response)</t>
  </si>
  <si>
    <t>CF106Q02S: Family Holiday - Q02 (Scored Response)</t>
  </si>
  <si>
    <t>DF024Q02C: Jacket sale - Q02 (Coded Response)</t>
  </si>
  <si>
    <t>CF033Q01S: Wayne's Bank Statement - Q01 (Scored Response)</t>
  </si>
  <si>
    <t>CF033Q02S: Wayne's Bank Statement - Q02 (Scored Response)</t>
  </si>
  <si>
    <t>CF202Q01S: Book Purchase - Q01 (Scored Response)</t>
  </si>
  <si>
    <t>CF035Q01S: Ring-Tones - Q01 (Scored Response)</t>
  </si>
  <si>
    <t>CF075Q02S: Study Options - Q02 (Scored Response)</t>
  </si>
  <si>
    <t>CF095Q01S: Changing Value - Q01 (Scored Response)</t>
  </si>
  <si>
    <t>CF095Q02S: Changing Value - Q02 (Scored Response)</t>
  </si>
  <si>
    <t>DF004Q03C: Income tax - Q03 (Coded Response)</t>
  </si>
  <si>
    <t>DF203Q01C: No Credit - Q01 (Coded Response)</t>
  </si>
</sst>
</file>

<file path=xl/styles.xml><?xml version="1.0" encoding="utf-8"?>
<styleSheet xmlns="http://schemas.openxmlformats.org/spreadsheetml/2006/main">
  <numFmts count="1">
    <numFmt formatCode="(0.00)" numFmtId="164"/>
  </numFmts>
  <fonts count="4">
    <font>
      <name val="Calibri"/>
      <family val="2"/>
      <color theme="1"/>
      <sz val="11"/>
      <scheme val="minor"/>
    </font>
    <font>
      <name val="Arial"/>
      <family val="2"/>
      <b val="1"/>
      <color rgb="00000000"/>
      <sz val="10"/>
    </font>
    <font>
      <name val="Arial"/>
      <family val="2"/>
      <color rgb="000000FF"/>
      <sz val="10"/>
      <u val="single"/>
    </font>
    <font>
      <name val="Arial"/>
      <family val="2"/>
      <color rgb="00000000"/>
      <sz val="10"/>
    </font>
  </fonts>
  <fills count="4">
    <fill>
      <patternFill/>
    </fill>
    <fill>
      <patternFill patternType="gray125"/>
    </fill>
    <fill>
      <patternFill patternType="solid">
        <fgColor rgb="00DAEEF3"/>
        <bgColor rgb="00DAEEF3"/>
      </patternFill>
    </fill>
    <fill>
      <patternFill patternType="solid">
        <fgColor rgb="00FFFFFF"/>
        <bgColor rgb="00FFFFFF"/>
      </patternFill>
    </fill>
  </fills>
  <borders count="7">
    <border>
      <left/>
      <right/>
      <top/>
      <bottom/>
      <diagonal/>
    </border>
    <border>
      <left/>
      <right style="thin"/>
      <top style="thin"/>
      <bottom/>
      <diagonal/>
    </border>
    <border>
      <left/>
      <right/>
      <top style="thin"/>
      <bottom/>
      <diagonal/>
    </border>
    <border>
      <left/>
      <right style="thin"/>
      <top/>
      <bottom style="thin"/>
      <diagonal/>
    </border>
    <border>
      <left/>
      <right/>
      <top/>
      <bottom style="thin"/>
      <diagonal/>
    </border>
    <border>
      <left style="thin"/>
      <right style="thin"/>
      <top style="thin"/>
      <bottom style="thin"/>
      <diagonal/>
    </border>
    <border>
      <left/>
      <right style="thin"/>
      <top/>
      <bottom/>
      <diagonal/>
    </border>
  </borders>
  <cellStyleXfs count="1">
    <xf borderId="0" fillId="0" fontId="0" numFmtId="0"/>
  </cellStyleXfs>
  <cellXfs count="26">
    <xf borderId="0" fillId="0" fontId="0" numFmtId="0" xfId="0"/>
    <xf borderId="0" fillId="0" fontId="1" numFmtId="0" xfId="0"/>
    <xf borderId="0" fillId="0" fontId="2" numFmtId="0" xfId="0"/>
    <xf borderId="0" fillId="0" fontId="3" numFmtId="0" xfId="0"/>
    <xf applyAlignment="1" borderId="0" fillId="0" fontId="1" numFmtId="0" xfId="0">
      <alignment horizontal="left" vertical="top" wrapText="1"/>
    </xf>
    <xf applyAlignment="1" borderId="0" fillId="0" fontId="1" numFmtId="0" xfId="0">
      <alignment horizontal="left"/>
    </xf>
    <xf borderId="1" fillId="2" fontId="0" numFmtId="0" xfId="0"/>
    <xf applyAlignment="1" borderId="2" fillId="2" fontId="1" numFmtId="0" xfId="0">
      <alignment horizontal="right" vertical="bottom" wrapText="1"/>
    </xf>
    <xf applyAlignment="1" borderId="1" fillId="2" fontId="1" numFmtId="0" xfId="0">
      <alignment horizontal="right" vertical="bottom" wrapText="1"/>
    </xf>
    <xf applyAlignment="1" borderId="5" fillId="2" fontId="1" numFmtId="0" xfId="0">
      <alignment horizontal="center" vertical="bottom" wrapText="1"/>
    </xf>
    <xf borderId="5" fillId="2" fontId="1" numFmtId="0" xfId="0"/>
    <xf applyAlignment="1" borderId="3" fillId="2" fontId="1" numFmtId="0" xfId="0">
      <alignment horizontal="right" vertical="bottom" wrapText="1"/>
    </xf>
    <xf applyAlignment="1" borderId="4" fillId="2" fontId="1" numFmtId="0" xfId="0">
      <alignment horizontal="right" vertical="bottom" wrapText="1"/>
    </xf>
    <xf borderId="6" fillId="3" fontId="1" numFmtId="0" xfId="0"/>
    <xf borderId="0" fillId="3" fontId="0" numFmtId="0" xfId="0"/>
    <xf borderId="6" fillId="3" fontId="3" numFmtId="0" xfId="0"/>
    <xf borderId="6" fillId="0" fontId="3" numFmtId="0" xfId="0"/>
    <xf applyAlignment="1" borderId="0" fillId="3" fontId="3" numFmtId="1" xfId="0">
      <alignment horizontal="right" vertical="bottom" wrapText="1"/>
    </xf>
    <xf applyAlignment="1" borderId="0" fillId="3" fontId="3" numFmtId="2" xfId="0">
      <alignment horizontal="right" vertical="bottom" wrapText="1"/>
    </xf>
    <xf applyAlignment="1" borderId="6" fillId="3" fontId="3" numFmtId="1" xfId="0">
      <alignment horizontal="right" vertical="bottom" wrapText="1"/>
    </xf>
    <xf applyAlignment="1" borderId="6" fillId="3" fontId="3" numFmtId="164" xfId="0">
      <alignment horizontal="right" vertical="bottom" wrapText="1"/>
    </xf>
    <xf applyAlignment="1" borderId="0" fillId="3" fontId="3" numFmtId="0" xfId="0">
      <alignment horizontal="right" vertical="bottom" wrapText="1"/>
    </xf>
    <xf applyAlignment="1" borderId="6" fillId="3" fontId="3" numFmtId="0" xfId="0">
      <alignment horizontal="right" vertical="bottom" wrapText="1"/>
    </xf>
    <xf borderId="3" fillId="3" fontId="3" numFmtId="0" xfId="0"/>
    <xf borderId="2" fillId="3" fontId="0" numFmtId="0" xfId="0"/>
    <xf applyAlignment="1" borderId="0" fillId="0" fontId="3" numFmtId="0" xfId="0">
      <alignment horizontal="left" vertical="top" wrapText="1"/>
    </xf>
  </cellXfs>
  <cellStyles count="1">
    <cellStyle builtinId="0" hidden="0" name="Normal" xfId="0"/>
  </cellStyles>
  <dxfs count="0"/>
  <tableStyles count="0" defaultPivotStyle="PivotStyleLight16" defaultTableStyle="TableStyleMedium9"/>
</styleSheet>
</file>

<file path=xl/_rels/workbook.xml.rel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38" Target="worksheets/sheet38.xml" Type="http://schemas.openxmlformats.org/officeDocument/2006/relationships/worksheet"/><Relationship Id="rId39" Target="worksheets/sheet39.xml" Type="http://schemas.openxmlformats.org/officeDocument/2006/relationships/worksheet"/><Relationship Id="rId40" Target="worksheets/sheet40.xml" Type="http://schemas.openxmlformats.org/officeDocument/2006/relationships/worksheet"/><Relationship Id="rId41" Target="worksheets/sheet41.xml" Type="http://schemas.openxmlformats.org/officeDocument/2006/relationships/worksheet"/><Relationship Id="rId42" Target="worksheets/sheet42.xml" Type="http://schemas.openxmlformats.org/officeDocument/2006/relationships/worksheet"/><Relationship Id="rId43" Target="worksheets/sheet43.xml" Type="http://schemas.openxmlformats.org/officeDocument/2006/relationships/worksheet"/><Relationship Id="rId44" Target="worksheets/sheet44.xml" Type="http://schemas.openxmlformats.org/officeDocument/2006/relationships/worksheet"/><Relationship Id="rId45" Target="sharedStrings.xml" Type="http://schemas.openxmlformats.org/officeDocument/2006/relationships/sharedStrings"/><Relationship Id="rId46" Target="styles.xml" Type="http://schemas.openxmlformats.org/officeDocument/2006/relationships/styles"/><Relationship Id="rId47"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CF009Q02S'!A6" TargetMode="External" Type="http://schemas.openxmlformats.org/officeDocument/2006/relationships/hyperlink"/><Relationship Id="rId2" Target="#'CF110Q01S'!A6" TargetMode="External" Type="http://schemas.openxmlformats.org/officeDocument/2006/relationships/hyperlink"/><Relationship Id="rId3" Target="#'CF001Q01S'!A6" TargetMode="External" Type="http://schemas.openxmlformats.org/officeDocument/2006/relationships/hyperlink"/><Relationship Id="rId4" Target="#'DF054Q01C'!A6" TargetMode="External" Type="http://schemas.openxmlformats.org/officeDocument/2006/relationships/hyperlink"/><Relationship Id="rId5" Target="#'DF028Q02C'!A6" TargetMode="External" Type="http://schemas.openxmlformats.org/officeDocument/2006/relationships/hyperlink"/><Relationship Id="rId6" Target="#'CF028Q03S'!A6" TargetMode="External" Type="http://schemas.openxmlformats.org/officeDocument/2006/relationships/hyperlink"/><Relationship Id="rId7" Target="#'DF082Q01C'!A6" TargetMode="External" Type="http://schemas.openxmlformats.org/officeDocument/2006/relationships/hyperlink"/><Relationship Id="rId8" Target="#'CF082Q02S'!A6" TargetMode="External" Type="http://schemas.openxmlformats.org/officeDocument/2006/relationships/hyperlink"/><Relationship Id="rId9" Target="#'DF068Q01C'!A6" TargetMode="External" Type="http://schemas.openxmlformats.org/officeDocument/2006/relationships/hyperlink"/><Relationship Id="rId10" Target="#'CF031Q01S'!A6" TargetMode="External" Type="http://schemas.openxmlformats.org/officeDocument/2006/relationships/hyperlink"/><Relationship Id="rId11" Target="#'CF031Q02S'!A6" TargetMode="External" Type="http://schemas.openxmlformats.org/officeDocument/2006/relationships/hyperlink"/><Relationship Id="rId12" Target="#'CF012Q01S'!A6" TargetMode="External" Type="http://schemas.openxmlformats.org/officeDocument/2006/relationships/hyperlink"/><Relationship Id="rId13" Target="#'CF012Q02S'!A6" TargetMode="External" Type="http://schemas.openxmlformats.org/officeDocument/2006/relationships/hyperlink"/><Relationship Id="rId14" Target="#'CF010Q01S'!A6" TargetMode="External" Type="http://schemas.openxmlformats.org/officeDocument/2006/relationships/hyperlink"/><Relationship Id="rId15" Target="#'CF010Q02S'!A6" TargetMode="External" Type="http://schemas.openxmlformats.org/officeDocument/2006/relationships/hyperlink"/><Relationship Id="rId16" Target="#'DF201Q01C'!A6" TargetMode="External" Type="http://schemas.openxmlformats.org/officeDocument/2006/relationships/hyperlink"/><Relationship Id="rId17" Target="#'DF036Q01C'!A6" TargetMode="External" Type="http://schemas.openxmlformats.org/officeDocument/2006/relationships/hyperlink"/><Relationship Id="rId18" Target="#'DF103Q01C'!A6" TargetMode="External" Type="http://schemas.openxmlformats.org/officeDocument/2006/relationships/hyperlink"/><Relationship Id="rId19" Target="#'CF097Q01S'!A6" TargetMode="External" Type="http://schemas.openxmlformats.org/officeDocument/2006/relationships/hyperlink"/><Relationship Id="rId20" Target="#'DF200Q01C'!A6" TargetMode="External" Type="http://schemas.openxmlformats.org/officeDocument/2006/relationships/hyperlink"/><Relationship Id="rId21" Target="#'CF105Q01S'!A6" TargetMode="External" Type="http://schemas.openxmlformats.org/officeDocument/2006/relationships/hyperlink"/><Relationship Id="rId22" Target="#'CF105Q02S'!A6" TargetMode="External" Type="http://schemas.openxmlformats.org/officeDocument/2006/relationships/hyperlink"/><Relationship Id="rId23" Target="#'CF102Q01S'!A6" TargetMode="External" Type="http://schemas.openxmlformats.org/officeDocument/2006/relationships/hyperlink"/><Relationship Id="rId24" Target="#'DF102Q02C'!A6" TargetMode="External" Type="http://schemas.openxmlformats.org/officeDocument/2006/relationships/hyperlink"/><Relationship Id="rId25" Target="#'DF058Q01C'!A6" TargetMode="External" Type="http://schemas.openxmlformats.org/officeDocument/2006/relationships/hyperlink"/><Relationship Id="rId26" Target="#'CF006Q02S'!A6" TargetMode="External" Type="http://schemas.openxmlformats.org/officeDocument/2006/relationships/hyperlink"/><Relationship Id="rId27" Target="#'CF069Q01S'!A6" TargetMode="External" Type="http://schemas.openxmlformats.org/officeDocument/2006/relationships/hyperlink"/><Relationship Id="rId28" Target="#'DF051Q01C'!A6" TargetMode="External" Type="http://schemas.openxmlformats.org/officeDocument/2006/relationships/hyperlink"/><Relationship Id="rId29" Target="#'DF051Q02C'!A6" TargetMode="External" Type="http://schemas.openxmlformats.org/officeDocument/2006/relationships/hyperlink"/><Relationship Id="rId30" Target="#'CF062Q01S'!A6" TargetMode="External" Type="http://schemas.openxmlformats.org/officeDocument/2006/relationships/hyperlink"/><Relationship Id="rId31" Target="#'CF052Q01S'!A6" TargetMode="External" Type="http://schemas.openxmlformats.org/officeDocument/2006/relationships/hyperlink"/><Relationship Id="rId32" Target="#'DF106Q01C'!A6" TargetMode="External" Type="http://schemas.openxmlformats.org/officeDocument/2006/relationships/hyperlink"/><Relationship Id="rId33" Target="#'CF106Q02S'!A6" TargetMode="External" Type="http://schemas.openxmlformats.org/officeDocument/2006/relationships/hyperlink"/><Relationship Id="rId34" Target="#'DF024Q02C'!A6" TargetMode="External" Type="http://schemas.openxmlformats.org/officeDocument/2006/relationships/hyperlink"/><Relationship Id="rId35" Target="#'CF033Q01S'!A6" TargetMode="External" Type="http://schemas.openxmlformats.org/officeDocument/2006/relationships/hyperlink"/><Relationship Id="rId36" Target="#'CF033Q02S'!A6" TargetMode="External" Type="http://schemas.openxmlformats.org/officeDocument/2006/relationships/hyperlink"/><Relationship Id="rId37" Target="#'CF202Q01S'!A6" TargetMode="External" Type="http://schemas.openxmlformats.org/officeDocument/2006/relationships/hyperlink"/><Relationship Id="rId38" Target="#'CF035Q01S'!A6" TargetMode="External" Type="http://schemas.openxmlformats.org/officeDocument/2006/relationships/hyperlink"/><Relationship Id="rId39" Target="#'CF075Q02S'!A6" TargetMode="External" Type="http://schemas.openxmlformats.org/officeDocument/2006/relationships/hyperlink"/><Relationship Id="rId40" Target="#'CF095Q01S'!A6" TargetMode="External" Type="http://schemas.openxmlformats.org/officeDocument/2006/relationships/hyperlink"/><Relationship Id="rId41" Target="#'CF095Q02S'!A6" TargetMode="External" Type="http://schemas.openxmlformats.org/officeDocument/2006/relationships/hyperlink"/><Relationship Id="rId42" Target="#'DF004Q03C'!A6" TargetMode="External" Type="http://schemas.openxmlformats.org/officeDocument/2006/relationships/hyperlink"/><Relationship Id="rId43" Target="#'DF203Q01C'!A6" TargetMode="External" Type="http://schemas.openxmlformats.org/officeDocument/2006/relationships/hyperlink"/></Relationships>
</file>

<file path=xl/worksheets/sheet1.xml><?xml version="1.0" encoding="utf-8"?>
<worksheet xmlns="http://schemas.openxmlformats.org/spreadsheetml/2006/main">
  <sheetPr>
    <outlinePr summaryBelow="1" summaryRight="1"/>
    <pageSetUpPr/>
  </sheetPr>
  <dimension ref="A1:B44"/>
  <sheetViews>
    <sheetView workbookViewId="0" zoomScale="80">
      <selection activeCell="A1" sqref="A1"/>
    </sheetView>
  </sheetViews>
  <sheetFormatPr baseColWidth="10" defaultRowHeight="15"/>
  <cols>
    <col customWidth="1" width="100" min="2" max="2"/>
  </cols>
  <sheetData>
    <row r="1" spans="1:2">
      <c r="B1" s="1" t="s">
        <v>0</v>
      </c>
    </row>
    <row r="2" spans="1:2">
      <c r="A2" s="2" t="s">
        <v>1</v>
      </c>
      <c r="B2" s="3" t="s">
        <v>2</v>
      </c>
    </row>
    <row r="3" spans="1:2">
      <c r="A3" s="2" t="s">
        <v>3</v>
      </c>
      <c r="B3" s="3" t="s">
        <v>4</v>
      </c>
    </row>
    <row r="4" spans="1:2">
      <c r="A4" s="2" t="s">
        <v>5</v>
      </c>
      <c r="B4" s="3" t="s">
        <v>6</v>
      </c>
    </row>
    <row r="5" spans="1:2">
      <c r="A5" s="2" t="s">
        <v>7</v>
      </c>
      <c r="B5" s="3" t="s">
        <v>8</v>
      </c>
    </row>
    <row r="6" spans="1:2">
      <c r="A6" s="2" t="s">
        <v>9</v>
      </c>
      <c r="B6" s="3" t="s">
        <v>10</v>
      </c>
    </row>
    <row r="7" spans="1:2">
      <c r="A7" s="2" t="s">
        <v>11</v>
      </c>
      <c r="B7" s="3" t="s">
        <v>12</v>
      </c>
    </row>
    <row r="8" spans="1:2">
      <c r="A8" s="2" t="s">
        <v>13</v>
      </c>
      <c r="B8" s="3" t="s">
        <v>14</v>
      </c>
    </row>
    <row r="9" spans="1:2">
      <c r="A9" s="2" t="s">
        <v>15</v>
      </c>
      <c r="B9" s="3" t="s">
        <v>16</v>
      </c>
    </row>
    <row r="10" spans="1:2">
      <c r="A10" s="2" t="s">
        <v>17</v>
      </c>
      <c r="B10" s="3" t="s">
        <v>18</v>
      </c>
    </row>
    <row r="11" spans="1:2">
      <c r="A11" s="2" t="s">
        <v>19</v>
      </c>
      <c r="B11" s="3" t="s">
        <v>20</v>
      </c>
    </row>
    <row r="12" spans="1:2">
      <c r="A12" s="2" t="s">
        <v>21</v>
      </c>
      <c r="B12" s="3" t="s">
        <v>22</v>
      </c>
    </row>
    <row r="13" spans="1:2">
      <c r="A13" s="2" t="s">
        <v>23</v>
      </c>
      <c r="B13" s="3" t="s">
        <v>24</v>
      </c>
    </row>
    <row r="14" spans="1:2">
      <c r="A14" s="2" t="s">
        <v>25</v>
      </c>
      <c r="B14" s="3" t="s">
        <v>26</v>
      </c>
    </row>
    <row r="15" spans="1:2">
      <c r="A15" s="2" t="s">
        <v>27</v>
      </c>
      <c r="B15" s="3" t="s">
        <v>28</v>
      </c>
    </row>
    <row r="16" spans="1:2">
      <c r="A16" s="2" t="s">
        <v>29</v>
      </c>
      <c r="B16" s="3" t="s">
        <v>30</v>
      </c>
    </row>
    <row r="17" spans="1:2">
      <c r="A17" s="2" t="s">
        <v>31</v>
      </c>
      <c r="B17" s="3" t="s">
        <v>32</v>
      </c>
    </row>
    <row r="18" spans="1:2">
      <c r="A18" s="2" t="s">
        <v>33</v>
      </c>
      <c r="B18" s="3" t="s">
        <v>34</v>
      </c>
    </row>
    <row r="19" spans="1:2">
      <c r="A19" s="2" t="s">
        <v>35</v>
      </c>
      <c r="B19" s="3" t="s">
        <v>36</v>
      </c>
    </row>
    <row r="20" spans="1:2">
      <c r="A20" s="2" t="s">
        <v>37</v>
      </c>
      <c r="B20" s="3" t="s">
        <v>38</v>
      </c>
    </row>
    <row r="21" spans="1:2">
      <c r="A21" s="2" t="s">
        <v>39</v>
      </c>
      <c r="B21" s="3" t="s">
        <v>40</v>
      </c>
    </row>
    <row r="22" spans="1:2">
      <c r="A22" s="2" t="s">
        <v>41</v>
      </c>
      <c r="B22" s="3" t="s">
        <v>42</v>
      </c>
    </row>
    <row r="23" spans="1:2">
      <c r="A23" s="2" t="s">
        <v>43</v>
      </c>
      <c r="B23" s="3" t="s">
        <v>44</v>
      </c>
    </row>
    <row r="24" spans="1:2">
      <c r="A24" s="2" t="s">
        <v>45</v>
      </c>
      <c r="B24" s="3" t="s">
        <v>46</v>
      </c>
    </row>
    <row r="25" spans="1:2">
      <c r="A25" s="2" t="s">
        <v>47</v>
      </c>
      <c r="B25" s="3" t="s">
        <v>48</v>
      </c>
    </row>
    <row r="26" spans="1:2">
      <c r="A26" s="2" t="s">
        <v>49</v>
      </c>
      <c r="B26" s="3" t="s">
        <v>50</v>
      </c>
    </row>
    <row r="27" spans="1:2">
      <c r="A27" s="2" t="s">
        <v>51</v>
      </c>
      <c r="B27" s="3" t="s">
        <v>52</v>
      </c>
    </row>
    <row r="28" spans="1:2">
      <c r="A28" s="2" t="s">
        <v>53</v>
      </c>
      <c r="B28" s="3" t="s">
        <v>54</v>
      </c>
    </row>
    <row r="29" spans="1:2">
      <c r="A29" s="2" t="s">
        <v>55</v>
      </c>
      <c r="B29" s="3" t="s">
        <v>56</v>
      </c>
    </row>
    <row r="30" spans="1:2">
      <c r="A30" s="2" t="s">
        <v>57</v>
      </c>
      <c r="B30" s="3" t="s">
        <v>58</v>
      </c>
    </row>
    <row r="31" spans="1:2">
      <c r="A31" s="2" t="s">
        <v>59</v>
      </c>
      <c r="B31" s="3" t="s">
        <v>60</v>
      </c>
    </row>
    <row r="32" spans="1:2">
      <c r="A32" s="2" t="s">
        <v>61</v>
      </c>
      <c r="B32" s="3" t="s">
        <v>62</v>
      </c>
    </row>
    <row r="33" spans="1:2">
      <c r="A33" s="2" t="s">
        <v>63</v>
      </c>
      <c r="B33" s="3" t="s">
        <v>64</v>
      </c>
    </row>
    <row r="34" spans="1:2">
      <c r="A34" s="2" t="s">
        <v>65</v>
      </c>
      <c r="B34" s="3" t="s">
        <v>66</v>
      </c>
    </row>
    <row r="35" spans="1:2">
      <c r="A35" s="2" t="s">
        <v>67</v>
      </c>
      <c r="B35" s="3" t="s">
        <v>68</v>
      </c>
    </row>
    <row r="36" spans="1:2">
      <c r="A36" s="2" t="s">
        <v>69</v>
      </c>
      <c r="B36" s="3" t="s">
        <v>70</v>
      </c>
    </row>
    <row r="37" spans="1:2">
      <c r="A37" s="2" t="s">
        <v>71</v>
      </c>
      <c r="B37" s="3" t="s">
        <v>72</v>
      </c>
    </row>
    <row r="38" spans="1:2">
      <c r="A38" s="2" t="s">
        <v>73</v>
      </c>
      <c r="B38" s="3" t="s">
        <v>74</v>
      </c>
    </row>
    <row r="39" spans="1:2">
      <c r="A39" s="2" t="s">
        <v>75</v>
      </c>
      <c r="B39" s="3" t="s">
        <v>76</v>
      </c>
    </row>
    <row r="40" spans="1:2">
      <c r="A40" s="2" t="s">
        <v>77</v>
      </c>
      <c r="B40" s="3" t="s">
        <v>78</v>
      </c>
    </row>
    <row r="41" spans="1:2">
      <c r="A41" s="2" t="s">
        <v>79</v>
      </c>
      <c r="B41" s="3" t="s">
        <v>80</v>
      </c>
    </row>
    <row r="42" spans="1:2">
      <c r="A42" s="2" t="s">
        <v>81</v>
      </c>
      <c r="B42" s="3" t="s">
        <v>82</v>
      </c>
    </row>
    <row r="43" spans="1:2">
      <c r="A43" s="2" t="s">
        <v>83</v>
      </c>
      <c r="B43" s="3" t="s">
        <v>84</v>
      </c>
    </row>
    <row r="44" spans="1:2">
      <c r="A44" s="2" t="s">
        <v>85</v>
      </c>
      <c r="B44" s="3" t="s">
        <v>86</v>
      </c>
    </row>
  </sheetData>
  <hyperlinks>
    <hyperlink xmlns:r="http://schemas.openxmlformats.org/officeDocument/2006/relationships" ref="A2" r:id="rId1"/>
    <hyperlink xmlns:r="http://schemas.openxmlformats.org/officeDocument/2006/relationships" ref="A3" r:id="rId2"/>
    <hyperlink xmlns:r="http://schemas.openxmlformats.org/officeDocument/2006/relationships" ref="A4" r:id="rId3"/>
    <hyperlink xmlns:r="http://schemas.openxmlformats.org/officeDocument/2006/relationships" ref="A5" r:id="rId4"/>
    <hyperlink xmlns:r="http://schemas.openxmlformats.org/officeDocument/2006/relationships" ref="A6" r:id="rId5"/>
    <hyperlink xmlns:r="http://schemas.openxmlformats.org/officeDocument/2006/relationships" ref="A7" r:id="rId6"/>
    <hyperlink xmlns:r="http://schemas.openxmlformats.org/officeDocument/2006/relationships" ref="A8" r:id="rId7"/>
    <hyperlink xmlns:r="http://schemas.openxmlformats.org/officeDocument/2006/relationships" ref="A9" r:id="rId8"/>
    <hyperlink xmlns:r="http://schemas.openxmlformats.org/officeDocument/2006/relationships" ref="A10" r:id="rId9"/>
    <hyperlink xmlns:r="http://schemas.openxmlformats.org/officeDocument/2006/relationships" ref="A11" r:id="rId10"/>
    <hyperlink xmlns:r="http://schemas.openxmlformats.org/officeDocument/2006/relationships" ref="A12" r:id="rId11"/>
    <hyperlink xmlns:r="http://schemas.openxmlformats.org/officeDocument/2006/relationships" ref="A13" r:id="rId12"/>
    <hyperlink xmlns:r="http://schemas.openxmlformats.org/officeDocument/2006/relationships" ref="A14" r:id="rId13"/>
    <hyperlink xmlns:r="http://schemas.openxmlformats.org/officeDocument/2006/relationships" ref="A15" r:id="rId14"/>
    <hyperlink xmlns:r="http://schemas.openxmlformats.org/officeDocument/2006/relationships" ref="A16" r:id="rId15"/>
    <hyperlink xmlns:r="http://schemas.openxmlformats.org/officeDocument/2006/relationships" ref="A17" r:id="rId16"/>
    <hyperlink xmlns:r="http://schemas.openxmlformats.org/officeDocument/2006/relationships" ref="A18" r:id="rId17"/>
    <hyperlink xmlns:r="http://schemas.openxmlformats.org/officeDocument/2006/relationships" ref="A19" r:id="rId18"/>
    <hyperlink xmlns:r="http://schemas.openxmlformats.org/officeDocument/2006/relationships" ref="A20" r:id="rId19"/>
    <hyperlink xmlns:r="http://schemas.openxmlformats.org/officeDocument/2006/relationships" ref="A21" r:id="rId20"/>
    <hyperlink xmlns:r="http://schemas.openxmlformats.org/officeDocument/2006/relationships" ref="A22" r:id="rId21"/>
    <hyperlink xmlns:r="http://schemas.openxmlformats.org/officeDocument/2006/relationships" ref="A23" r:id="rId22"/>
    <hyperlink xmlns:r="http://schemas.openxmlformats.org/officeDocument/2006/relationships" ref="A24" r:id="rId23"/>
    <hyperlink xmlns:r="http://schemas.openxmlformats.org/officeDocument/2006/relationships" ref="A25" r:id="rId24"/>
    <hyperlink xmlns:r="http://schemas.openxmlformats.org/officeDocument/2006/relationships" ref="A26" r:id="rId25"/>
    <hyperlink xmlns:r="http://schemas.openxmlformats.org/officeDocument/2006/relationships" ref="A27" r:id="rId26"/>
    <hyperlink xmlns:r="http://schemas.openxmlformats.org/officeDocument/2006/relationships" ref="A28" r:id="rId27"/>
    <hyperlink xmlns:r="http://schemas.openxmlformats.org/officeDocument/2006/relationships" ref="A29" r:id="rId28"/>
    <hyperlink xmlns:r="http://schemas.openxmlformats.org/officeDocument/2006/relationships" ref="A30" r:id="rId29"/>
    <hyperlink xmlns:r="http://schemas.openxmlformats.org/officeDocument/2006/relationships" ref="A31" r:id="rId30"/>
    <hyperlink xmlns:r="http://schemas.openxmlformats.org/officeDocument/2006/relationships" ref="A32" r:id="rId31"/>
    <hyperlink xmlns:r="http://schemas.openxmlformats.org/officeDocument/2006/relationships" ref="A33" r:id="rId32"/>
    <hyperlink xmlns:r="http://schemas.openxmlformats.org/officeDocument/2006/relationships" ref="A34" r:id="rId33"/>
    <hyperlink xmlns:r="http://schemas.openxmlformats.org/officeDocument/2006/relationships" ref="A35" r:id="rId34"/>
    <hyperlink xmlns:r="http://schemas.openxmlformats.org/officeDocument/2006/relationships" ref="A36" r:id="rId35"/>
    <hyperlink xmlns:r="http://schemas.openxmlformats.org/officeDocument/2006/relationships" ref="A37" r:id="rId36"/>
    <hyperlink xmlns:r="http://schemas.openxmlformats.org/officeDocument/2006/relationships" ref="A38" r:id="rId37"/>
    <hyperlink xmlns:r="http://schemas.openxmlformats.org/officeDocument/2006/relationships" ref="A39" r:id="rId38"/>
    <hyperlink xmlns:r="http://schemas.openxmlformats.org/officeDocument/2006/relationships" ref="A40" r:id="rId39"/>
    <hyperlink xmlns:r="http://schemas.openxmlformats.org/officeDocument/2006/relationships" ref="A41" r:id="rId40"/>
    <hyperlink xmlns:r="http://schemas.openxmlformats.org/officeDocument/2006/relationships" ref="A42" r:id="rId41"/>
    <hyperlink xmlns:r="http://schemas.openxmlformats.org/officeDocument/2006/relationships" ref="A43" r:id="rId42"/>
    <hyperlink xmlns:r="http://schemas.openxmlformats.org/officeDocument/2006/relationships" ref="A44" r:id="rId43"/>
  </hyperlinks>
  <pageMargins bottom="1" footer="0.5" header="0.5" left="0.75" right="0.75" top="1"/>
</worksheet>
</file>

<file path=xl/worksheets/sheet10.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210</v>
      </c>
    </row>
    <row customHeight="1" ht="30" r="4" spans="1:18">
      <c r="A4" s="6" t="n"/>
      <c r="B4" s="7" t="s">
        <v>89</v>
      </c>
      <c r="C4" s="7" t="s">
        <v>90</v>
      </c>
      <c r="D4" s="8" t="s">
        <v>89</v>
      </c>
      <c r="E4" s="9" t="s">
        <v>199</v>
      </c>
      <c r="F4" s="10" t="n"/>
      <c r="G4" s="9" t="s">
        <v>200</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7163</v>
      </c>
      <c r="C7" s="18">
        <f>(328.0/B7*100)</f>
        <v/>
      </c>
      <c r="D7" s="19" t="n">
        <v>6835</v>
      </c>
      <c r="E7" s="18" t="n">
        <v>42.22998915</v>
      </c>
      <c r="F7" s="20" t="n">
        <v>0.76284975</v>
      </c>
      <c r="G7" s="18" t="n">
        <v>46.11087958</v>
      </c>
      <c r="H7" s="20" t="n">
        <v>0.90850186</v>
      </c>
      <c r="I7" s="18" t="s">
        <v>105</v>
      </c>
      <c r="J7" s="20" t="s">
        <v>105</v>
      </c>
      <c r="K7" s="18" t="n">
        <v>0.48477082</v>
      </c>
      <c r="L7" s="20" t="n">
        <v>0.10044166</v>
      </c>
      <c r="M7" s="18" t="n">
        <v>0.00962995</v>
      </c>
      <c r="N7" s="20" t="n">
        <v>0.00269086</v>
      </c>
      <c r="O7" s="18" t="n">
        <v>0</v>
      </c>
      <c r="P7" s="20" t="n">
        <v>0</v>
      </c>
      <c r="Q7" s="18" t="n">
        <v>11.1647305</v>
      </c>
      <c r="R7" s="20" t="n">
        <v>0.51211585</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2795</v>
      </c>
      <c r="C9" s="18">
        <f>(2148.0/B9*100)</f>
        <v/>
      </c>
      <c r="D9" s="19" t="n">
        <v>647</v>
      </c>
      <c r="E9" s="18" t="n">
        <v>36.17000097</v>
      </c>
      <c r="F9" s="20" t="n">
        <v>1.94347387</v>
      </c>
      <c r="G9" s="18" t="n">
        <v>56.11594285</v>
      </c>
      <c r="H9" s="20" t="n">
        <v>2.04724326</v>
      </c>
      <c r="I9" s="18" t="s">
        <v>105</v>
      </c>
      <c r="J9" s="20" t="s">
        <v>105</v>
      </c>
      <c r="K9" s="18" t="n">
        <v>0.29752814</v>
      </c>
      <c r="L9" s="20" t="n">
        <v>0.22910064</v>
      </c>
      <c r="M9" s="18" t="n">
        <v>0.79114608</v>
      </c>
      <c r="N9" s="20" t="n">
        <v>0.30520842</v>
      </c>
      <c r="O9" s="18" t="n">
        <v>0</v>
      </c>
      <c r="P9" s="20" t="n">
        <v>0</v>
      </c>
      <c r="Q9" s="18" t="n">
        <v>6.62538196</v>
      </c>
      <c r="R9" s="20" t="n">
        <v>0.88758874</v>
      </c>
    </row>
    <row r="10" spans="1:18">
      <c r="A10" s="15" t="s">
        <v>109</v>
      </c>
      <c r="B10" s="17" t="n">
        <v>6602</v>
      </c>
      <c r="C10" s="18">
        <f>(5013.0/B10*100)</f>
        <v/>
      </c>
      <c r="D10" s="19" t="n">
        <v>1589</v>
      </c>
      <c r="E10" s="18" t="n">
        <v>40.5615977</v>
      </c>
      <c r="F10" s="20" t="n">
        <v>1.75759455</v>
      </c>
      <c r="G10" s="18" t="n">
        <v>53.966509</v>
      </c>
      <c r="H10" s="20" t="n">
        <v>1.72347114</v>
      </c>
      <c r="I10" s="18" t="s">
        <v>105</v>
      </c>
      <c r="J10" s="20" t="s">
        <v>105</v>
      </c>
      <c r="K10" s="18" t="n">
        <v>0.05337034</v>
      </c>
      <c r="L10" s="20" t="n">
        <v>0.03404259</v>
      </c>
      <c r="M10" s="18" t="n">
        <v>0.22059908</v>
      </c>
      <c r="N10" s="20" t="n">
        <v>0.18713884</v>
      </c>
      <c r="O10" s="18" t="n">
        <v>0</v>
      </c>
      <c r="P10" s="20" t="n">
        <v>0</v>
      </c>
      <c r="Q10" s="18" t="n">
        <v>5.19792389</v>
      </c>
      <c r="R10" s="20" t="n">
        <v>0.85385772</v>
      </c>
    </row>
    <row r="11" spans="1:18">
      <c r="A11" s="15" t="s">
        <v>110</v>
      </c>
      <c r="B11" s="17" t="n">
        <v>3500</v>
      </c>
      <c r="C11" s="18">
        <f>(2609.0/B11*100)</f>
        <v/>
      </c>
      <c r="D11" s="19" t="n">
        <v>891</v>
      </c>
      <c r="E11" s="18" t="n">
        <v>43.73548252</v>
      </c>
      <c r="F11" s="20" t="n">
        <v>1.68050209</v>
      </c>
      <c r="G11" s="18" t="n">
        <v>37.27802548</v>
      </c>
      <c r="H11" s="20" t="n">
        <v>1.8919902</v>
      </c>
      <c r="I11" s="18" t="s">
        <v>105</v>
      </c>
      <c r="J11" s="20" t="s">
        <v>105</v>
      </c>
      <c r="K11" s="18" t="n">
        <v>0.52712272</v>
      </c>
      <c r="L11" s="20" t="n">
        <v>0.28745961</v>
      </c>
      <c r="M11" s="18" t="n">
        <v>0.04905674</v>
      </c>
      <c r="N11" s="20" t="n">
        <v>0.05381636</v>
      </c>
      <c r="O11" s="18" t="n">
        <v>0</v>
      </c>
      <c r="P11" s="20" t="n">
        <v>0</v>
      </c>
      <c r="Q11" s="18" t="n">
        <v>18.41031254</v>
      </c>
      <c r="R11" s="20" t="n">
        <v>1.50879045</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5792</v>
      </c>
      <c r="C23" s="18">
        <f>(4450.0/B23*100)</f>
        <v/>
      </c>
      <c r="D23" s="19" t="n">
        <v>1342</v>
      </c>
      <c r="E23" s="18" t="n">
        <v>42.47851018</v>
      </c>
      <c r="F23" s="20" t="n">
        <v>1.79469447</v>
      </c>
      <c r="G23" s="18" t="n">
        <v>34.92807186</v>
      </c>
      <c r="H23" s="20" t="n">
        <v>2.28383462</v>
      </c>
      <c r="I23" s="18" t="s">
        <v>105</v>
      </c>
      <c r="J23" s="20" t="s">
        <v>105</v>
      </c>
      <c r="K23" s="18" t="n">
        <v>0.42846783</v>
      </c>
      <c r="L23" s="20" t="n">
        <v>0.20998388</v>
      </c>
      <c r="M23" s="18" t="n">
        <v>0</v>
      </c>
      <c r="N23" s="20" t="n">
        <v>0</v>
      </c>
      <c r="O23" s="18" t="n">
        <v>0</v>
      </c>
      <c r="P23" s="20" t="n">
        <v>0</v>
      </c>
      <c r="Q23" s="18" t="n">
        <v>22.16495014</v>
      </c>
      <c r="R23" s="20" t="n">
        <v>1.69696589</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2700</v>
      </c>
      <c r="C29" s="18">
        <f>(2020.0/B29*100)</f>
        <v/>
      </c>
      <c r="D29" s="19" t="n">
        <v>680</v>
      </c>
      <c r="E29" s="18" t="n">
        <v>49.45136671</v>
      </c>
      <c r="F29" s="20" t="n">
        <v>2.32096426</v>
      </c>
      <c r="G29" s="18" t="n">
        <v>43.73348864</v>
      </c>
      <c r="H29" s="20" t="n">
        <v>2.17348091</v>
      </c>
      <c r="I29" s="18" t="s">
        <v>105</v>
      </c>
      <c r="J29" s="20" t="s">
        <v>105</v>
      </c>
      <c r="K29" s="18" t="n">
        <v>0.12826646</v>
      </c>
      <c r="L29" s="20" t="n">
        <v>0.13672156</v>
      </c>
      <c r="M29" s="18" t="n">
        <v>0</v>
      </c>
      <c r="N29" s="20" t="n">
        <v>0</v>
      </c>
      <c r="O29" s="18" t="n">
        <v>0</v>
      </c>
      <c r="P29" s="20" t="n">
        <v>0</v>
      </c>
      <c r="Q29" s="18" t="n">
        <v>6.68687818</v>
      </c>
      <c r="R29" s="20" t="n">
        <v>1.12276287</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2209</v>
      </c>
      <c r="C32" s="18">
        <f>(1356.0/B32*100)</f>
        <v/>
      </c>
      <c r="D32" s="19" t="n">
        <v>853</v>
      </c>
      <c r="E32" s="18" t="n">
        <v>41.10393621</v>
      </c>
      <c r="F32" s="20" t="n">
        <v>1.62443357</v>
      </c>
      <c r="G32" s="18" t="n">
        <v>37.06660805</v>
      </c>
      <c r="H32" s="20" t="n">
        <v>1.74979674</v>
      </c>
      <c r="I32" s="18" t="s">
        <v>105</v>
      </c>
      <c r="J32" s="20" t="s">
        <v>105</v>
      </c>
      <c r="K32" s="18" t="n">
        <v>0.24469358</v>
      </c>
      <c r="L32" s="20" t="n">
        <v>0.18098644</v>
      </c>
      <c r="M32" s="18" t="n">
        <v>0.49697506</v>
      </c>
      <c r="N32" s="20" t="n">
        <v>0.52915958</v>
      </c>
      <c r="O32" s="18" t="n">
        <v>0</v>
      </c>
      <c r="P32" s="20" t="n">
        <v>0</v>
      </c>
      <c r="Q32" s="18" t="n">
        <v>21.0877871</v>
      </c>
      <c r="R32" s="20" t="n">
        <v>1.55623477</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3035</v>
      </c>
      <c r="C34" s="18">
        <f>(2304.0/B34*100)</f>
        <v/>
      </c>
      <c r="D34" s="19" t="n">
        <v>731</v>
      </c>
      <c r="E34" s="18" t="n">
        <v>47.22651107</v>
      </c>
      <c r="F34" s="20" t="n">
        <v>2.12314512</v>
      </c>
      <c r="G34" s="18" t="n">
        <v>28.49833678</v>
      </c>
      <c r="H34" s="20" t="n">
        <v>1.90992575</v>
      </c>
      <c r="I34" s="18" t="s">
        <v>105</v>
      </c>
      <c r="J34" s="20" t="s">
        <v>105</v>
      </c>
      <c r="K34" s="18" t="n">
        <v>0.4802281</v>
      </c>
      <c r="L34" s="20" t="n">
        <v>0.29826153</v>
      </c>
      <c r="M34" s="18" t="n">
        <v>0</v>
      </c>
      <c r="N34" s="20" t="n">
        <v>0</v>
      </c>
      <c r="O34" s="18" t="n">
        <v>0</v>
      </c>
      <c r="P34" s="20" t="n">
        <v>0</v>
      </c>
      <c r="Q34" s="18" t="n">
        <v>23.79492404</v>
      </c>
      <c r="R34" s="20" t="n">
        <v>2.01371503</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3404</v>
      </c>
      <c r="C36" s="18">
        <f>(2537.0/B36*100)</f>
        <v/>
      </c>
      <c r="D36" s="19" t="n">
        <v>867</v>
      </c>
      <c r="E36" s="18" t="n">
        <v>51.75700911</v>
      </c>
      <c r="F36" s="20" t="n">
        <v>1.91648277</v>
      </c>
      <c r="G36" s="18" t="n">
        <v>31.99976063</v>
      </c>
      <c r="H36" s="20" t="n">
        <v>1.70014742</v>
      </c>
      <c r="I36" s="18" t="s">
        <v>105</v>
      </c>
      <c r="J36" s="20" t="s">
        <v>105</v>
      </c>
      <c r="K36" s="18" t="n">
        <v>0.20643692</v>
      </c>
      <c r="L36" s="20" t="n">
        <v>0.15781991</v>
      </c>
      <c r="M36" s="18" t="n">
        <v>0</v>
      </c>
      <c r="N36" s="20" t="n">
        <v>0</v>
      </c>
      <c r="O36" s="18" t="n">
        <v>0</v>
      </c>
      <c r="P36" s="20" t="n">
        <v>0</v>
      </c>
      <c r="Q36" s="18" t="n">
        <v>16.03679334</v>
      </c>
      <c r="R36" s="20" t="n">
        <v>1.33869971</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2854</v>
      </c>
      <c r="C41" s="18">
        <f>(2132.0/B41*100)</f>
        <v/>
      </c>
      <c r="D41" s="19" t="n">
        <v>722</v>
      </c>
      <c r="E41" s="18" t="n">
        <v>52.47154276</v>
      </c>
      <c r="F41" s="20" t="n">
        <v>2.1445907</v>
      </c>
      <c r="G41" s="18" t="n">
        <v>40.91680066</v>
      </c>
      <c r="H41" s="20" t="n">
        <v>2.22900337</v>
      </c>
      <c r="I41" s="18" t="s">
        <v>105</v>
      </c>
      <c r="J41" s="20" t="s">
        <v>105</v>
      </c>
      <c r="K41" s="18" t="n">
        <v>0.13632047</v>
      </c>
      <c r="L41" s="20" t="n">
        <v>0.13596894</v>
      </c>
      <c r="M41" s="18" t="n">
        <v>0</v>
      </c>
      <c r="N41" s="20" t="n">
        <v>0</v>
      </c>
      <c r="O41" s="18" t="n">
        <v>0</v>
      </c>
      <c r="P41" s="20" t="n">
        <v>0</v>
      </c>
      <c r="Q41" s="18" t="n">
        <v>6.47533611</v>
      </c>
      <c r="R41" s="20" t="n">
        <v>1.11994713</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12073</v>
      </c>
      <c r="C46" s="18">
        <f>(9543.0/B46*100)</f>
        <v/>
      </c>
      <c r="D46" s="19" t="n">
        <v>2530</v>
      </c>
      <c r="E46" s="18" t="n">
        <v>45.88222455</v>
      </c>
      <c r="F46" s="20" t="n">
        <v>1.42827347</v>
      </c>
      <c r="G46" s="18" t="n">
        <v>22.7283943</v>
      </c>
      <c r="H46" s="20" t="n">
        <v>1.35910896</v>
      </c>
      <c r="I46" s="18" t="s">
        <v>105</v>
      </c>
      <c r="J46" s="20" t="s">
        <v>105</v>
      </c>
      <c r="K46" s="18" t="n">
        <v>2.16401989</v>
      </c>
      <c r="L46" s="20" t="n">
        <v>0.42420073</v>
      </c>
      <c r="M46" s="18" t="n">
        <v>0</v>
      </c>
      <c r="N46" s="20" t="n">
        <v>0</v>
      </c>
      <c r="O46" s="18" t="n">
        <v>0</v>
      </c>
      <c r="P46" s="20" t="n">
        <v>0</v>
      </c>
      <c r="Q46" s="18" t="n">
        <v>29.22536126</v>
      </c>
      <c r="R46" s="20" t="n">
        <v>1.3397276</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4682</v>
      </c>
      <c r="C48" s="18">
        <f>(3492.0/B48*100)</f>
        <v/>
      </c>
      <c r="D48" s="19" t="n">
        <v>1190</v>
      </c>
      <c r="E48" s="18" t="n">
        <v>51.97800685</v>
      </c>
      <c r="F48" s="20" t="n">
        <v>2.12976057</v>
      </c>
      <c r="G48" s="18" t="n">
        <v>42.14470697</v>
      </c>
      <c r="H48" s="20" t="n">
        <v>2.19843156</v>
      </c>
      <c r="I48" s="18" t="s">
        <v>105</v>
      </c>
      <c r="J48" s="20" t="s">
        <v>105</v>
      </c>
      <c r="K48" s="18" t="n">
        <v>0.06451709</v>
      </c>
      <c r="L48" s="20" t="n">
        <v>0.06468773999999999</v>
      </c>
      <c r="M48" s="18" t="n">
        <v>0</v>
      </c>
      <c r="N48" s="20" t="n">
        <v>0</v>
      </c>
      <c r="O48" s="18" t="n">
        <v>0</v>
      </c>
      <c r="P48" s="20" t="n">
        <v>0</v>
      </c>
      <c r="Q48" s="18" t="n">
        <v>5.81276909</v>
      </c>
      <c r="R48" s="20" t="n">
        <v>0.9533074499999999</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3201</v>
      </c>
      <c r="C61" s="18">
        <f>(2358.0/B61*100)</f>
        <v/>
      </c>
      <c r="D61" s="19" t="n">
        <v>843</v>
      </c>
      <c r="E61" s="18" t="n">
        <v>48.64850745</v>
      </c>
      <c r="F61" s="20" t="n">
        <v>1.82780792</v>
      </c>
      <c r="G61" s="18" t="n">
        <v>31.41060533</v>
      </c>
      <c r="H61" s="20" t="n">
        <v>1.78539468</v>
      </c>
      <c r="I61" s="18" t="s">
        <v>105</v>
      </c>
      <c r="J61" s="20" t="s">
        <v>105</v>
      </c>
      <c r="K61" s="18" t="n">
        <v>0.33740789</v>
      </c>
      <c r="L61" s="20" t="n">
        <v>0.22865384</v>
      </c>
      <c r="M61" s="18" t="n">
        <v>0</v>
      </c>
      <c r="N61" s="20" t="n">
        <v>0</v>
      </c>
      <c r="O61" s="18" t="n">
        <v>0</v>
      </c>
      <c r="P61" s="20" t="n">
        <v>0</v>
      </c>
      <c r="Q61" s="18" t="n">
        <v>19.60347932</v>
      </c>
      <c r="R61" s="20" t="n">
        <v>1.54125788</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3460</v>
      </c>
      <c r="C67" s="18">
        <f>(2612.0/B67*100)</f>
        <v/>
      </c>
      <c r="D67" s="19" t="n">
        <v>848</v>
      </c>
      <c r="E67" s="18" t="n">
        <v>63.82302592</v>
      </c>
      <c r="F67" s="20" t="n">
        <v>1.84802041</v>
      </c>
      <c r="G67" s="18" t="n">
        <v>26.63478467</v>
      </c>
      <c r="H67" s="20" t="n">
        <v>1.82218088</v>
      </c>
      <c r="I67" s="18" t="s">
        <v>105</v>
      </c>
      <c r="J67" s="20" t="s">
        <v>105</v>
      </c>
      <c r="K67" s="18" t="n">
        <v>0</v>
      </c>
      <c r="L67" s="20" t="n">
        <v>0</v>
      </c>
      <c r="M67" s="18" t="n">
        <v>0</v>
      </c>
      <c r="N67" s="20" t="n">
        <v>0</v>
      </c>
      <c r="O67" s="18" t="n">
        <v>0</v>
      </c>
      <c r="P67" s="20" t="n">
        <v>0</v>
      </c>
      <c r="Q67" s="18" t="n">
        <v>9.542189410000001</v>
      </c>
      <c r="R67" s="20" t="n">
        <v>1.10978619</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3107</v>
      </c>
      <c r="C70" s="18">
        <f>(2334.0/B70*100)</f>
        <v/>
      </c>
      <c r="D70" s="19" t="n">
        <v>773</v>
      </c>
      <c r="E70" s="18" t="n">
        <v>41.23619777</v>
      </c>
      <c r="F70" s="20" t="n">
        <v>2.09485274</v>
      </c>
      <c r="G70" s="18" t="n">
        <v>42.4301725</v>
      </c>
      <c r="H70" s="20" t="n">
        <v>2.41981924</v>
      </c>
      <c r="I70" s="18" t="s">
        <v>105</v>
      </c>
      <c r="J70" s="20" t="s">
        <v>105</v>
      </c>
      <c r="K70" s="18" t="n">
        <v>1.42113189</v>
      </c>
      <c r="L70" s="20" t="n">
        <v>0.66990893</v>
      </c>
      <c r="M70" s="18" t="n">
        <v>0</v>
      </c>
      <c r="N70" s="20" t="n">
        <v>0</v>
      </c>
      <c r="O70" s="18" t="n">
        <v>0</v>
      </c>
      <c r="P70" s="20" t="n">
        <v>0</v>
      </c>
      <c r="Q70" s="18" t="n">
        <v>14.91249784</v>
      </c>
      <c r="R70" s="20" t="n">
        <v>1.69864519</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11.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211</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7163</v>
      </c>
      <c r="C7" s="18">
        <f>(390.0/B7*100)</f>
        <v/>
      </c>
      <c r="D7" s="19" t="n">
        <v>6773</v>
      </c>
      <c r="E7" s="18" t="n">
        <v>74.60326451</v>
      </c>
      <c r="F7" s="20" t="n">
        <v>0.59637904</v>
      </c>
      <c r="G7" s="18" t="n">
        <v>23.87108338</v>
      </c>
      <c r="H7" s="20" t="n">
        <v>0.58516275</v>
      </c>
      <c r="I7" s="18" t="s">
        <v>105</v>
      </c>
      <c r="J7" s="20" t="s">
        <v>105</v>
      </c>
      <c r="K7" s="18" t="n">
        <v>0.49616609</v>
      </c>
      <c r="L7" s="20" t="n">
        <v>0.10163601</v>
      </c>
      <c r="M7" s="18" t="n">
        <v>0</v>
      </c>
      <c r="N7" s="20" t="n">
        <v>0</v>
      </c>
      <c r="O7" s="18" t="n">
        <v>0</v>
      </c>
      <c r="P7" s="20" t="n">
        <v>0</v>
      </c>
      <c r="Q7" s="18" t="n">
        <v>1.02948602</v>
      </c>
      <c r="R7" s="20" t="n">
        <v>0.16821463</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2795</v>
      </c>
      <c r="C9" s="18">
        <f>(2147.0/B9*100)</f>
        <v/>
      </c>
      <c r="D9" s="19" t="n">
        <v>648</v>
      </c>
      <c r="E9" s="18" t="n">
        <v>76.33999006000001</v>
      </c>
      <c r="F9" s="20" t="n">
        <v>1.59828526</v>
      </c>
      <c r="G9" s="18" t="n">
        <v>23.36293403</v>
      </c>
      <c r="H9" s="20" t="n">
        <v>1.59675499</v>
      </c>
      <c r="I9" s="18" t="s">
        <v>105</v>
      </c>
      <c r="J9" s="20" t="s">
        <v>105</v>
      </c>
      <c r="K9" s="18" t="n">
        <v>0.29707591</v>
      </c>
      <c r="L9" s="20" t="n">
        <v>0.22875966</v>
      </c>
      <c r="M9" s="18" t="n">
        <v>0</v>
      </c>
      <c r="N9" s="20" t="n">
        <v>0</v>
      </c>
      <c r="O9" s="18" t="n">
        <v>0</v>
      </c>
      <c r="P9" s="20" t="n">
        <v>0</v>
      </c>
      <c r="Q9" s="18" t="n">
        <v>0</v>
      </c>
      <c r="R9" s="20" t="n">
        <v>0</v>
      </c>
    </row>
    <row r="10" spans="1:18">
      <c r="A10" s="15" t="s">
        <v>109</v>
      </c>
      <c r="B10" s="17" t="n">
        <v>6602</v>
      </c>
      <c r="C10" s="18">
        <f>(5017.0/B10*100)</f>
        <v/>
      </c>
      <c r="D10" s="19" t="n">
        <v>1585</v>
      </c>
      <c r="E10" s="18" t="n">
        <v>76.18671177</v>
      </c>
      <c r="F10" s="20" t="n">
        <v>1.74362625</v>
      </c>
      <c r="G10" s="18" t="n">
        <v>23.34167741</v>
      </c>
      <c r="H10" s="20" t="n">
        <v>1.74468495</v>
      </c>
      <c r="I10" s="18" t="s">
        <v>105</v>
      </c>
      <c r="J10" s="20" t="s">
        <v>105</v>
      </c>
      <c r="K10" s="18" t="n">
        <v>0.05349035</v>
      </c>
      <c r="L10" s="20" t="n">
        <v>0.0341202</v>
      </c>
      <c r="M10" s="18" t="n">
        <v>0</v>
      </c>
      <c r="N10" s="20" t="n">
        <v>0</v>
      </c>
      <c r="O10" s="18" t="n">
        <v>0</v>
      </c>
      <c r="P10" s="20" t="n">
        <v>0</v>
      </c>
      <c r="Q10" s="18" t="n">
        <v>0.41812048</v>
      </c>
      <c r="R10" s="20" t="n">
        <v>0.24877885</v>
      </c>
    </row>
    <row r="11" spans="1:18">
      <c r="A11" s="15" t="s">
        <v>110</v>
      </c>
      <c r="B11" s="17" t="n">
        <v>3500</v>
      </c>
      <c r="C11" s="18">
        <f>(2610.0/B11*100)</f>
        <v/>
      </c>
      <c r="D11" s="19" t="n">
        <v>890</v>
      </c>
      <c r="E11" s="18" t="n">
        <v>75.94973449</v>
      </c>
      <c r="F11" s="20" t="n">
        <v>1.50208206</v>
      </c>
      <c r="G11" s="18" t="n">
        <v>22.91958157</v>
      </c>
      <c r="H11" s="20" t="n">
        <v>1.45254315</v>
      </c>
      <c r="I11" s="18" t="s">
        <v>105</v>
      </c>
      <c r="J11" s="20" t="s">
        <v>105</v>
      </c>
      <c r="K11" s="18" t="n">
        <v>0.52796775</v>
      </c>
      <c r="L11" s="20" t="n">
        <v>0.28792508</v>
      </c>
      <c r="M11" s="18" t="n">
        <v>0</v>
      </c>
      <c r="N11" s="20" t="n">
        <v>0</v>
      </c>
      <c r="O11" s="18" t="n">
        <v>0</v>
      </c>
      <c r="P11" s="20" t="n">
        <v>0</v>
      </c>
      <c r="Q11" s="18" t="n">
        <v>0.60271619</v>
      </c>
      <c r="R11" s="20" t="n">
        <v>0.29855087</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5792</v>
      </c>
      <c r="C23" s="18">
        <f>(4452.0/B23*100)</f>
        <v/>
      </c>
      <c r="D23" s="19" t="n">
        <v>1340</v>
      </c>
      <c r="E23" s="18" t="n">
        <v>77.55263198</v>
      </c>
      <c r="F23" s="20" t="n">
        <v>1.51846949</v>
      </c>
      <c r="G23" s="18" t="n">
        <v>21.81771748</v>
      </c>
      <c r="H23" s="20" t="n">
        <v>1.51681062</v>
      </c>
      <c r="I23" s="18" t="s">
        <v>105</v>
      </c>
      <c r="J23" s="20" t="s">
        <v>105</v>
      </c>
      <c r="K23" s="18" t="n">
        <v>0.42889579</v>
      </c>
      <c r="L23" s="20" t="n">
        <v>0.21021199</v>
      </c>
      <c r="M23" s="18" t="n">
        <v>0</v>
      </c>
      <c r="N23" s="20" t="n">
        <v>0</v>
      </c>
      <c r="O23" s="18" t="n">
        <v>0</v>
      </c>
      <c r="P23" s="20" t="n">
        <v>0</v>
      </c>
      <c r="Q23" s="18" t="n">
        <v>0.20075475</v>
      </c>
      <c r="R23" s="20" t="n">
        <v>0.12112265</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2700</v>
      </c>
      <c r="C29" s="18">
        <f>(2020.0/B29*100)</f>
        <v/>
      </c>
      <c r="D29" s="19" t="n">
        <v>680</v>
      </c>
      <c r="E29" s="18" t="n">
        <v>62.77386324</v>
      </c>
      <c r="F29" s="20" t="n">
        <v>2.18800046</v>
      </c>
      <c r="G29" s="18" t="n">
        <v>36.96714308</v>
      </c>
      <c r="H29" s="20" t="n">
        <v>2.18722184</v>
      </c>
      <c r="I29" s="18" t="s">
        <v>105</v>
      </c>
      <c r="J29" s="20" t="s">
        <v>105</v>
      </c>
      <c r="K29" s="18" t="n">
        <v>0.12826646</v>
      </c>
      <c r="L29" s="20" t="n">
        <v>0.13672156</v>
      </c>
      <c r="M29" s="18" t="n">
        <v>0</v>
      </c>
      <c r="N29" s="20" t="n">
        <v>0</v>
      </c>
      <c r="O29" s="18" t="n">
        <v>0</v>
      </c>
      <c r="P29" s="20" t="n">
        <v>0</v>
      </c>
      <c r="Q29" s="18" t="n">
        <v>0.13072722</v>
      </c>
      <c r="R29" s="20" t="n">
        <v>0.13026901</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2209</v>
      </c>
      <c r="C32" s="18">
        <f>(1356.0/B32*100)</f>
        <v/>
      </c>
      <c r="D32" s="19" t="n">
        <v>853</v>
      </c>
      <c r="E32" s="18" t="n">
        <v>72.01252673</v>
      </c>
      <c r="F32" s="20" t="n">
        <v>1.6946552</v>
      </c>
      <c r="G32" s="18" t="n">
        <v>27.74277969</v>
      </c>
      <c r="H32" s="20" t="n">
        <v>1.67466303</v>
      </c>
      <c r="I32" s="18" t="s">
        <v>105</v>
      </c>
      <c r="J32" s="20" t="s">
        <v>105</v>
      </c>
      <c r="K32" s="18" t="n">
        <v>0.24469358</v>
      </c>
      <c r="L32" s="20" t="n">
        <v>0.18098644</v>
      </c>
      <c r="M32" s="18" t="n">
        <v>0</v>
      </c>
      <c r="N32" s="20" t="n">
        <v>0</v>
      </c>
      <c r="O32" s="18" t="n">
        <v>0</v>
      </c>
      <c r="P32" s="20" t="n">
        <v>0</v>
      </c>
      <c r="Q32" s="18" t="n">
        <v>0</v>
      </c>
      <c r="R32" s="20" t="n">
        <v>0</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3035</v>
      </c>
      <c r="C34" s="18">
        <f>(2307.0/B34*100)</f>
        <v/>
      </c>
      <c r="D34" s="19" t="n">
        <v>728</v>
      </c>
      <c r="E34" s="18" t="n">
        <v>78.1350181</v>
      </c>
      <c r="F34" s="20" t="n">
        <v>1.54713076</v>
      </c>
      <c r="G34" s="18" t="n">
        <v>20.36547036</v>
      </c>
      <c r="H34" s="20" t="n">
        <v>1.50565176</v>
      </c>
      <c r="I34" s="18" t="s">
        <v>105</v>
      </c>
      <c r="J34" s="20" t="s">
        <v>105</v>
      </c>
      <c r="K34" s="18" t="n">
        <v>0.48211223</v>
      </c>
      <c r="L34" s="20" t="n">
        <v>0.29948856</v>
      </c>
      <c r="M34" s="18" t="n">
        <v>0</v>
      </c>
      <c r="N34" s="20" t="n">
        <v>0</v>
      </c>
      <c r="O34" s="18" t="n">
        <v>0</v>
      </c>
      <c r="P34" s="20" t="n">
        <v>0</v>
      </c>
      <c r="Q34" s="18" t="n">
        <v>1.01739931</v>
      </c>
      <c r="R34" s="20" t="n">
        <v>0.4003687</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3404</v>
      </c>
      <c r="C36" s="18">
        <f>(2538.0/B36*100)</f>
        <v/>
      </c>
      <c r="D36" s="19" t="n">
        <v>866</v>
      </c>
      <c r="E36" s="18" t="n">
        <v>74.63228353</v>
      </c>
      <c r="F36" s="20" t="n">
        <v>1.37744393</v>
      </c>
      <c r="G36" s="18" t="n">
        <v>24.08913168</v>
      </c>
      <c r="H36" s="20" t="n">
        <v>1.39699152</v>
      </c>
      <c r="I36" s="18" t="s">
        <v>105</v>
      </c>
      <c r="J36" s="20" t="s">
        <v>105</v>
      </c>
      <c r="K36" s="18" t="n">
        <v>0.20656296</v>
      </c>
      <c r="L36" s="20" t="n">
        <v>0.1579191</v>
      </c>
      <c r="M36" s="18" t="n">
        <v>0</v>
      </c>
      <c r="N36" s="20" t="n">
        <v>0</v>
      </c>
      <c r="O36" s="18" t="n">
        <v>0</v>
      </c>
      <c r="P36" s="20" t="n">
        <v>0</v>
      </c>
      <c r="Q36" s="18" t="n">
        <v>1.07202183</v>
      </c>
      <c r="R36" s="20" t="n">
        <v>0.36052964</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2854</v>
      </c>
      <c r="C41" s="18">
        <f>(2135.0/B41*100)</f>
        <v/>
      </c>
      <c r="D41" s="19" t="n">
        <v>719</v>
      </c>
      <c r="E41" s="18" t="n">
        <v>71.70776497</v>
      </c>
      <c r="F41" s="20" t="n">
        <v>1.76346852</v>
      </c>
      <c r="G41" s="18" t="n">
        <v>27.88678983</v>
      </c>
      <c r="H41" s="20" t="n">
        <v>1.77435543</v>
      </c>
      <c r="I41" s="18" t="s">
        <v>105</v>
      </c>
      <c r="J41" s="20" t="s">
        <v>105</v>
      </c>
      <c r="K41" s="18" t="n">
        <v>0.13678064</v>
      </c>
      <c r="L41" s="20" t="n">
        <v>0.13641949</v>
      </c>
      <c r="M41" s="18" t="n">
        <v>0</v>
      </c>
      <c r="N41" s="20" t="n">
        <v>0</v>
      </c>
      <c r="O41" s="18" t="n">
        <v>0</v>
      </c>
      <c r="P41" s="20" t="n">
        <v>0</v>
      </c>
      <c r="Q41" s="18" t="n">
        <v>0.26866455</v>
      </c>
      <c r="R41" s="20" t="n">
        <v>0.18240128</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12073</v>
      </c>
      <c r="C46" s="18">
        <f>(9588.0/B46*100)</f>
        <v/>
      </c>
      <c r="D46" s="19" t="n">
        <v>2485</v>
      </c>
      <c r="E46" s="18" t="n">
        <v>77.53971576000001</v>
      </c>
      <c r="F46" s="20" t="n">
        <v>1.12330843</v>
      </c>
      <c r="G46" s="18" t="n">
        <v>14.79501355</v>
      </c>
      <c r="H46" s="20" t="n">
        <v>0.83425607</v>
      </c>
      <c r="I46" s="18" t="s">
        <v>105</v>
      </c>
      <c r="J46" s="20" t="s">
        <v>105</v>
      </c>
      <c r="K46" s="18" t="n">
        <v>2.29672613</v>
      </c>
      <c r="L46" s="20" t="n">
        <v>0.43433569</v>
      </c>
      <c r="M46" s="18" t="n">
        <v>0</v>
      </c>
      <c r="N46" s="20" t="n">
        <v>0</v>
      </c>
      <c r="O46" s="18" t="n">
        <v>0</v>
      </c>
      <c r="P46" s="20" t="n">
        <v>0</v>
      </c>
      <c r="Q46" s="18" t="n">
        <v>5.36854456</v>
      </c>
      <c r="R46" s="20" t="n">
        <v>0.70482358</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4682</v>
      </c>
      <c r="C48" s="18">
        <f>(3493.0/B48*100)</f>
        <v/>
      </c>
      <c r="D48" s="19" t="n">
        <v>1189</v>
      </c>
      <c r="E48" s="18" t="n">
        <v>92.63879507</v>
      </c>
      <c r="F48" s="20" t="n">
        <v>0.88895654</v>
      </c>
      <c r="G48" s="18" t="n">
        <v>7.29659362</v>
      </c>
      <c r="H48" s="20" t="n">
        <v>0.88621284</v>
      </c>
      <c r="I48" s="18" t="s">
        <v>105</v>
      </c>
      <c r="J48" s="20" t="s">
        <v>105</v>
      </c>
      <c r="K48" s="18" t="n">
        <v>0.06461131000000001</v>
      </c>
      <c r="L48" s="20" t="n">
        <v>0.06478119</v>
      </c>
      <c r="M48" s="18" t="n">
        <v>0</v>
      </c>
      <c r="N48" s="20" t="n">
        <v>0</v>
      </c>
      <c r="O48" s="18" t="n">
        <v>0</v>
      </c>
      <c r="P48" s="20" t="n">
        <v>0</v>
      </c>
      <c r="Q48" s="18" t="n">
        <v>0</v>
      </c>
      <c r="R48" s="20" t="n">
        <v>0</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3201</v>
      </c>
      <c r="C61" s="18">
        <f>(2358.0/B61*100)</f>
        <v/>
      </c>
      <c r="D61" s="19" t="n">
        <v>843</v>
      </c>
      <c r="E61" s="18" t="n">
        <v>73.85530307000001</v>
      </c>
      <c r="F61" s="20" t="n">
        <v>1.79519555</v>
      </c>
      <c r="G61" s="18" t="n">
        <v>24.79594183</v>
      </c>
      <c r="H61" s="20" t="n">
        <v>1.66469016</v>
      </c>
      <c r="I61" s="18" t="s">
        <v>105</v>
      </c>
      <c r="J61" s="20" t="s">
        <v>105</v>
      </c>
      <c r="K61" s="18" t="n">
        <v>0.33740789</v>
      </c>
      <c r="L61" s="20" t="n">
        <v>0.22865384</v>
      </c>
      <c r="M61" s="18" t="n">
        <v>0</v>
      </c>
      <c r="N61" s="20" t="n">
        <v>0</v>
      </c>
      <c r="O61" s="18" t="n">
        <v>0</v>
      </c>
      <c r="P61" s="20" t="n">
        <v>0</v>
      </c>
      <c r="Q61" s="18" t="n">
        <v>1.01134721</v>
      </c>
      <c r="R61" s="20" t="n">
        <v>0.45778054</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3460</v>
      </c>
      <c r="C67" s="18">
        <f>(2620.0/B67*100)</f>
        <v/>
      </c>
      <c r="D67" s="19" t="n">
        <v>840</v>
      </c>
      <c r="E67" s="18" t="n">
        <v>80.69214559</v>
      </c>
      <c r="F67" s="20" t="n">
        <v>1.50155652</v>
      </c>
      <c r="G67" s="18" t="n">
        <v>19.30785441</v>
      </c>
      <c r="H67" s="20" t="n">
        <v>1.50155652</v>
      </c>
      <c r="I67" s="18" t="s">
        <v>105</v>
      </c>
      <c r="J67" s="20" t="s">
        <v>105</v>
      </c>
      <c r="K67" s="18" t="n">
        <v>0</v>
      </c>
      <c r="L67" s="20" t="n">
        <v>0</v>
      </c>
      <c r="M67" s="18" t="n">
        <v>0</v>
      </c>
      <c r="N67" s="20" t="n">
        <v>0</v>
      </c>
      <c r="O67" s="18" t="n">
        <v>0</v>
      </c>
      <c r="P67" s="20" t="n">
        <v>0</v>
      </c>
      <c r="Q67" s="18" t="n">
        <v>0</v>
      </c>
      <c r="R67" s="20" t="n">
        <v>0</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3107</v>
      </c>
      <c r="C70" s="18">
        <f>(2337.0/B70*100)</f>
        <v/>
      </c>
      <c r="D70" s="19" t="n">
        <v>770</v>
      </c>
      <c r="E70" s="18" t="n">
        <v>69.37330328</v>
      </c>
      <c r="F70" s="20" t="n">
        <v>1.61724209</v>
      </c>
      <c r="G70" s="18" t="n">
        <v>28.71837972</v>
      </c>
      <c r="H70" s="20" t="n">
        <v>1.57268368</v>
      </c>
      <c r="I70" s="18" t="s">
        <v>105</v>
      </c>
      <c r="J70" s="20" t="s">
        <v>105</v>
      </c>
      <c r="K70" s="18" t="n">
        <v>1.42175417</v>
      </c>
      <c r="L70" s="20" t="n">
        <v>0.66804173</v>
      </c>
      <c r="M70" s="18" t="n">
        <v>0</v>
      </c>
      <c r="N70" s="20" t="n">
        <v>0</v>
      </c>
      <c r="O70" s="18" t="n">
        <v>0</v>
      </c>
      <c r="P70" s="20" t="n">
        <v>0</v>
      </c>
      <c r="Q70" s="18" t="n">
        <v>0.48656283</v>
      </c>
      <c r="R70" s="20" t="n">
        <v>0.32593006</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12.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212</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7163</v>
      </c>
      <c r="C7" s="18">
        <f>(382.0/B7*100)</f>
        <v/>
      </c>
      <c r="D7" s="19" t="n">
        <v>6781</v>
      </c>
      <c r="E7" s="18" t="n">
        <v>61.64179922</v>
      </c>
      <c r="F7" s="20" t="n">
        <v>0.61505984</v>
      </c>
      <c r="G7" s="18" t="n">
        <v>29.68608346</v>
      </c>
      <c r="H7" s="20" t="n">
        <v>0.59883673</v>
      </c>
      <c r="I7" s="18" t="s">
        <v>105</v>
      </c>
      <c r="J7" s="20" t="s">
        <v>105</v>
      </c>
      <c r="K7" s="18" t="n">
        <v>0.58407111</v>
      </c>
      <c r="L7" s="20" t="n">
        <v>0.11759625</v>
      </c>
      <c r="M7" s="18" t="n">
        <v>0</v>
      </c>
      <c r="N7" s="20" t="n">
        <v>0</v>
      </c>
      <c r="O7" s="18" t="n">
        <v>0</v>
      </c>
      <c r="P7" s="20" t="n">
        <v>0</v>
      </c>
      <c r="Q7" s="18" t="n">
        <v>8.08804621</v>
      </c>
      <c r="R7" s="20" t="n">
        <v>0.42818343</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2795</v>
      </c>
      <c r="C9" s="18">
        <f>(2147.0/B9*100)</f>
        <v/>
      </c>
      <c r="D9" s="19" t="n">
        <v>648</v>
      </c>
      <c r="E9" s="18" t="n">
        <v>31.67255421</v>
      </c>
      <c r="F9" s="20" t="n">
        <v>1.89399383</v>
      </c>
      <c r="G9" s="18" t="n">
        <v>66.42505011</v>
      </c>
      <c r="H9" s="20" t="n">
        <v>1.93742177</v>
      </c>
      <c r="I9" s="18" t="s">
        <v>105</v>
      </c>
      <c r="J9" s="20" t="s">
        <v>105</v>
      </c>
      <c r="K9" s="18" t="n">
        <v>0.29707591</v>
      </c>
      <c r="L9" s="20" t="n">
        <v>0.22875966</v>
      </c>
      <c r="M9" s="18" t="n">
        <v>0</v>
      </c>
      <c r="N9" s="20" t="n">
        <v>0</v>
      </c>
      <c r="O9" s="18" t="n">
        <v>0</v>
      </c>
      <c r="P9" s="20" t="n">
        <v>0</v>
      </c>
      <c r="Q9" s="18" t="n">
        <v>1.60531978</v>
      </c>
      <c r="R9" s="20" t="n">
        <v>0.41484168</v>
      </c>
    </row>
    <row r="10" spans="1:18">
      <c r="A10" s="15" t="s">
        <v>109</v>
      </c>
      <c r="B10" s="17" t="n">
        <v>6602</v>
      </c>
      <c r="C10" s="18">
        <f>(5016.0/B10*100)</f>
        <v/>
      </c>
      <c r="D10" s="19" t="n">
        <v>1586</v>
      </c>
      <c r="E10" s="18" t="n">
        <v>65.26626489</v>
      </c>
      <c r="F10" s="20" t="n">
        <v>1.86346745</v>
      </c>
      <c r="G10" s="18" t="n">
        <v>30.54690101</v>
      </c>
      <c r="H10" s="20" t="n">
        <v>1.74840931</v>
      </c>
      <c r="I10" s="18" t="s">
        <v>105</v>
      </c>
      <c r="J10" s="20" t="s">
        <v>105</v>
      </c>
      <c r="K10" s="18" t="n">
        <v>0.06624292</v>
      </c>
      <c r="L10" s="20" t="n">
        <v>0.03670838</v>
      </c>
      <c r="M10" s="18" t="n">
        <v>0</v>
      </c>
      <c r="N10" s="20" t="n">
        <v>0</v>
      </c>
      <c r="O10" s="18" t="n">
        <v>0</v>
      </c>
      <c r="P10" s="20" t="n">
        <v>0</v>
      </c>
      <c r="Q10" s="18" t="n">
        <v>4.12059118</v>
      </c>
      <c r="R10" s="20" t="n">
        <v>0.71604309</v>
      </c>
    </row>
    <row r="11" spans="1:18">
      <c r="A11" s="15" t="s">
        <v>110</v>
      </c>
      <c r="B11" s="17" t="n">
        <v>3500</v>
      </c>
      <c r="C11" s="18">
        <f>(2611.0/B11*100)</f>
        <v/>
      </c>
      <c r="D11" s="19" t="n">
        <v>889</v>
      </c>
      <c r="E11" s="18" t="n">
        <v>55.05721905</v>
      </c>
      <c r="F11" s="20" t="n">
        <v>2.40732356</v>
      </c>
      <c r="G11" s="18" t="n">
        <v>25.96615339</v>
      </c>
      <c r="H11" s="20" t="n">
        <v>1.98089437</v>
      </c>
      <c r="I11" s="18" t="s">
        <v>105</v>
      </c>
      <c r="J11" s="20" t="s">
        <v>105</v>
      </c>
      <c r="K11" s="18" t="n">
        <v>0.81003189</v>
      </c>
      <c r="L11" s="20" t="n">
        <v>0.3470259</v>
      </c>
      <c r="M11" s="18" t="n">
        <v>0</v>
      </c>
      <c r="N11" s="20" t="n">
        <v>0</v>
      </c>
      <c r="O11" s="18" t="n">
        <v>0</v>
      </c>
      <c r="P11" s="20" t="n">
        <v>0</v>
      </c>
      <c r="Q11" s="18" t="n">
        <v>18.16659567</v>
      </c>
      <c r="R11" s="20" t="n">
        <v>1.59189055</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5792</v>
      </c>
      <c r="C23" s="18">
        <f>(4452.0/B23*100)</f>
        <v/>
      </c>
      <c r="D23" s="19" t="n">
        <v>1340</v>
      </c>
      <c r="E23" s="18" t="n">
        <v>26.01874659</v>
      </c>
      <c r="F23" s="20" t="n">
        <v>1.94728309</v>
      </c>
      <c r="G23" s="18" t="n">
        <v>65.84955748</v>
      </c>
      <c r="H23" s="20" t="n">
        <v>2.29074927</v>
      </c>
      <c r="I23" s="18" t="s">
        <v>105</v>
      </c>
      <c r="J23" s="20" t="s">
        <v>105</v>
      </c>
      <c r="K23" s="18" t="n">
        <v>0.66629902</v>
      </c>
      <c r="L23" s="20" t="n">
        <v>0.29041857</v>
      </c>
      <c r="M23" s="18" t="n">
        <v>0</v>
      </c>
      <c r="N23" s="20" t="n">
        <v>0</v>
      </c>
      <c r="O23" s="18" t="n">
        <v>0</v>
      </c>
      <c r="P23" s="20" t="n">
        <v>0</v>
      </c>
      <c r="Q23" s="18" t="n">
        <v>7.4653969</v>
      </c>
      <c r="R23" s="20" t="n">
        <v>1.24244673</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2700</v>
      </c>
      <c r="C29" s="18">
        <f>(2020.0/B29*100)</f>
        <v/>
      </c>
      <c r="D29" s="19" t="n">
        <v>680</v>
      </c>
      <c r="E29" s="18" t="n">
        <v>22.54217103</v>
      </c>
      <c r="F29" s="20" t="n">
        <v>1.75674588</v>
      </c>
      <c r="G29" s="18" t="n">
        <v>73.26938292</v>
      </c>
      <c r="H29" s="20" t="n">
        <v>1.68550454</v>
      </c>
      <c r="I29" s="18" t="s">
        <v>105</v>
      </c>
      <c r="J29" s="20" t="s">
        <v>105</v>
      </c>
      <c r="K29" s="18" t="n">
        <v>0.12826646</v>
      </c>
      <c r="L29" s="20" t="n">
        <v>0.13672156</v>
      </c>
      <c r="M29" s="18" t="n">
        <v>0</v>
      </c>
      <c r="N29" s="20" t="n">
        <v>0</v>
      </c>
      <c r="O29" s="18" t="n">
        <v>0</v>
      </c>
      <c r="P29" s="20" t="n">
        <v>0</v>
      </c>
      <c r="Q29" s="18" t="n">
        <v>4.06017959</v>
      </c>
      <c r="R29" s="20" t="n">
        <v>0.80170802</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2209</v>
      </c>
      <c r="C32" s="18">
        <f>(1356.0/B32*100)</f>
        <v/>
      </c>
      <c r="D32" s="19" t="n">
        <v>853</v>
      </c>
      <c r="E32" s="18" t="n">
        <v>32.59135373</v>
      </c>
      <c r="F32" s="20" t="n">
        <v>1.68017292</v>
      </c>
      <c r="G32" s="18" t="n">
        <v>59.62663663</v>
      </c>
      <c r="H32" s="20" t="n">
        <v>1.75384174</v>
      </c>
      <c r="I32" s="18" t="s">
        <v>105</v>
      </c>
      <c r="J32" s="20" t="s">
        <v>105</v>
      </c>
      <c r="K32" s="18" t="n">
        <v>0.24469358</v>
      </c>
      <c r="L32" s="20" t="n">
        <v>0.18098644</v>
      </c>
      <c r="M32" s="18" t="n">
        <v>0</v>
      </c>
      <c r="N32" s="20" t="n">
        <v>0</v>
      </c>
      <c r="O32" s="18" t="n">
        <v>0</v>
      </c>
      <c r="P32" s="20" t="n">
        <v>0</v>
      </c>
      <c r="Q32" s="18" t="n">
        <v>7.53731606</v>
      </c>
      <c r="R32" s="20" t="n">
        <v>0.93554215</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3035</v>
      </c>
      <c r="C34" s="18">
        <f>(2307.0/B34*100)</f>
        <v/>
      </c>
      <c r="D34" s="19" t="n">
        <v>728</v>
      </c>
      <c r="E34" s="18" t="n">
        <v>44.91848052</v>
      </c>
      <c r="F34" s="20" t="n">
        <v>1.84960334</v>
      </c>
      <c r="G34" s="18" t="n">
        <v>43.63751596</v>
      </c>
      <c r="H34" s="20" t="n">
        <v>1.83439871</v>
      </c>
      <c r="I34" s="18" t="s">
        <v>105</v>
      </c>
      <c r="J34" s="20" t="s">
        <v>105</v>
      </c>
      <c r="K34" s="18" t="n">
        <v>0.61931031</v>
      </c>
      <c r="L34" s="20" t="n">
        <v>0.31305153</v>
      </c>
      <c r="M34" s="18" t="n">
        <v>0</v>
      </c>
      <c r="N34" s="20" t="n">
        <v>0</v>
      </c>
      <c r="O34" s="18" t="n">
        <v>0</v>
      </c>
      <c r="P34" s="20" t="n">
        <v>0</v>
      </c>
      <c r="Q34" s="18" t="n">
        <v>10.82469322</v>
      </c>
      <c r="R34" s="20" t="n">
        <v>1.07859482</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3404</v>
      </c>
      <c r="C36" s="18">
        <f>(2539.0/B36*100)</f>
        <v/>
      </c>
      <c r="D36" s="19" t="n">
        <v>865</v>
      </c>
      <c r="E36" s="18" t="n">
        <v>48.61081747</v>
      </c>
      <c r="F36" s="20" t="n">
        <v>1.8754348</v>
      </c>
      <c r="G36" s="18" t="n">
        <v>38.94662621</v>
      </c>
      <c r="H36" s="20" t="n">
        <v>1.76189316</v>
      </c>
      <c r="I36" s="18" t="s">
        <v>105</v>
      </c>
      <c r="J36" s="20" t="s">
        <v>105</v>
      </c>
      <c r="K36" s="18" t="n">
        <v>0.20668916</v>
      </c>
      <c r="L36" s="20" t="n">
        <v>0.15801857</v>
      </c>
      <c r="M36" s="18" t="n">
        <v>0</v>
      </c>
      <c r="N36" s="20" t="n">
        <v>0</v>
      </c>
      <c r="O36" s="18" t="n">
        <v>0</v>
      </c>
      <c r="P36" s="20" t="n">
        <v>0</v>
      </c>
      <c r="Q36" s="18" t="n">
        <v>12.23586715</v>
      </c>
      <c r="R36" s="20" t="n">
        <v>1.04907884</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2854</v>
      </c>
      <c r="C41" s="18">
        <f>(2135.0/B41*100)</f>
        <v/>
      </c>
      <c r="D41" s="19" t="n">
        <v>719</v>
      </c>
      <c r="E41" s="18" t="n">
        <v>65.15876289000001</v>
      </c>
      <c r="F41" s="20" t="n">
        <v>2.07505153</v>
      </c>
      <c r="G41" s="18" t="n">
        <v>31.94417258</v>
      </c>
      <c r="H41" s="20" t="n">
        <v>1.89196788</v>
      </c>
      <c r="I41" s="18" t="s">
        <v>105</v>
      </c>
      <c r="J41" s="20" t="s">
        <v>105</v>
      </c>
      <c r="K41" s="18" t="n">
        <v>0.13678064</v>
      </c>
      <c r="L41" s="20" t="n">
        <v>0.13641949</v>
      </c>
      <c r="M41" s="18" t="n">
        <v>0</v>
      </c>
      <c r="N41" s="20" t="n">
        <v>0</v>
      </c>
      <c r="O41" s="18" t="n">
        <v>0</v>
      </c>
      <c r="P41" s="20" t="n">
        <v>0</v>
      </c>
      <c r="Q41" s="18" t="n">
        <v>2.76028388</v>
      </c>
      <c r="R41" s="20" t="n">
        <v>0.73297764</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12073</v>
      </c>
      <c r="C46" s="18">
        <f>(9598.0/B46*100)</f>
        <v/>
      </c>
      <c r="D46" s="19" t="n">
        <v>2475</v>
      </c>
      <c r="E46" s="18" t="n">
        <v>49.11498903</v>
      </c>
      <c r="F46" s="20" t="n">
        <v>1.3161025</v>
      </c>
      <c r="G46" s="18" t="n">
        <v>26.4858373</v>
      </c>
      <c r="H46" s="20" t="n">
        <v>1.20668829</v>
      </c>
      <c r="I46" s="18" t="s">
        <v>105</v>
      </c>
      <c r="J46" s="20" t="s">
        <v>105</v>
      </c>
      <c r="K46" s="18" t="n">
        <v>2.85563392</v>
      </c>
      <c r="L46" s="20" t="n">
        <v>0.43637383</v>
      </c>
      <c r="M46" s="18" t="n">
        <v>0</v>
      </c>
      <c r="N46" s="20" t="n">
        <v>0</v>
      </c>
      <c r="O46" s="18" t="n">
        <v>0</v>
      </c>
      <c r="P46" s="20" t="n">
        <v>0</v>
      </c>
      <c r="Q46" s="18" t="n">
        <v>21.54353975</v>
      </c>
      <c r="R46" s="20" t="n">
        <v>1.28401373</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4682</v>
      </c>
      <c r="C48" s="18">
        <f>(3493.0/B48*100)</f>
        <v/>
      </c>
      <c r="D48" s="19" t="n">
        <v>1189</v>
      </c>
      <c r="E48" s="18" t="n">
        <v>31.42156441</v>
      </c>
      <c r="F48" s="20" t="n">
        <v>1.63791679</v>
      </c>
      <c r="G48" s="18" t="n">
        <v>67.53750315000001</v>
      </c>
      <c r="H48" s="20" t="n">
        <v>1.65962741</v>
      </c>
      <c r="I48" s="18" t="s">
        <v>105</v>
      </c>
      <c r="J48" s="20" t="s">
        <v>105</v>
      </c>
      <c r="K48" s="18" t="n">
        <v>0.06461131000000001</v>
      </c>
      <c r="L48" s="20" t="n">
        <v>0.06478119</v>
      </c>
      <c r="M48" s="18" t="n">
        <v>0</v>
      </c>
      <c r="N48" s="20" t="n">
        <v>0</v>
      </c>
      <c r="O48" s="18" t="n">
        <v>0</v>
      </c>
      <c r="P48" s="20" t="n">
        <v>0</v>
      </c>
      <c r="Q48" s="18" t="n">
        <v>0.97632114</v>
      </c>
      <c r="R48" s="20" t="n">
        <v>0.35095501</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3201</v>
      </c>
      <c r="C61" s="18">
        <f>(2358.0/B61*100)</f>
        <v/>
      </c>
      <c r="D61" s="19" t="n">
        <v>843</v>
      </c>
      <c r="E61" s="18" t="n">
        <v>48.28236076</v>
      </c>
      <c r="F61" s="20" t="n">
        <v>1.72202318</v>
      </c>
      <c r="G61" s="18" t="n">
        <v>43.97838461</v>
      </c>
      <c r="H61" s="20" t="n">
        <v>1.88576943</v>
      </c>
      <c r="I61" s="18" t="s">
        <v>105</v>
      </c>
      <c r="J61" s="20" t="s">
        <v>105</v>
      </c>
      <c r="K61" s="18" t="n">
        <v>0.33740789</v>
      </c>
      <c r="L61" s="20" t="n">
        <v>0.22865384</v>
      </c>
      <c r="M61" s="18" t="n">
        <v>0</v>
      </c>
      <c r="N61" s="20" t="n">
        <v>0</v>
      </c>
      <c r="O61" s="18" t="n">
        <v>0</v>
      </c>
      <c r="P61" s="20" t="n">
        <v>0</v>
      </c>
      <c r="Q61" s="18" t="n">
        <v>7.40184674</v>
      </c>
      <c r="R61" s="20" t="n">
        <v>1.03599953</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3460</v>
      </c>
      <c r="C67" s="18">
        <f>(2629.0/B67*100)</f>
        <v/>
      </c>
      <c r="D67" s="19" t="n">
        <v>831</v>
      </c>
      <c r="E67" s="18" t="n">
        <v>63.66155639</v>
      </c>
      <c r="F67" s="20" t="n">
        <v>1.6030868</v>
      </c>
      <c r="G67" s="18" t="n">
        <v>28.61622531</v>
      </c>
      <c r="H67" s="20" t="n">
        <v>1.53999395</v>
      </c>
      <c r="I67" s="18" t="s">
        <v>105</v>
      </c>
      <c r="J67" s="20" t="s">
        <v>105</v>
      </c>
      <c r="K67" s="18" t="n">
        <v>0</v>
      </c>
      <c r="L67" s="20" t="n">
        <v>0</v>
      </c>
      <c r="M67" s="18" t="n">
        <v>0</v>
      </c>
      <c r="N67" s="20" t="n">
        <v>0</v>
      </c>
      <c r="O67" s="18" t="n">
        <v>0</v>
      </c>
      <c r="P67" s="20" t="n">
        <v>0</v>
      </c>
      <c r="Q67" s="18" t="n">
        <v>7.7222183</v>
      </c>
      <c r="R67" s="20" t="n">
        <v>0.97898322</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3107</v>
      </c>
      <c r="C70" s="18">
        <f>(2341.0/B70*100)</f>
        <v/>
      </c>
      <c r="D70" s="19" t="n">
        <v>766</v>
      </c>
      <c r="E70" s="18" t="n">
        <v>21.73373383</v>
      </c>
      <c r="F70" s="20" t="n">
        <v>1.47806505</v>
      </c>
      <c r="G70" s="18" t="n">
        <v>72.17297456</v>
      </c>
      <c r="H70" s="20" t="n">
        <v>1.94315716</v>
      </c>
      <c r="I70" s="18" t="s">
        <v>105</v>
      </c>
      <c r="J70" s="20" t="s">
        <v>105</v>
      </c>
      <c r="K70" s="18" t="n">
        <v>1.66995685</v>
      </c>
      <c r="L70" s="20" t="n">
        <v>0.69092104</v>
      </c>
      <c r="M70" s="18" t="n">
        <v>0</v>
      </c>
      <c r="N70" s="20" t="n">
        <v>0</v>
      </c>
      <c r="O70" s="18" t="n">
        <v>0</v>
      </c>
      <c r="P70" s="20" t="n">
        <v>0</v>
      </c>
      <c r="Q70" s="18" t="n">
        <v>4.42333477</v>
      </c>
      <c r="R70" s="20" t="n">
        <v>1.06048057</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13.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213</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7163</v>
      </c>
      <c r="C7" s="18">
        <f>(427.0/B7*100)</f>
        <v/>
      </c>
      <c r="D7" s="19" t="n">
        <v>6736</v>
      </c>
      <c r="E7" s="18" t="n">
        <v>43.72421597</v>
      </c>
      <c r="F7" s="20" t="n">
        <v>0.78148279</v>
      </c>
      <c r="G7" s="18" t="n">
        <v>52.22303764</v>
      </c>
      <c r="H7" s="20" t="n">
        <v>0.8515415</v>
      </c>
      <c r="I7" s="18" t="s">
        <v>105</v>
      </c>
      <c r="J7" s="20" t="s">
        <v>105</v>
      </c>
      <c r="K7" s="18" t="n">
        <v>0.64680495</v>
      </c>
      <c r="L7" s="20" t="n">
        <v>0.12127771</v>
      </c>
      <c r="M7" s="18" t="n">
        <v>0</v>
      </c>
      <c r="N7" s="20" t="n">
        <v>0</v>
      </c>
      <c r="O7" s="18" t="n">
        <v>0</v>
      </c>
      <c r="P7" s="20" t="n">
        <v>0</v>
      </c>
      <c r="Q7" s="18" t="n">
        <v>3.40594144</v>
      </c>
      <c r="R7" s="20" t="n">
        <v>0.27482541</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2795</v>
      </c>
      <c r="C9" s="18">
        <f>(2152.0/B9*100)</f>
        <v/>
      </c>
      <c r="D9" s="19" t="n">
        <v>643</v>
      </c>
      <c r="E9" s="18" t="n">
        <v>28.34683384</v>
      </c>
      <c r="F9" s="20" t="n">
        <v>1.81693259</v>
      </c>
      <c r="G9" s="18" t="n">
        <v>69.37160328</v>
      </c>
      <c r="H9" s="20" t="n">
        <v>1.78606337</v>
      </c>
      <c r="I9" s="18" t="s">
        <v>105</v>
      </c>
      <c r="J9" s="20" t="s">
        <v>105</v>
      </c>
      <c r="K9" s="18" t="n">
        <v>0.29994958</v>
      </c>
      <c r="L9" s="20" t="n">
        <v>0.23090864</v>
      </c>
      <c r="M9" s="18" t="n">
        <v>0</v>
      </c>
      <c r="N9" s="20" t="n">
        <v>0</v>
      </c>
      <c r="O9" s="18" t="n">
        <v>0</v>
      </c>
      <c r="P9" s="20" t="n">
        <v>0</v>
      </c>
      <c r="Q9" s="18" t="n">
        <v>1.9816133</v>
      </c>
      <c r="R9" s="20" t="n">
        <v>0.61615651</v>
      </c>
    </row>
    <row r="10" spans="1:18">
      <c r="A10" s="15" t="s">
        <v>109</v>
      </c>
      <c r="B10" s="17" t="n">
        <v>6602</v>
      </c>
      <c r="C10" s="18">
        <f>(5017.0/B10*100)</f>
        <v/>
      </c>
      <c r="D10" s="19" t="n">
        <v>1585</v>
      </c>
      <c r="E10" s="18" t="n">
        <v>44.51108372</v>
      </c>
      <c r="F10" s="20" t="n">
        <v>2.0867644</v>
      </c>
      <c r="G10" s="18" t="n">
        <v>54.11360901</v>
      </c>
      <c r="H10" s="20" t="n">
        <v>2.03858362</v>
      </c>
      <c r="I10" s="18" t="s">
        <v>105</v>
      </c>
      <c r="J10" s="20" t="s">
        <v>105</v>
      </c>
      <c r="K10" s="18" t="n">
        <v>0.07766045000000001</v>
      </c>
      <c r="L10" s="20" t="n">
        <v>0.03846455</v>
      </c>
      <c r="M10" s="18" t="n">
        <v>0</v>
      </c>
      <c r="N10" s="20" t="n">
        <v>0</v>
      </c>
      <c r="O10" s="18" t="n">
        <v>0</v>
      </c>
      <c r="P10" s="20" t="n">
        <v>0</v>
      </c>
      <c r="Q10" s="18" t="n">
        <v>1.29764682</v>
      </c>
      <c r="R10" s="20" t="n">
        <v>0.44444727</v>
      </c>
    </row>
    <row r="11" spans="1:18">
      <c r="A11" s="15" t="s">
        <v>110</v>
      </c>
      <c r="B11" s="17" t="n">
        <v>3500</v>
      </c>
      <c r="C11" s="18">
        <f>(2611.0/B11*100)</f>
        <v/>
      </c>
      <c r="D11" s="19" t="n">
        <v>889</v>
      </c>
      <c r="E11" s="18" t="n">
        <v>58.9743043</v>
      </c>
      <c r="F11" s="20" t="n">
        <v>2.3631454</v>
      </c>
      <c r="G11" s="18" t="n">
        <v>32.84123065</v>
      </c>
      <c r="H11" s="20" t="n">
        <v>2.40565002</v>
      </c>
      <c r="I11" s="18" t="s">
        <v>105</v>
      </c>
      <c r="J11" s="20" t="s">
        <v>105</v>
      </c>
      <c r="K11" s="18" t="n">
        <v>1.04181285</v>
      </c>
      <c r="L11" s="20" t="n">
        <v>0.42282155</v>
      </c>
      <c r="M11" s="18" t="n">
        <v>0</v>
      </c>
      <c r="N11" s="20" t="n">
        <v>0</v>
      </c>
      <c r="O11" s="18" t="n">
        <v>0</v>
      </c>
      <c r="P11" s="20" t="n">
        <v>0</v>
      </c>
      <c r="Q11" s="18" t="n">
        <v>7.1426522</v>
      </c>
      <c r="R11" s="20" t="n">
        <v>1.0341203</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5792</v>
      </c>
      <c r="C23" s="18">
        <f>(4453.0/B23*100)</f>
        <v/>
      </c>
      <c r="D23" s="19" t="n">
        <v>1339</v>
      </c>
      <c r="E23" s="18" t="n">
        <v>47.64716505</v>
      </c>
      <c r="F23" s="20" t="n">
        <v>1.99559716</v>
      </c>
      <c r="G23" s="18" t="n">
        <v>48.67980904</v>
      </c>
      <c r="H23" s="20" t="n">
        <v>2.04595471</v>
      </c>
      <c r="I23" s="18" t="s">
        <v>105</v>
      </c>
      <c r="J23" s="20" t="s">
        <v>105</v>
      </c>
      <c r="K23" s="18" t="n">
        <v>0.66686627</v>
      </c>
      <c r="L23" s="20" t="n">
        <v>0.29072122</v>
      </c>
      <c r="M23" s="18" t="n">
        <v>0</v>
      </c>
      <c r="N23" s="20" t="n">
        <v>0</v>
      </c>
      <c r="O23" s="18" t="n">
        <v>0</v>
      </c>
      <c r="P23" s="20" t="n">
        <v>0</v>
      </c>
      <c r="Q23" s="18" t="n">
        <v>3.00615964</v>
      </c>
      <c r="R23" s="20" t="n">
        <v>0.62444117</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2700</v>
      </c>
      <c r="C29" s="18">
        <f>(2020.0/B29*100)</f>
        <v/>
      </c>
      <c r="D29" s="19" t="n">
        <v>680</v>
      </c>
      <c r="E29" s="18" t="n">
        <v>31.28057565</v>
      </c>
      <c r="F29" s="20" t="n">
        <v>1.79109151</v>
      </c>
      <c r="G29" s="18" t="n">
        <v>68.31382784</v>
      </c>
      <c r="H29" s="20" t="n">
        <v>1.79337083</v>
      </c>
      <c r="I29" s="18" t="s">
        <v>105</v>
      </c>
      <c r="J29" s="20" t="s">
        <v>105</v>
      </c>
      <c r="K29" s="18" t="n">
        <v>0.12826646</v>
      </c>
      <c r="L29" s="20" t="n">
        <v>0.13672156</v>
      </c>
      <c r="M29" s="18" t="n">
        <v>0</v>
      </c>
      <c r="N29" s="20" t="n">
        <v>0</v>
      </c>
      <c r="O29" s="18" t="n">
        <v>0</v>
      </c>
      <c r="P29" s="20" t="n">
        <v>0</v>
      </c>
      <c r="Q29" s="18" t="n">
        <v>0.27733005</v>
      </c>
      <c r="R29" s="20" t="n">
        <v>0.18306581</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2209</v>
      </c>
      <c r="C32" s="18">
        <f>(1357.0/B32*100)</f>
        <v/>
      </c>
      <c r="D32" s="19" t="n">
        <v>852</v>
      </c>
      <c r="E32" s="18" t="n">
        <v>43.19147769</v>
      </c>
      <c r="F32" s="20" t="n">
        <v>1.92181261</v>
      </c>
      <c r="G32" s="18" t="n">
        <v>54.85647317</v>
      </c>
      <c r="H32" s="20" t="n">
        <v>1.959531</v>
      </c>
      <c r="I32" s="18" t="s">
        <v>105</v>
      </c>
      <c r="J32" s="20" t="s">
        <v>105</v>
      </c>
      <c r="K32" s="18" t="n">
        <v>0.24496733</v>
      </c>
      <c r="L32" s="20" t="n">
        <v>0.18118332</v>
      </c>
      <c r="M32" s="18" t="n">
        <v>0</v>
      </c>
      <c r="N32" s="20" t="n">
        <v>0</v>
      </c>
      <c r="O32" s="18" t="n">
        <v>0</v>
      </c>
      <c r="P32" s="20" t="n">
        <v>0</v>
      </c>
      <c r="Q32" s="18" t="n">
        <v>1.70708181</v>
      </c>
      <c r="R32" s="20" t="n">
        <v>0.48549098</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3035</v>
      </c>
      <c r="C34" s="18">
        <f>(2310.0/B34*100)</f>
        <v/>
      </c>
      <c r="D34" s="19" t="n">
        <v>725</v>
      </c>
      <c r="E34" s="18" t="n">
        <v>43.04333741</v>
      </c>
      <c r="F34" s="20" t="n">
        <v>1.98089978</v>
      </c>
      <c r="G34" s="18" t="n">
        <v>52.89505145</v>
      </c>
      <c r="H34" s="20" t="n">
        <v>2.06773288</v>
      </c>
      <c r="I34" s="18" t="s">
        <v>105</v>
      </c>
      <c r="J34" s="20" t="s">
        <v>105</v>
      </c>
      <c r="K34" s="18" t="n">
        <v>0.62160213</v>
      </c>
      <c r="L34" s="20" t="n">
        <v>0.31424838</v>
      </c>
      <c r="M34" s="18" t="n">
        <v>0</v>
      </c>
      <c r="N34" s="20" t="n">
        <v>0</v>
      </c>
      <c r="O34" s="18" t="n">
        <v>0</v>
      </c>
      <c r="P34" s="20" t="n">
        <v>0</v>
      </c>
      <c r="Q34" s="18" t="n">
        <v>3.44000901</v>
      </c>
      <c r="R34" s="20" t="n">
        <v>0.57570017</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3404</v>
      </c>
      <c r="C36" s="18">
        <f>(2540.0/B36*100)</f>
        <v/>
      </c>
      <c r="D36" s="19" t="n">
        <v>864</v>
      </c>
      <c r="E36" s="18" t="n">
        <v>53.72124845</v>
      </c>
      <c r="F36" s="20" t="n">
        <v>1.32729506</v>
      </c>
      <c r="G36" s="18" t="n">
        <v>43.65355231</v>
      </c>
      <c r="H36" s="20" t="n">
        <v>1.35525725</v>
      </c>
      <c r="I36" s="18" t="s">
        <v>105</v>
      </c>
      <c r="J36" s="20" t="s">
        <v>105</v>
      </c>
      <c r="K36" s="18" t="n">
        <v>0.2069916</v>
      </c>
      <c r="L36" s="20" t="n">
        <v>0.158256</v>
      </c>
      <c r="M36" s="18" t="n">
        <v>0</v>
      </c>
      <c r="N36" s="20" t="n">
        <v>0</v>
      </c>
      <c r="O36" s="18" t="n">
        <v>0</v>
      </c>
      <c r="P36" s="20" t="n">
        <v>0</v>
      </c>
      <c r="Q36" s="18" t="n">
        <v>2.41820764</v>
      </c>
      <c r="R36" s="20" t="n">
        <v>0.55010409</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2854</v>
      </c>
      <c r="C41" s="18">
        <f>(2135.0/B41*100)</f>
        <v/>
      </c>
      <c r="D41" s="19" t="n">
        <v>719</v>
      </c>
      <c r="E41" s="18" t="n">
        <v>52.61430903</v>
      </c>
      <c r="F41" s="20" t="n">
        <v>1.75019962</v>
      </c>
      <c r="G41" s="18" t="n">
        <v>45.64905943</v>
      </c>
      <c r="H41" s="20" t="n">
        <v>1.72591881</v>
      </c>
      <c r="I41" s="18" t="s">
        <v>105</v>
      </c>
      <c r="J41" s="20" t="s">
        <v>105</v>
      </c>
      <c r="K41" s="18" t="n">
        <v>0.13678064</v>
      </c>
      <c r="L41" s="20" t="n">
        <v>0.13641949</v>
      </c>
      <c r="M41" s="18" t="n">
        <v>0</v>
      </c>
      <c r="N41" s="20" t="n">
        <v>0</v>
      </c>
      <c r="O41" s="18" t="n">
        <v>0</v>
      </c>
      <c r="P41" s="20" t="n">
        <v>0</v>
      </c>
      <c r="Q41" s="18" t="n">
        <v>1.5998509</v>
      </c>
      <c r="R41" s="20" t="n">
        <v>0.47196519</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12073</v>
      </c>
      <c r="C46" s="18">
        <f>(9664.0/B46*100)</f>
        <v/>
      </c>
      <c r="D46" s="19" t="n">
        <v>2409</v>
      </c>
      <c r="E46" s="18" t="n">
        <v>55.61998078</v>
      </c>
      <c r="F46" s="20" t="n">
        <v>1.52894808</v>
      </c>
      <c r="G46" s="18" t="n">
        <v>32.32757267</v>
      </c>
      <c r="H46" s="20" t="n">
        <v>1.48822865</v>
      </c>
      <c r="I46" s="18" t="s">
        <v>105</v>
      </c>
      <c r="J46" s="20" t="s">
        <v>105</v>
      </c>
      <c r="K46" s="18" t="n">
        <v>3.03377125</v>
      </c>
      <c r="L46" s="20" t="n">
        <v>0.450227</v>
      </c>
      <c r="M46" s="18" t="n">
        <v>0</v>
      </c>
      <c r="N46" s="20" t="n">
        <v>0</v>
      </c>
      <c r="O46" s="18" t="n">
        <v>0</v>
      </c>
      <c r="P46" s="20" t="n">
        <v>0</v>
      </c>
      <c r="Q46" s="18" t="n">
        <v>9.018675310000001</v>
      </c>
      <c r="R46" s="20" t="n">
        <v>0.96616446</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4682</v>
      </c>
      <c r="C48" s="18">
        <f>(3493.0/B48*100)</f>
        <v/>
      </c>
      <c r="D48" s="19" t="n">
        <v>1189</v>
      </c>
      <c r="E48" s="18" t="n">
        <v>35.19952662</v>
      </c>
      <c r="F48" s="20" t="n">
        <v>2.23937992</v>
      </c>
      <c r="G48" s="18" t="n">
        <v>64.47457808999999</v>
      </c>
      <c r="H48" s="20" t="n">
        <v>2.27567998</v>
      </c>
      <c r="I48" s="18" t="s">
        <v>105</v>
      </c>
      <c r="J48" s="20" t="s">
        <v>105</v>
      </c>
      <c r="K48" s="18" t="n">
        <v>0.06461131000000001</v>
      </c>
      <c r="L48" s="20" t="n">
        <v>0.06478119</v>
      </c>
      <c r="M48" s="18" t="n">
        <v>0</v>
      </c>
      <c r="N48" s="20" t="n">
        <v>0</v>
      </c>
      <c r="O48" s="18" t="n">
        <v>0</v>
      </c>
      <c r="P48" s="20" t="n">
        <v>0</v>
      </c>
      <c r="Q48" s="18" t="n">
        <v>0.26128399</v>
      </c>
      <c r="R48" s="20" t="n">
        <v>0.18037581</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3201</v>
      </c>
      <c r="C61" s="18">
        <f>(2359.0/B61*100)</f>
        <v/>
      </c>
      <c r="D61" s="19" t="n">
        <v>842</v>
      </c>
      <c r="E61" s="18" t="n">
        <v>49.68730528</v>
      </c>
      <c r="F61" s="20" t="n">
        <v>1.98403241</v>
      </c>
      <c r="G61" s="18" t="n">
        <v>46.44148854</v>
      </c>
      <c r="H61" s="20" t="n">
        <v>2.0194223</v>
      </c>
      <c r="I61" s="18" t="s">
        <v>105</v>
      </c>
      <c r="J61" s="20" t="s">
        <v>105</v>
      </c>
      <c r="K61" s="18" t="n">
        <v>0.3642232</v>
      </c>
      <c r="L61" s="20" t="n">
        <v>0.2304087</v>
      </c>
      <c r="M61" s="18" t="n">
        <v>0</v>
      </c>
      <c r="N61" s="20" t="n">
        <v>0</v>
      </c>
      <c r="O61" s="18" t="n">
        <v>0</v>
      </c>
      <c r="P61" s="20" t="n">
        <v>0</v>
      </c>
      <c r="Q61" s="18" t="n">
        <v>3.50698299</v>
      </c>
      <c r="R61" s="20" t="n">
        <v>0.71219255</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3460</v>
      </c>
      <c r="C67" s="18">
        <f>(2637.0/B67*100)</f>
        <v/>
      </c>
      <c r="D67" s="19" t="n">
        <v>823</v>
      </c>
      <c r="E67" s="18" t="n">
        <v>69.64765756</v>
      </c>
      <c r="F67" s="20" t="n">
        <v>1.5129947</v>
      </c>
      <c r="G67" s="18" t="n">
        <v>27.51870608</v>
      </c>
      <c r="H67" s="20" t="n">
        <v>1.49921079</v>
      </c>
      <c r="I67" s="18" t="s">
        <v>105</v>
      </c>
      <c r="J67" s="20" t="s">
        <v>105</v>
      </c>
      <c r="K67" s="18" t="n">
        <v>0.11592934</v>
      </c>
      <c r="L67" s="20" t="n">
        <v>0.11475255</v>
      </c>
      <c r="M67" s="18" t="n">
        <v>0</v>
      </c>
      <c r="N67" s="20" t="n">
        <v>0</v>
      </c>
      <c r="O67" s="18" t="n">
        <v>0</v>
      </c>
      <c r="P67" s="20" t="n">
        <v>0</v>
      </c>
      <c r="Q67" s="18" t="n">
        <v>2.71770702</v>
      </c>
      <c r="R67" s="20" t="n">
        <v>0.53096926</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3107</v>
      </c>
      <c r="C70" s="18">
        <f>(2343.0/B70*100)</f>
        <v/>
      </c>
      <c r="D70" s="19" t="n">
        <v>764</v>
      </c>
      <c r="E70" s="18" t="n">
        <v>36.68083156</v>
      </c>
      <c r="F70" s="20" t="n">
        <v>2.59435137</v>
      </c>
      <c r="G70" s="18" t="n">
        <v>59.57330004</v>
      </c>
      <c r="H70" s="20" t="n">
        <v>2.87337348</v>
      </c>
      <c r="I70" s="18" t="s">
        <v>105</v>
      </c>
      <c r="J70" s="20" t="s">
        <v>105</v>
      </c>
      <c r="K70" s="18" t="n">
        <v>1.67651725</v>
      </c>
      <c r="L70" s="20" t="n">
        <v>0.69164679</v>
      </c>
      <c r="M70" s="18" t="n">
        <v>0</v>
      </c>
      <c r="N70" s="20" t="n">
        <v>0</v>
      </c>
      <c r="O70" s="18" t="n">
        <v>0</v>
      </c>
      <c r="P70" s="20" t="n">
        <v>0</v>
      </c>
      <c r="Q70" s="18" t="n">
        <v>2.06935115</v>
      </c>
      <c r="R70" s="20" t="n">
        <v>0.62154041</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14.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214</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7163</v>
      </c>
      <c r="C7" s="18">
        <f>(417.0/B7*100)</f>
        <v/>
      </c>
      <c r="D7" s="19" t="n">
        <v>6746</v>
      </c>
      <c r="E7" s="18" t="n">
        <v>49.3802932</v>
      </c>
      <c r="F7" s="20" t="n">
        <v>0.8455404399999999</v>
      </c>
      <c r="G7" s="18" t="n">
        <v>47.25596828</v>
      </c>
      <c r="H7" s="20" t="n">
        <v>0.80086314</v>
      </c>
      <c r="I7" s="18" t="s">
        <v>105</v>
      </c>
      <c r="J7" s="20" t="s">
        <v>105</v>
      </c>
      <c r="K7" s="18" t="n">
        <v>0.72225956</v>
      </c>
      <c r="L7" s="20" t="n">
        <v>0.12634495</v>
      </c>
      <c r="M7" s="18" t="n">
        <v>0</v>
      </c>
      <c r="N7" s="20" t="n">
        <v>0</v>
      </c>
      <c r="O7" s="18" t="n">
        <v>0</v>
      </c>
      <c r="P7" s="20" t="n">
        <v>0</v>
      </c>
      <c r="Q7" s="18" t="n">
        <v>2.64147895</v>
      </c>
      <c r="R7" s="20" t="n">
        <v>0.25357414</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2795</v>
      </c>
      <c r="C9" s="18">
        <f>(2151.0/B9*100)</f>
        <v/>
      </c>
      <c r="D9" s="19" t="n">
        <v>644</v>
      </c>
      <c r="E9" s="18" t="n">
        <v>53.77949005</v>
      </c>
      <c r="F9" s="20" t="n">
        <v>1.65708377</v>
      </c>
      <c r="G9" s="18" t="n">
        <v>44.2942018</v>
      </c>
      <c r="H9" s="20" t="n">
        <v>1.61875662</v>
      </c>
      <c r="I9" s="18" t="s">
        <v>105</v>
      </c>
      <c r="J9" s="20" t="s">
        <v>105</v>
      </c>
      <c r="K9" s="18" t="n">
        <v>0.29929424</v>
      </c>
      <c r="L9" s="20" t="n">
        <v>0.23048591</v>
      </c>
      <c r="M9" s="18" t="n">
        <v>0</v>
      </c>
      <c r="N9" s="20" t="n">
        <v>0</v>
      </c>
      <c r="O9" s="18" t="n">
        <v>0</v>
      </c>
      <c r="P9" s="20" t="n">
        <v>0</v>
      </c>
      <c r="Q9" s="18" t="n">
        <v>1.62701391</v>
      </c>
      <c r="R9" s="20" t="n">
        <v>0.42143769</v>
      </c>
    </row>
    <row r="10" spans="1:18">
      <c r="A10" s="15" t="s">
        <v>109</v>
      </c>
      <c r="B10" s="17" t="n">
        <v>6602</v>
      </c>
      <c r="C10" s="18">
        <f>(5017.0/B10*100)</f>
        <v/>
      </c>
      <c r="D10" s="19" t="n">
        <v>1585</v>
      </c>
      <c r="E10" s="18" t="n">
        <v>54.59648135</v>
      </c>
      <c r="F10" s="20" t="n">
        <v>1.92532261</v>
      </c>
      <c r="G10" s="18" t="n">
        <v>44.50295315</v>
      </c>
      <c r="H10" s="20" t="n">
        <v>1.93298401</v>
      </c>
      <c r="I10" s="18" t="s">
        <v>105</v>
      </c>
      <c r="J10" s="20" t="s">
        <v>105</v>
      </c>
      <c r="K10" s="18" t="n">
        <v>0.07766045000000001</v>
      </c>
      <c r="L10" s="20" t="n">
        <v>0.03846455</v>
      </c>
      <c r="M10" s="18" t="n">
        <v>0</v>
      </c>
      <c r="N10" s="20" t="n">
        <v>0</v>
      </c>
      <c r="O10" s="18" t="n">
        <v>0</v>
      </c>
      <c r="P10" s="20" t="n">
        <v>0</v>
      </c>
      <c r="Q10" s="18" t="n">
        <v>0.82290505</v>
      </c>
      <c r="R10" s="20" t="n">
        <v>0.36558229</v>
      </c>
    </row>
    <row r="11" spans="1:18">
      <c r="A11" s="15" t="s">
        <v>110</v>
      </c>
      <c r="B11" s="17" t="n">
        <v>3500</v>
      </c>
      <c r="C11" s="18">
        <f>(2611.0/B11*100)</f>
        <v/>
      </c>
      <c r="D11" s="19" t="n">
        <v>889</v>
      </c>
      <c r="E11" s="18" t="n">
        <v>56.15614768</v>
      </c>
      <c r="F11" s="20" t="n">
        <v>1.79586547</v>
      </c>
      <c r="G11" s="18" t="n">
        <v>37.83569312</v>
      </c>
      <c r="H11" s="20" t="n">
        <v>1.77793769</v>
      </c>
      <c r="I11" s="18" t="s">
        <v>105</v>
      </c>
      <c r="J11" s="20" t="s">
        <v>105</v>
      </c>
      <c r="K11" s="18" t="n">
        <v>1.30461374</v>
      </c>
      <c r="L11" s="20" t="n">
        <v>0.46854312</v>
      </c>
      <c r="M11" s="18" t="n">
        <v>0</v>
      </c>
      <c r="N11" s="20" t="n">
        <v>0</v>
      </c>
      <c r="O11" s="18" t="n">
        <v>0</v>
      </c>
      <c r="P11" s="20" t="n">
        <v>0</v>
      </c>
      <c r="Q11" s="18" t="n">
        <v>4.70354546</v>
      </c>
      <c r="R11" s="20" t="n">
        <v>0.9214938499999999</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5792</v>
      </c>
      <c r="C23" s="18">
        <f>(4453.0/B23*100)</f>
        <v/>
      </c>
      <c r="D23" s="19" t="n">
        <v>1339</v>
      </c>
      <c r="E23" s="18" t="n">
        <v>52.05499509</v>
      </c>
      <c r="F23" s="20" t="n">
        <v>2.11129726</v>
      </c>
      <c r="G23" s="18" t="n">
        <v>44.46042017</v>
      </c>
      <c r="H23" s="20" t="n">
        <v>2.10098572</v>
      </c>
      <c r="I23" s="18" t="s">
        <v>105</v>
      </c>
      <c r="J23" s="20" t="s">
        <v>105</v>
      </c>
      <c r="K23" s="18" t="n">
        <v>0.71783587</v>
      </c>
      <c r="L23" s="20" t="n">
        <v>0.294489</v>
      </c>
      <c r="M23" s="18" t="n">
        <v>0</v>
      </c>
      <c r="N23" s="20" t="n">
        <v>0</v>
      </c>
      <c r="O23" s="18" t="n">
        <v>0</v>
      </c>
      <c r="P23" s="20" t="n">
        <v>0</v>
      </c>
      <c r="Q23" s="18" t="n">
        <v>2.76674886</v>
      </c>
      <c r="R23" s="20" t="n">
        <v>0.75173961</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2700</v>
      </c>
      <c r="C29" s="18">
        <f>(2020.0/B29*100)</f>
        <v/>
      </c>
      <c r="D29" s="19" t="n">
        <v>680</v>
      </c>
      <c r="E29" s="18" t="n">
        <v>33.69869233</v>
      </c>
      <c r="F29" s="20" t="n">
        <v>2.01751308</v>
      </c>
      <c r="G29" s="18" t="n">
        <v>66.1730412</v>
      </c>
      <c r="H29" s="20" t="n">
        <v>2.0175638</v>
      </c>
      <c r="I29" s="18" t="s">
        <v>105</v>
      </c>
      <c r="J29" s="20" t="s">
        <v>105</v>
      </c>
      <c r="K29" s="18" t="n">
        <v>0.12826646</v>
      </c>
      <c r="L29" s="20" t="n">
        <v>0.13672156</v>
      </c>
      <c r="M29" s="18" t="n">
        <v>0</v>
      </c>
      <c r="N29" s="20" t="n">
        <v>0</v>
      </c>
      <c r="O29" s="18" t="n">
        <v>0</v>
      </c>
      <c r="P29" s="20" t="n">
        <v>0</v>
      </c>
      <c r="Q29" s="18" t="n">
        <v>0</v>
      </c>
      <c r="R29" s="20" t="n">
        <v>0</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2209</v>
      </c>
      <c r="C32" s="18">
        <f>(1356.0/B32*100)</f>
        <v/>
      </c>
      <c r="D32" s="19" t="n">
        <v>853</v>
      </c>
      <c r="E32" s="18" t="n">
        <v>49.4243132</v>
      </c>
      <c r="F32" s="20" t="n">
        <v>2.01249658</v>
      </c>
      <c r="G32" s="18" t="n">
        <v>49.00672964</v>
      </c>
      <c r="H32" s="20" t="n">
        <v>1.98857499</v>
      </c>
      <c r="I32" s="18" t="s">
        <v>105</v>
      </c>
      <c r="J32" s="20" t="s">
        <v>105</v>
      </c>
      <c r="K32" s="18" t="n">
        <v>0.24469358</v>
      </c>
      <c r="L32" s="20" t="n">
        <v>0.18098644</v>
      </c>
      <c r="M32" s="18" t="n">
        <v>0</v>
      </c>
      <c r="N32" s="20" t="n">
        <v>0</v>
      </c>
      <c r="O32" s="18" t="n">
        <v>0</v>
      </c>
      <c r="P32" s="20" t="n">
        <v>0</v>
      </c>
      <c r="Q32" s="18" t="n">
        <v>1.32426357</v>
      </c>
      <c r="R32" s="20" t="n">
        <v>0.47019447</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3035</v>
      </c>
      <c r="C34" s="18">
        <f>(2308.0/B34*100)</f>
        <v/>
      </c>
      <c r="D34" s="19" t="n">
        <v>727</v>
      </c>
      <c r="E34" s="18" t="n">
        <v>52.21184463</v>
      </c>
      <c r="F34" s="20" t="n">
        <v>1.88991075</v>
      </c>
      <c r="G34" s="18" t="n">
        <v>44.60006581</v>
      </c>
      <c r="H34" s="20" t="n">
        <v>1.93068421</v>
      </c>
      <c r="I34" s="18" t="s">
        <v>105</v>
      </c>
      <c r="J34" s="20" t="s">
        <v>105</v>
      </c>
      <c r="K34" s="18" t="n">
        <v>0.62001221</v>
      </c>
      <c r="L34" s="20" t="n">
        <v>0.31337478</v>
      </c>
      <c r="M34" s="18" t="n">
        <v>0</v>
      </c>
      <c r="N34" s="20" t="n">
        <v>0</v>
      </c>
      <c r="O34" s="18" t="n">
        <v>0</v>
      </c>
      <c r="P34" s="20" t="n">
        <v>0</v>
      </c>
      <c r="Q34" s="18" t="n">
        <v>2.56807736</v>
      </c>
      <c r="R34" s="20" t="n">
        <v>0.57877189</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3404</v>
      </c>
      <c r="C36" s="18">
        <f>(2539.0/B36*100)</f>
        <v/>
      </c>
      <c r="D36" s="19" t="n">
        <v>865</v>
      </c>
      <c r="E36" s="18" t="n">
        <v>48.0670601</v>
      </c>
      <c r="F36" s="20" t="n">
        <v>1.69890893</v>
      </c>
      <c r="G36" s="18" t="n">
        <v>49.64718192</v>
      </c>
      <c r="H36" s="20" t="n">
        <v>1.61929025</v>
      </c>
      <c r="I36" s="18" t="s">
        <v>105</v>
      </c>
      <c r="J36" s="20" t="s">
        <v>105</v>
      </c>
      <c r="K36" s="18" t="n">
        <v>0.20668916</v>
      </c>
      <c r="L36" s="20" t="n">
        <v>0.15801857</v>
      </c>
      <c r="M36" s="18" t="n">
        <v>0</v>
      </c>
      <c r="N36" s="20" t="n">
        <v>0</v>
      </c>
      <c r="O36" s="18" t="n">
        <v>0</v>
      </c>
      <c r="P36" s="20" t="n">
        <v>0</v>
      </c>
      <c r="Q36" s="18" t="n">
        <v>2.07906881</v>
      </c>
      <c r="R36" s="20" t="n">
        <v>0.47914846</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2854</v>
      </c>
      <c r="C41" s="18">
        <f>(2135.0/B41*100)</f>
        <v/>
      </c>
      <c r="D41" s="19" t="n">
        <v>719</v>
      </c>
      <c r="E41" s="18" t="n">
        <v>56.28358331</v>
      </c>
      <c r="F41" s="20" t="n">
        <v>1.92920357</v>
      </c>
      <c r="G41" s="18" t="n">
        <v>42.43342152</v>
      </c>
      <c r="H41" s="20" t="n">
        <v>1.87300741</v>
      </c>
      <c r="I41" s="18" t="s">
        <v>105</v>
      </c>
      <c r="J41" s="20" t="s">
        <v>105</v>
      </c>
      <c r="K41" s="18" t="n">
        <v>0.13678064</v>
      </c>
      <c r="L41" s="20" t="n">
        <v>0.13641949</v>
      </c>
      <c r="M41" s="18" t="n">
        <v>0</v>
      </c>
      <c r="N41" s="20" t="n">
        <v>0</v>
      </c>
      <c r="O41" s="18" t="n">
        <v>0</v>
      </c>
      <c r="P41" s="20" t="n">
        <v>0</v>
      </c>
      <c r="Q41" s="18" t="n">
        <v>1.14621452</v>
      </c>
      <c r="R41" s="20" t="n">
        <v>0.4042526</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12073</v>
      </c>
      <c r="C46" s="18">
        <f>(9653.0/B46*100)</f>
        <v/>
      </c>
      <c r="D46" s="19" t="n">
        <v>2420</v>
      </c>
      <c r="E46" s="18" t="n">
        <v>53.60671076</v>
      </c>
      <c r="F46" s="20" t="n">
        <v>1.33323911</v>
      </c>
      <c r="G46" s="18" t="n">
        <v>35.06390574</v>
      </c>
      <c r="H46" s="20" t="n">
        <v>1.29112466</v>
      </c>
      <c r="I46" s="18" t="s">
        <v>105</v>
      </c>
      <c r="J46" s="20" t="s">
        <v>105</v>
      </c>
      <c r="K46" s="18" t="n">
        <v>3.64813533</v>
      </c>
      <c r="L46" s="20" t="n">
        <v>0.55149856</v>
      </c>
      <c r="M46" s="18" t="n">
        <v>0</v>
      </c>
      <c r="N46" s="20" t="n">
        <v>0</v>
      </c>
      <c r="O46" s="18" t="n">
        <v>0</v>
      </c>
      <c r="P46" s="20" t="n">
        <v>0</v>
      </c>
      <c r="Q46" s="18" t="n">
        <v>7.68124816</v>
      </c>
      <c r="R46" s="20" t="n">
        <v>0.76506671</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4682</v>
      </c>
      <c r="C48" s="18">
        <f>(3493.0/B48*100)</f>
        <v/>
      </c>
      <c r="D48" s="19" t="n">
        <v>1189</v>
      </c>
      <c r="E48" s="18" t="n">
        <v>46.04088116</v>
      </c>
      <c r="F48" s="20" t="n">
        <v>2.26859292</v>
      </c>
      <c r="G48" s="18" t="n">
        <v>53.89450753</v>
      </c>
      <c r="H48" s="20" t="n">
        <v>2.26721556</v>
      </c>
      <c r="I48" s="18" t="s">
        <v>105</v>
      </c>
      <c r="J48" s="20" t="s">
        <v>105</v>
      </c>
      <c r="K48" s="18" t="n">
        <v>0.06461131000000001</v>
      </c>
      <c r="L48" s="20" t="n">
        <v>0.06478119</v>
      </c>
      <c r="M48" s="18" t="n">
        <v>0</v>
      </c>
      <c r="N48" s="20" t="n">
        <v>0</v>
      </c>
      <c r="O48" s="18" t="n">
        <v>0</v>
      </c>
      <c r="P48" s="20" t="n">
        <v>0</v>
      </c>
      <c r="Q48" s="18" t="n">
        <v>0</v>
      </c>
      <c r="R48" s="20" t="n">
        <v>0</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3201</v>
      </c>
      <c r="C61" s="18">
        <f>(2358.0/B61*100)</f>
        <v/>
      </c>
      <c r="D61" s="19" t="n">
        <v>843</v>
      </c>
      <c r="E61" s="18" t="n">
        <v>50.644013</v>
      </c>
      <c r="F61" s="20" t="n">
        <v>2.13172156</v>
      </c>
      <c r="G61" s="18" t="n">
        <v>47.1300377</v>
      </c>
      <c r="H61" s="20" t="n">
        <v>2.15692834</v>
      </c>
      <c r="I61" s="18" t="s">
        <v>105</v>
      </c>
      <c r="J61" s="20" t="s">
        <v>105</v>
      </c>
      <c r="K61" s="18" t="n">
        <v>0.39129036</v>
      </c>
      <c r="L61" s="20" t="n">
        <v>0.2322524</v>
      </c>
      <c r="M61" s="18" t="n">
        <v>0</v>
      </c>
      <c r="N61" s="20" t="n">
        <v>0</v>
      </c>
      <c r="O61" s="18" t="n">
        <v>0</v>
      </c>
      <c r="P61" s="20" t="n">
        <v>0</v>
      </c>
      <c r="Q61" s="18" t="n">
        <v>1.83465894</v>
      </c>
      <c r="R61" s="20" t="n">
        <v>0.42225779</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3460</v>
      </c>
      <c r="C67" s="18">
        <f>(2644.0/B67*100)</f>
        <v/>
      </c>
      <c r="D67" s="19" t="n">
        <v>816</v>
      </c>
      <c r="E67" s="18" t="n">
        <v>63.83191189</v>
      </c>
      <c r="F67" s="20" t="n">
        <v>1.52729854</v>
      </c>
      <c r="G67" s="18" t="n">
        <v>34.46153858</v>
      </c>
      <c r="H67" s="20" t="n">
        <v>1.57975681</v>
      </c>
      <c r="I67" s="18" t="s">
        <v>105</v>
      </c>
      <c r="J67" s="20" t="s">
        <v>105</v>
      </c>
      <c r="K67" s="18" t="n">
        <v>0.11707907</v>
      </c>
      <c r="L67" s="20" t="n">
        <v>0.11588416</v>
      </c>
      <c r="M67" s="18" t="n">
        <v>0</v>
      </c>
      <c r="N67" s="20" t="n">
        <v>0</v>
      </c>
      <c r="O67" s="18" t="n">
        <v>0</v>
      </c>
      <c r="P67" s="20" t="n">
        <v>0</v>
      </c>
      <c r="Q67" s="18" t="n">
        <v>1.58947045</v>
      </c>
      <c r="R67" s="20" t="n">
        <v>0.49862051</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3107</v>
      </c>
      <c r="C70" s="18">
        <f>(2346.0/B70*100)</f>
        <v/>
      </c>
      <c r="D70" s="19" t="n">
        <v>761</v>
      </c>
      <c r="E70" s="18" t="n">
        <v>50.2314401</v>
      </c>
      <c r="F70" s="20" t="n">
        <v>1.82698748</v>
      </c>
      <c r="G70" s="18" t="n">
        <v>46.75557478</v>
      </c>
      <c r="H70" s="20" t="n">
        <v>2.16944475</v>
      </c>
      <c r="I70" s="18" t="s">
        <v>105</v>
      </c>
      <c r="J70" s="20" t="s">
        <v>105</v>
      </c>
      <c r="K70" s="18" t="n">
        <v>1.68260299</v>
      </c>
      <c r="L70" s="20" t="n">
        <v>0.69418152</v>
      </c>
      <c r="M70" s="18" t="n">
        <v>0</v>
      </c>
      <c r="N70" s="20" t="n">
        <v>0</v>
      </c>
      <c r="O70" s="18" t="n">
        <v>0</v>
      </c>
      <c r="P70" s="20" t="n">
        <v>0</v>
      </c>
      <c r="Q70" s="18" t="n">
        <v>1.33038213</v>
      </c>
      <c r="R70" s="20" t="n">
        <v>0.53769879</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15.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215</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7163</v>
      </c>
      <c r="C7" s="18">
        <f>(472.0/B7*100)</f>
        <v/>
      </c>
      <c r="D7" s="19" t="n">
        <v>6691</v>
      </c>
      <c r="E7" s="18" t="n">
        <v>43.64038698</v>
      </c>
      <c r="F7" s="20" t="n">
        <v>0.71406995</v>
      </c>
      <c r="G7" s="18" t="n">
        <v>42.22374595</v>
      </c>
      <c r="H7" s="20" t="n">
        <v>0.738788</v>
      </c>
      <c r="I7" s="18" t="s">
        <v>105</v>
      </c>
      <c r="J7" s="20" t="s">
        <v>105</v>
      </c>
      <c r="K7" s="18" t="n">
        <v>1.00280216</v>
      </c>
      <c r="L7" s="20" t="n">
        <v>0.14863736</v>
      </c>
      <c r="M7" s="18" t="n">
        <v>0</v>
      </c>
      <c r="N7" s="20" t="n">
        <v>0</v>
      </c>
      <c r="O7" s="18" t="n">
        <v>0</v>
      </c>
      <c r="P7" s="20" t="n">
        <v>0</v>
      </c>
      <c r="Q7" s="18" t="n">
        <v>13.13306492</v>
      </c>
      <c r="R7" s="20" t="n">
        <v>0.46893196</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2795</v>
      </c>
      <c r="C9" s="18">
        <f>(2157.0/B9*100)</f>
        <v/>
      </c>
      <c r="D9" s="19" t="n">
        <v>638</v>
      </c>
      <c r="E9" s="18" t="n">
        <v>52.20955888</v>
      </c>
      <c r="F9" s="20" t="n">
        <v>2.18649891</v>
      </c>
      <c r="G9" s="18" t="n">
        <v>34.85714965</v>
      </c>
      <c r="H9" s="20" t="n">
        <v>2.10555843</v>
      </c>
      <c r="I9" s="18" t="s">
        <v>105</v>
      </c>
      <c r="J9" s="20" t="s">
        <v>105</v>
      </c>
      <c r="K9" s="18" t="n">
        <v>0.45875383</v>
      </c>
      <c r="L9" s="20" t="n">
        <v>0.2813954</v>
      </c>
      <c r="M9" s="18" t="n">
        <v>0</v>
      </c>
      <c r="N9" s="20" t="n">
        <v>0</v>
      </c>
      <c r="O9" s="18" t="n">
        <v>0</v>
      </c>
      <c r="P9" s="20" t="n">
        <v>0</v>
      </c>
      <c r="Q9" s="18" t="n">
        <v>12.47453763</v>
      </c>
      <c r="R9" s="20" t="n">
        <v>1.3323891</v>
      </c>
    </row>
    <row r="10" spans="1:18">
      <c r="A10" s="15" t="s">
        <v>109</v>
      </c>
      <c r="B10" s="17" t="n">
        <v>6602</v>
      </c>
      <c r="C10" s="18">
        <f>(5017.0/B10*100)</f>
        <v/>
      </c>
      <c r="D10" s="19" t="n">
        <v>1585</v>
      </c>
      <c r="E10" s="18" t="n">
        <v>47.25502204</v>
      </c>
      <c r="F10" s="20" t="n">
        <v>2.08740538</v>
      </c>
      <c r="G10" s="18" t="n">
        <v>44.04810543</v>
      </c>
      <c r="H10" s="20" t="n">
        <v>1.90327273</v>
      </c>
      <c r="I10" s="18" t="s">
        <v>105</v>
      </c>
      <c r="J10" s="20" t="s">
        <v>105</v>
      </c>
      <c r="K10" s="18" t="n">
        <v>0.12844292</v>
      </c>
      <c r="L10" s="20" t="n">
        <v>0.04983052</v>
      </c>
      <c r="M10" s="18" t="n">
        <v>0</v>
      </c>
      <c r="N10" s="20" t="n">
        <v>0</v>
      </c>
      <c r="O10" s="18" t="n">
        <v>0</v>
      </c>
      <c r="P10" s="20" t="n">
        <v>0</v>
      </c>
      <c r="Q10" s="18" t="n">
        <v>8.568429610000001</v>
      </c>
      <c r="R10" s="20" t="n">
        <v>1.01873507</v>
      </c>
    </row>
    <row r="11" spans="1:18">
      <c r="A11" s="15" t="s">
        <v>110</v>
      </c>
      <c r="B11" s="17" t="n">
        <v>3500</v>
      </c>
      <c r="C11" s="18">
        <f>(2612.0/B11*100)</f>
        <v/>
      </c>
      <c r="D11" s="19" t="n">
        <v>888</v>
      </c>
      <c r="E11" s="18" t="n">
        <v>48.91875724</v>
      </c>
      <c r="F11" s="20" t="n">
        <v>2.07260938</v>
      </c>
      <c r="G11" s="18" t="n">
        <v>18.12146892</v>
      </c>
      <c r="H11" s="20" t="n">
        <v>1.35181403</v>
      </c>
      <c r="I11" s="18" t="s">
        <v>105</v>
      </c>
      <c r="J11" s="20" t="s">
        <v>105</v>
      </c>
      <c r="K11" s="18" t="n">
        <v>1.4653105</v>
      </c>
      <c r="L11" s="20" t="n">
        <v>0.51130162</v>
      </c>
      <c r="M11" s="18" t="n">
        <v>0</v>
      </c>
      <c r="N11" s="20" t="n">
        <v>0</v>
      </c>
      <c r="O11" s="18" t="n">
        <v>0</v>
      </c>
      <c r="P11" s="20" t="n">
        <v>0</v>
      </c>
      <c r="Q11" s="18" t="n">
        <v>31.49446334</v>
      </c>
      <c r="R11" s="20" t="n">
        <v>1.93683638</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5792</v>
      </c>
      <c r="C23" s="18">
        <f>(4461.0/B23*100)</f>
        <v/>
      </c>
      <c r="D23" s="19" t="n">
        <v>1331</v>
      </c>
      <c r="E23" s="18" t="n">
        <v>46.18323058</v>
      </c>
      <c r="F23" s="20" t="n">
        <v>2.24904611</v>
      </c>
      <c r="G23" s="18" t="n">
        <v>28.09432499</v>
      </c>
      <c r="H23" s="20" t="n">
        <v>1.97257747</v>
      </c>
      <c r="I23" s="18" t="s">
        <v>105</v>
      </c>
      <c r="J23" s="20" t="s">
        <v>105</v>
      </c>
      <c r="K23" s="18" t="n">
        <v>0.75271932</v>
      </c>
      <c r="L23" s="20" t="n">
        <v>0.30210988</v>
      </c>
      <c r="M23" s="18" t="n">
        <v>0</v>
      </c>
      <c r="N23" s="20" t="n">
        <v>0</v>
      </c>
      <c r="O23" s="18" t="n">
        <v>0</v>
      </c>
      <c r="P23" s="20" t="n">
        <v>0</v>
      </c>
      <c r="Q23" s="18" t="n">
        <v>24.96972511</v>
      </c>
      <c r="R23" s="20" t="n">
        <v>1.76833758</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2700</v>
      </c>
      <c r="C29" s="18">
        <f>(2020.0/B29*100)</f>
        <v/>
      </c>
      <c r="D29" s="19" t="n">
        <v>680</v>
      </c>
      <c r="E29" s="18" t="n">
        <v>69.84460860999999</v>
      </c>
      <c r="F29" s="20" t="n">
        <v>1.97030598</v>
      </c>
      <c r="G29" s="18" t="n">
        <v>17.41144473</v>
      </c>
      <c r="H29" s="20" t="n">
        <v>1.68063311</v>
      </c>
      <c r="I29" s="18" t="s">
        <v>105</v>
      </c>
      <c r="J29" s="20" t="s">
        <v>105</v>
      </c>
      <c r="K29" s="18" t="n">
        <v>0.12826646</v>
      </c>
      <c r="L29" s="20" t="n">
        <v>0.13672156</v>
      </c>
      <c r="M29" s="18" t="n">
        <v>0</v>
      </c>
      <c r="N29" s="20" t="n">
        <v>0</v>
      </c>
      <c r="O29" s="18" t="n">
        <v>0</v>
      </c>
      <c r="P29" s="20" t="n">
        <v>0</v>
      </c>
      <c r="Q29" s="18" t="n">
        <v>12.6156802</v>
      </c>
      <c r="R29" s="20" t="n">
        <v>1.3202211</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2209</v>
      </c>
      <c r="C32" s="18">
        <f>(1356.0/B32*100)</f>
        <v/>
      </c>
      <c r="D32" s="19" t="n">
        <v>853</v>
      </c>
      <c r="E32" s="18" t="n">
        <v>51.2480102</v>
      </c>
      <c r="F32" s="20" t="n">
        <v>1.80536622</v>
      </c>
      <c r="G32" s="18" t="n">
        <v>28.75476904</v>
      </c>
      <c r="H32" s="20" t="n">
        <v>1.8328293</v>
      </c>
      <c r="I32" s="18" t="s">
        <v>105</v>
      </c>
      <c r="J32" s="20" t="s">
        <v>105</v>
      </c>
      <c r="K32" s="18" t="n">
        <v>0.24469358</v>
      </c>
      <c r="L32" s="20" t="n">
        <v>0.18098644</v>
      </c>
      <c r="M32" s="18" t="n">
        <v>0</v>
      </c>
      <c r="N32" s="20" t="n">
        <v>0</v>
      </c>
      <c r="O32" s="18" t="n">
        <v>0</v>
      </c>
      <c r="P32" s="20" t="n">
        <v>0</v>
      </c>
      <c r="Q32" s="18" t="n">
        <v>19.75252717</v>
      </c>
      <c r="R32" s="20" t="n">
        <v>1.28499057</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3035</v>
      </c>
      <c r="C34" s="18">
        <f>(2314.0/B34*100)</f>
        <v/>
      </c>
      <c r="D34" s="19" t="n">
        <v>721</v>
      </c>
      <c r="E34" s="18" t="n">
        <v>48.31800701</v>
      </c>
      <c r="F34" s="20" t="n">
        <v>2.02284776</v>
      </c>
      <c r="G34" s="18" t="n">
        <v>29.95119946</v>
      </c>
      <c r="H34" s="20" t="n">
        <v>1.79523601</v>
      </c>
      <c r="I34" s="18" t="s">
        <v>105</v>
      </c>
      <c r="J34" s="20" t="s">
        <v>105</v>
      </c>
      <c r="K34" s="18" t="n">
        <v>0.90108672</v>
      </c>
      <c r="L34" s="20" t="n">
        <v>0.31689729</v>
      </c>
      <c r="M34" s="18" t="n">
        <v>0</v>
      </c>
      <c r="N34" s="20" t="n">
        <v>0</v>
      </c>
      <c r="O34" s="18" t="n">
        <v>0</v>
      </c>
      <c r="P34" s="20" t="n">
        <v>0</v>
      </c>
      <c r="Q34" s="18" t="n">
        <v>20.82970682</v>
      </c>
      <c r="R34" s="20" t="n">
        <v>1.41487829</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3404</v>
      </c>
      <c r="C36" s="18">
        <f>(2543.0/B36*100)</f>
        <v/>
      </c>
      <c r="D36" s="19" t="n">
        <v>861</v>
      </c>
      <c r="E36" s="18" t="n">
        <v>49.7786446</v>
      </c>
      <c r="F36" s="20" t="n">
        <v>1.85303563</v>
      </c>
      <c r="G36" s="18" t="n">
        <v>27.07487645</v>
      </c>
      <c r="H36" s="20" t="n">
        <v>1.73595625</v>
      </c>
      <c r="I36" s="18" t="s">
        <v>105</v>
      </c>
      <c r="J36" s="20" t="s">
        <v>105</v>
      </c>
      <c r="K36" s="18" t="n">
        <v>0.20766204</v>
      </c>
      <c r="L36" s="20" t="n">
        <v>0.15876696</v>
      </c>
      <c r="M36" s="18" t="n">
        <v>0</v>
      </c>
      <c r="N36" s="20" t="n">
        <v>0</v>
      </c>
      <c r="O36" s="18" t="n">
        <v>0</v>
      </c>
      <c r="P36" s="20" t="n">
        <v>0</v>
      </c>
      <c r="Q36" s="18" t="n">
        <v>22.93881691</v>
      </c>
      <c r="R36" s="20" t="n">
        <v>1.58602643</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2854</v>
      </c>
      <c r="C41" s="18">
        <f>(2139.0/B41*100)</f>
        <v/>
      </c>
      <c r="D41" s="19" t="n">
        <v>715</v>
      </c>
      <c r="E41" s="18" t="n">
        <v>56.29431699</v>
      </c>
      <c r="F41" s="20" t="n">
        <v>1.90322109</v>
      </c>
      <c r="G41" s="18" t="n">
        <v>37.76330509</v>
      </c>
      <c r="H41" s="20" t="n">
        <v>2.01663315</v>
      </c>
      <c r="I41" s="18" t="s">
        <v>105</v>
      </c>
      <c r="J41" s="20" t="s">
        <v>105</v>
      </c>
      <c r="K41" s="18" t="n">
        <v>0.13738579</v>
      </c>
      <c r="L41" s="20" t="n">
        <v>0.13701681</v>
      </c>
      <c r="M41" s="18" t="n">
        <v>0</v>
      </c>
      <c r="N41" s="20" t="n">
        <v>0</v>
      </c>
      <c r="O41" s="18" t="n">
        <v>0</v>
      </c>
      <c r="P41" s="20" t="n">
        <v>0</v>
      </c>
      <c r="Q41" s="18" t="n">
        <v>5.80499213</v>
      </c>
      <c r="R41" s="20" t="n">
        <v>0.93517783</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12073</v>
      </c>
      <c r="C46" s="18">
        <f>(9730.0/B46*100)</f>
        <v/>
      </c>
      <c r="D46" s="19" t="n">
        <v>2343</v>
      </c>
      <c r="E46" s="18" t="n">
        <v>47.18909389</v>
      </c>
      <c r="F46" s="20" t="n">
        <v>1.4944631</v>
      </c>
      <c r="G46" s="18" t="n">
        <v>17.41514051</v>
      </c>
      <c r="H46" s="20" t="n">
        <v>1.21910374</v>
      </c>
      <c r="I46" s="18" t="s">
        <v>105</v>
      </c>
      <c r="J46" s="20" t="s">
        <v>105</v>
      </c>
      <c r="K46" s="18" t="n">
        <v>4.83478517</v>
      </c>
      <c r="L46" s="20" t="n">
        <v>0.70040963</v>
      </c>
      <c r="M46" s="18" t="n">
        <v>0</v>
      </c>
      <c r="N46" s="20" t="n">
        <v>0</v>
      </c>
      <c r="O46" s="18" t="n">
        <v>0</v>
      </c>
      <c r="P46" s="20" t="n">
        <v>0</v>
      </c>
      <c r="Q46" s="18" t="n">
        <v>30.56098043</v>
      </c>
      <c r="R46" s="20" t="n">
        <v>1.42935166</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4682</v>
      </c>
      <c r="C48" s="18">
        <f>(3495.0/B48*100)</f>
        <v/>
      </c>
      <c r="D48" s="19" t="n">
        <v>1187</v>
      </c>
      <c r="E48" s="18" t="n">
        <v>23.2184916</v>
      </c>
      <c r="F48" s="20" t="n">
        <v>2.06823456</v>
      </c>
      <c r="G48" s="18" t="n">
        <v>74.86566229</v>
      </c>
      <c r="H48" s="20" t="n">
        <v>2.17680755</v>
      </c>
      <c r="I48" s="18" t="s">
        <v>105</v>
      </c>
      <c r="J48" s="20" t="s">
        <v>105</v>
      </c>
      <c r="K48" s="18" t="n">
        <v>0.06480739000000001</v>
      </c>
      <c r="L48" s="20" t="n">
        <v>0.06497797</v>
      </c>
      <c r="M48" s="18" t="n">
        <v>0</v>
      </c>
      <c r="N48" s="20" t="n">
        <v>0</v>
      </c>
      <c r="O48" s="18" t="n">
        <v>0</v>
      </c>
      <c r="P48" s="20" t="n">
        <v>0</v>
      </c>
      <c r="Q48" s="18" t="n">
        <v>1.85103873</v>
      </c>
      <c r="R48" s="20" t="n">
        <v>0.44360795</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3201</v>
      </c>
      <c r="C61" s="18">
        <f>(2359.0/B61*100)</f>
        <v/>
      </c>
      <c r="D61" s="19" t="n">
        <v>842</v>
      </c>
      <c r="E61" s="18" t="n">
        <v>60.92297815</v>
      </c>
      <c r="F61" s="20" t="n">
        <v>1.87715367</v>
      </c>
      <c r="G61" s="18" t="n">
        <v>17.34471762</v>
      </c>
      <c r="H61" s="20" t="n">
        <v>1.5251414</v>
      </c>
      <c r="I61" s="18" t="s">
        <v>105</v>
      </c>
      <c r="J61" s="20" t="s">
        <v>105</v>
      </c>
      <c r="K61" s="18" t="n">
        <v>0.39183449</v>
      </c>
      <c r="L61" s="20" t="n">
        <v>0.23258439</v>
      </c>
      <c r="M61" s="18" t="n">
        <v>0</v>
      </c>
      <c r="N61" s="20" t="n">
        <v>0</v>
      </c>
      <c r="O61" s="18" t="n">
        <v>0</v>
      </c>
      <c r="P61" s="20" t="n">
        <v>0</v>
      </c>
      <c r="Q61" s="18" t="n">
        <v>21.34046975</v>
      </c>
      <c r="R61" s="20" t="n">
        <v>1.64222925</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3460</v>
      </c>
      <c r="C67" s="18">
        <f>(2664.0/B67*100)</f>
        <v/>
      </c>
      <c r="D67" s="19" t="n">
        <v>796</v>
      </c>
      <c r="E67" s="18" t="n">
        <v>60.17091723</v>
      </c>
      <c r="F67" s="20" t="n">
        <v>2.03778948</v>
      </c>
      <c r="G67" s="18" t="n">
        <v>18.59658746</v>
      </c>
      <c r="H67" s="20" t="n">
        <v>1.41099928</v>
      </c>
      <c r="I67" s="18" t="s">
        <v>105</v>
      </c>
      <c r="J67" s="20" t="s">
        <v>105</v>
      </c>
      <c r="K67" s="18" t="n">
        <v>0.23998743</v>
      </c>
      <c r="L67" s="20" t="n">
        <v>0.23748244</v>
      </c>
      <c r="M67" s="18" t="n">
        <v>0</v>
      </c>
      <c r="N67" s="20" t="n">
        <v>0</v>
      </c>
      <c r="O67" s="18" t="n">
        <v>0</v>
      </c>
      <c r="P67" s="20" t="n">
        <v>0</v>
      </c>
      <c r="Q67" s="18" t="n">
        <v>20.99250788</v>
      </c>
      <c r="R67" s="20" t="n">
        <v>1.60296184</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3107</v>
      </c>
      <c r="C70" s="18">
        <f>(2350.0/B70*100)</f>
        <v/>
      </c>
      <c r="D70" s="19" t="n">
        <v>757</v>
      </c>
      <c r="E70" s="18" t="n">
        <v>33.91571909</v>
      </c>
      <c r="F70" s="20" t="n">
        <v>2.36057342</v>
      </c>
      <c r="G70" s="18" t="n">
        <v>49.95012345</v>
      </c>
      <c r="H70" s="20" t="n">
        <v>2.52812338</v>
      </c>
      <c r="I70" s="18" t="s">
        <v>105</v>
      </c>
      <c r="J70" s="20" t="s">
        <v>105</v>
      </c>
      <c r="K70" s="18" t="n">
        <v>1.87415404</v>
      </c>
      <c r="L70" s="20" t="n">
        <v>0.72745165</v>
      </c>
      <c r="M70" s="18" t="n">
        <v>0</v>
      </c>
      <c r="N70" s="20" t="n">
        <v>0</v>
      </c>
      <c r="O70" s="18" t="n">
        <v>0</v>
      </c>
      <c r="P70" s="20" t="n">
        <v>0</v>
      </c>
      <c r="Q70" s="18" t="n">
        <v>14.26000343</v>
      </c>
      <c r="R70" s="20" t="n">
        <v>1.5188024</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16.xml><?xml version="1.0" encoding="utf-8"?>
<worksheet xmlns="http://schemas.openxmlformats.org/spreadsheetml/2006/main">
  <sheetPr>
    <outlinePr summaryBelow="1" summaryRight="1"/>
    <pageSetUpPr/>
  </sheetPr>
  <dimension ref="A1:X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4">
      <c r="A1" s="4" t="s">
        <v>87</v>
      </c>
    </row>
    <row r="2" spans="1:24">
      <c r="A2" s="5" t="s">
        <v>216</v>
      </c>
    </row>
    <row customHeight="1" ht="30" r="4" spans="1:24">
      <c r="A4" s="6" t="n"/>
      <c r="B4" s="7" t="s">
        <v>89</v>
      </c>
      <c r="C4" s="7" t="s">
        <v>90</v>
      </c>
      <c r="D4" s="8" t="s">
        <v>89</v>
      </c>
      <c r="E4" s="9" t="s">
        <v>202</v>
      </c>
      <c r="F4" s="10" t="n"/>
      <c r="G4" s="9" t="s">
        <v>217</v>
      </c>
      <c r="H4" s="10" t="n"/>
      <c r="I4" s="9" t="s">
        <v>218</v>
      </c>
      <c r="J4" s="10" t="n"/>
      <c r="K4" s="9" t="s">
        <v>219</v>
      </c>
      <c r="L4" s="10" t="n"/>
      <c r="M4" s="9" t="s">
        <v>220</v>
      </c>
      <c r="N4" s="10" t="n"/>
      <c r="O4" s="9" t="s">
        <v>93</v>
      </c>
      <c r="P4" s="10" t="n"/>
      <c r="Q4" s="9" t="s">
        <v>94</v>
      </c>
      <c r="R4" s="10" t="n"/>
      <c r="S4" s="9" t="s">
        <v>95</v>
      </c>
      <c r="T4" s="10" t="n"/>
      <c r="U4" s="9" t="s">
        <v>96</v>
      </c>
      <c r="V4" s="10" t="n"/>
      <c r="W4" s="9" t="s">
        <v>97</v>
      </c>
      <c r="X4" s="10" t="n"/>
    </row>
    <row r="5" spans="1:24">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c r="S5" s="12" t="s">
        <v>101</v>
      </c>
      <c r="T5" s="11" t="s">
        <v>102</v>
      </c>
      <c r="U5" s="12" t="s">
        <v>101</v>
      </c>
      <c r="V5" s="11" t="s">
        <v>102</v>
      </c>
      <c r="W5" s="12" t="s">
        <v>101</v>
      </c>
      <c r="X5" s="11" t="s">
        <v>102</v>
      </c>
    </row>
    <row r="6" spans="1:24">
      <c r="A6" s="13" t="s">
        <v>103</v>
      </c>
      <c r="B6" s="14" t="n"/>
      <c r="C6" s="14" t="n"/>
      <c r="D6" s="15" t="n"/>
      <c r="E6" s="14" t="n"/>
      <c r="F6" s="15" t="n"/>
      <c r="G6" s="14" t="n"/>
      <c r="H6" s="15" t="n"/>
      <c r="I6" s="14" t="n"/>
      <c r="J6" s="15" t="n"/>
      <c r="K6" s="14" t="n"/>
      <c r="L6" s="15" t="n"/>
      <c r="M6" s="14" t="n"/>
      <c r="N6" s="15" t="n"/>
      <c r="O6" s="14" t="n"/>
      <c r="P6" s="15" t="n"/>
      <c r="Q6" s="14" t="n"/>
      <c r="R6" s="15" t="n"/>
      <c r="S6" s="14" t="n"/>
      <c r="T6" s="15" t="n"/>
      <c r="U6" s="14" t="n"/>
      <c r="V6" s="15" t="n"/>
      <c r="W6" s="14" t="n"/>
      <c r="X6" s="16" t="n"/>
    </row>
    <row r="7" spans="1:24">
      <c r="A7" s="15" t="s">
        <v>104</v>
      </c>
      <c r="B7" s="17" t="n">
        <v>7163</v>
      </c>
      <c r="C7" s="18">
        <f>(464.0/B7*100)</f>
        <v/>
      </c>
      <c r="D7" s="19" t="n">
        <v>6699</v>
      </c>
      <c r="E7" s="18" t="n">
        <v>49.65801201</v>
      </c>
      <c r="F7" s="20" t="n">
        <v>0.71558073</v>
      </c>
      <c r="G7" s="18" t="n">
        <v>0</v>
      </c>
      <c r="H7" s="20" t="n">
        <v>0</v>
      </c>
      <c r="I7" s="18" t="n">
        <v>0.8239945</v>
      </c>
      <c r="J7" s="20" t="n">
        <v>0.10083472</v>
      </c>
      <c r="K7" s="18" t="n">
        <v>13.97163716</v>
      </c>
      <c r="L7" s="20" t="n">
        <v>0.54973889</v>
      </c>
      <c r="M7" s="18" t="n">
        <v>14.8118778</v>
      </c>
      <c r="N7" s="20" t="n">
        <v>0.56166633</v>
      </c>
      <c r="O7" s="18" t="s">
        <v>105</v>
      </c>
      <c r="P7" s="20" t="s">
        <v>105</v>
      </c>
      <c r="Q7" s="18" t="n">
        <v>1.19060921</v>
      </c>
      <c r="R7" s="20" t="n">
        <v>0.18253301</v>
      </c>
      <c r="S7" s="18" t="n">
        <v>0</v>
      </c>
      <c r="T7" s="20" t="n">
        <v>0</v>
      </c>
      <c r="U7" s="18" t="n">
        <v>0</v>
      </c>
      <c r="V7" s="20" t="n">
        <v>0</v>
      </c>
      <c r="W7" s="18" t="n">
        <v>19.54386931</v>
      </c>
      <c r="X7" s="20" t="n">
        <v>0.60610938</v>
      </c>
    </row>
    <row r="8" spans="1:24">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c r="S8" s="21" t="s">
        <v>107</v>
      </c>
      <c r="T8" s="22" t="s">
        <v>107</v>
      </c>
      <c r="U8" s="21" t="s">
        <v>107</v>
      </c>
      <c r="V8" s="22" t="s">
        <v>107</v>
      </c>
      <c r="W8" s="21" t="s">
        <v>107</v>
      </c>
      <c r="X8" s="22" t="s">
        <v>107</v>
      </c>
    </row>
    <row r="9" spans="1:24">
      <c r="A9" s="15" t="s">
        <v>108</v>
      </c>
      <c r="B9" s="17" t="n">
        <v>2795</v>
      </c>
      <c r="C9" s="18">
        <f>(2156.0/B9*100)</f>
        <v/>
      </c>
      <c r="D9" s="19" t="n">
        <v>639</v>
      </c>
      <c r="E9" s="18" t="n">
        <v>51.92403162</v>
      </c>
      <c r="F9" s="20" t="n">
        <v>1.78127966</v>
      </c>
      <c r="G9" s="18" t="n">
        <v>0</v>
      </c>
      <c r="H9" s="20" t="n">
        <v>0</v>
      </c>
      <c r="I9" s="18" t="n">
        <v>0.28932096</v>
      </c>
      <c r="J9" s="20" t="n">
        <v>0.20600188</v>
      </c>
      <c r="K9" s="18" t="n">
        <v>15.21035768</v>
      </c>
      <c r="L9" s="20" t="n">
        <v>1.60790638</v>
      </c>
      <c r="M9" s="18" t="n">
        <v>15.06176146</v>
      </c>
      <c r="N9" s="20" t="n">
        <v>1.23178496</v>
      </c>
      <c r="O9" s="18" t="s">
        <v>105</v>
      </c>
      <c r="P9" s="20" t="s">
        <v>105</v>
      </c>
      <c r="Q9" s="18" t="n">
        <v>0.63485085</v>
      </c>
      <c r="R9" s="20" t="n">
        <v>0.31622186</v>
      </c>
      <c r="S9" s="18" t="n">
        <v>0</v>
      </c>
      <c r="T9" s="20" t="n">
        <v>0</v>
      </c>
      <c r="U9" s="18" t="n">
        <v>0</v>
      </c>
      <c r="V9" s="20" t="n">
        <v>0</v>
      </c>
      <c r="W9" s="18" t="n">
        <v>16.87967744</v>
      </c>
      <c r="X9" s="20" t="n">
        <v>1.46364083</v>
      </c>
    </row>
    <row r="10" spans="1:24">
      <c r="A10" s="15" t="s">
        <v>109</v>
      </c>
      <c r="B10" s="17" t="n">
        <v>6602</v>
      </c>
      <c r="C10" s="18">
        <f>(5017.0/B10*100)</f>
        <v/>
      </c>
      <c r="D10" s="19" t="n">
        <v>1585</v>
      </c>
      <c r="E10" s="18" t="n">
        <v>50.82368042</v>
      </c>
      <c r="F10" s="20" t="n">
        <v>1.96943658</v>
      </c>
      <c r="G10" s="18" t="n">
        <v>0</v>
      </c>
      <c r="H10" s="20" t="n">
        <v>0</v>
      </c>
      <c r="I10" s="18" t="n">
        <v>1.05385035</v>
      </c>
      <c r="J10" s="20" t="n">
        <v>0.30503806</v>
      </c>
      <c r="K10" s="18" t="n">
        <v>15.24303079</v>
      </c>
      <c r="L10" s="20" t="n">
        <v>1.69687302</v>
      </c>
      <c r="M10" s="18" t="n">
        <v>17.9770767</v>
      </c>
      <c r="N10" s="20" t="n">
        <v>1.29572927</v>
      </c>
      <c r="O10" s="18" t="s">
        <v>105</v>
      </c>
      <c r="P10" s="20" t="s">
        <v>105</v>
      </c>
      <c r="Q10" s="18" t="n">
        <v>0.12844292</v>
      </c>
      <c r="R10" s="20" t="n">
        <v>0.04983052</v>
      </c>
      <c r="S10" s="18" t="n">
        <v>0</v>
      </c>
      <c r="T10" s="20" t="n">
        <v>0</v>
      </c>
      <c r="U10" s="18" t="n">
        <v>0</v>
      </c>
      <c r="V10" s="20" t="n">
        <v>0</v>
      </c>
      <c r="W10" s="18" t="n">
        <v>14.77391882</v>
      </c>
      <c r="X10" s="20" t="n">
        <v>1.45124878</v>
      </c>
    </row>
    <row r="11" spans="1:24">
      <c r="A11" s="15" t="s">
        <v>110</v>
      </c>
      <c r="B11" s="17" t="n">
        <v>3500</v>
      </c>
      <c r="C11" s="18">
        <f>(2613.0/B11*100)</f>
        <v/>
      </c>
      <c r="D11" s="19" t="n">
        <v>887</v>
      </c>
      <c r="E11" s="18" t="n">
        <v>54.41803277</v>
      </c>
      <c r="F11" s="20" t="n">
        <v>1.79432297</v>
      </c>
      <c r="G11" s="18" t="n">
        <v>0</v>
      </c>
      <c r="H11" s="20" t="n">
        <v>0</v>
      </c>
      <c r="I11" s="18" t="n">
        <v>0.16836573</v>
      </c>
      <c r="J11" s="20" t="n">
        <v>0.14204557</v>
      </c>
      <c r="K11" s="18" t="n">
        <v>4.41345036</v>
      </c>
      <c r="L11" s="20" t="n">
        <v>0.68249899</v>
      </c>
      <c r="M11" s="18" t="n">
        <v>3.56120767</v>
      </c>
      <c r="N11" s="20" t="n">
        <v>0.6515068899999999</v>
      </c>
      <c r="O11" s="18" t="s">
        <v>105</v>
      </c>
      <c r="P11" s="20" t="s">
        <v>105</v>
      </c>
      <c r="Q11" s="18" t="n">
        <v>1.61832832</v>
      </c>
      <c r="R11" s="20" t="n">
        <v>0.53247763</v>
      </c>
      <c r="S11" s="18" t="n">
        <v>0</v>
      </c>
      <c r="T11" s="20" t="n">
        <v>0</v>
      </c>
      <c r="U11" s="18" t="n">
        <v>0</v>
      </c>
      <c r="V11" s="20" t="n">
        <v>0</v>
      </c>
      <c r="W11" s="18" t="n">
        <v>35.82061515</v>
      </c>
      <c r="X11" s="20" t="n">
        <v>2.00898542</v>
      </c>
    </row>
    <row r="12" spans="1:24">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c r="S12" s="21" t="s">
        <v>107</v>
      </c>
      <c r="T12" s="22" t="s">
        <v>107</v>
      </c>
      <c r="U12" s="21" t="s">
        <v>107</v>
      </c>
      <c r="V12" s="22" t="s">
        <v>107</v>
      </c>
      <c r="W12" s="21" t="s">
        <v>107</v>
      </c>
      <c r="X12" s="22" t="s">
        <v>107</v>
      </c>
    </row>
    <row r="13" spans="1:24">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c r="S13" s="21" t="s">
        <v>107</v>
      </c>
      <c r="T13" s="22" t="s">
        <v>107</v>
      </c>
      <c r="U13" s="21" t="s">
        <v>107</v>
      </c>
      <c r="V13" s="22" t="s">
        <v>107</v>
      </c>
      <c r="W13" s="21" t="s">
        <v>107</v>
      </c>
      <c r="X13" s="22" t="s">
        <v>107</v>
      </c>
    </row>
    <row r="14" spans="1:24">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c r="S14" s="21" t="s">
        <v>107</v>
      </c>
      <c r="T14" s="22" t="s">
        <v>107</v>
      </c>
      <c r="U14" s="21" t="s">
        <v>107</v>
      </c>
      <c r="V14" s="22" t="s">
        <v>107</v>
      </c>
      <c r="W14" s="21" t="s">
        <v>107</v>
      </c>
      <c r="X14" s="22" t="s">
        <v>107</v>
      </c>
    </row>
    <row r="15" spans="1:24">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c r="S15" s="21" t="s">
        <v>107</v>
      </c>
      <c r="T15" s="22" t="s">
        <v>107</v>
      </c>
      <c r="U15" s="21" t="s">
        <v>107</v>
      </c>
      <c r="V15" s="22" t="s">
        <v>107</v>
      </c>
      <c r="W15" s="21" t="s">
        <v>107</v>
      </c>
      <c r="X15" s="22" t="s">
        <v>107</v>
      </c>
    </row>
    <row r="16" spans="1:24">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c r="S16" s="21" t="s">
        <v>107</v>
      </c>
      <c r="T16" s="22" t="s">
        <v>107</v>
      </c>
      <c r="U16" s="21" t="s">
        <v>107</v>
      </c>
      <c r="V16" s="22" t="s">
        <v>107</v>
      </c>
      <c r="W16" s="21" t="s">
        <v>107</v>
      </c>
      <c r="X16" s="22" t="s">
        <v>107</v>
      </c>
    </row>
    <row r="17" spans="1:24">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c r="S17" s="21" t="s">
        <v>107</v>
      </c>
      <c r="T17" s="22" t="s">
        <v>107</v>
      </c>
      <c r="U17" s="21" t="s">
        <v>107</v>
      </c>
      <c r="V17" s="22" t="s">
        <v>107</v>
      </c>
      <c r="W17" s="21" t="s">
        <v>107</v>
      </c>
      <c r="X17" s="22" t="s">
        <v>107</v>
      </c>
    </row>
    <row r="18" spans="1:24">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c r="S18" s="21" t="s">
        <v>107</v>
      </c>
      <c r="T18" s="22" t="s">
        <v>107</v>
      </c>
      <c r="U18" s="21" t="s">
        <v>107</v>
      </c>
      <c r="V18" s="22" t="s">
        <v>107</v>
      </c>
      <c r="W18" s="21" t="s">
        <v>107</v>
      </c>
      <c r="X18" s="22" t="s">
        <v>107</v>
      </c>
    </row>
    <row r="19" spans="1:24">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c r="S19" s="21" t="s">
        <v>107</v>
      </c>
      <c r="T19" s="22" t="s">
        <v>107</v>
      </c>
      <c r="U19" s="21" t="s">
        <v>107</v>
      </c>
      <c r="V19" s="22" t="s">
        <v>107</v>
      </c>
      <c r="W19" s="21" t="s">
        <v>107</v>
      </c>
      <c r="X19" s="22" t="s">
        <v>107</v>
      </c>
    </row>
    <row r="20" spans="1:24">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c r="S20" s="21" t="s">
        <v>107</v>
      </c>
      <c r="T20" s="22" t="s">
        <v>107</v>
      </c>
      <c r="U20" s="21" t="s">
        <v>107</v>
      </c>
      <c r="V20" s="22" t="s">
        <v>107</v>
      </c>
      <c r="W20" s="21" t="s">
        <v>107</v>
      </c>
      <c r="X20" s="22" t="s">
        <v>107</v>
      </c>
    </row>
    <row r="21" spans="1:24">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c r="S21" s="21" t="s">
        <v>107</v>
      </c>
      <c r="T21" s="22" t="s">
        <v>107</v>
      </c>
      <c r="U21" s="21" t="s">
        <v>107</v>
      </c>
      <c r="V21" s="22" t="s">
        <v>107</v>
      </c>
      <c r="W21" s="21" t="s">
        <v>107</v>
      </c>
      <c r="X21" s="22" t="s">
        <v>107</v>
      </c>
    </row>
    <row r="22" spans="1:24">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c r="S22" s="21" t="s">
        <v>107</v>
      </c>
      <c r="T22" s="22" t="s">
        <v>107</v>
      </c>
      <c r="U22" s="21" t="s">
        <v>107</v>
      </c>
      <c r="V22" s="22" t="s">
        <v>107</v>
      </c>
      <c r="W22" s="21" t="s">
        <v>107</v>
      </c>
      <c r="X22" s="22" t="s">
        <v>107</v>
      </c>
    </row>
    <row r="23" spans="1:24">
      <c r="A23" s="15" t="s">
        <v>122</v>
      </c>
      <c r="B23" s="17" t="n">
        <v>5792</v>
      </c>
      <c r="C23" s="18">
        <f>(4462.0/B23*100)</f>
        <v/>
      </c>
      <c r="D23" s="19" t="n">
        <v>1330</v>
      </c>
      <c r="E23" s="18" t="n">
        <v>47.58368</v>
      </c>
      <c r="F23" s="20" t="n">
        <v>1.74412109</v>
      </c>
      <c r="G23" s="18" t="n">
        <v>0</v>
      </c>
      <c r="H23" s="20" t="n">
        <v>0</v>
      </c>
      <c r="I23" s="18" t="n">
        <v>0.21016564</v>
      </c>
      <c r="J23" s="20" t="n">
        <v>0.21155499</v>
      </c>
      <c r="K23" s="18" t="n">
        <v>8.78687066</v>
      </c>
      <c r="L23" s="20" t="n">
        <v>1.00176473</v>
      </c>
      <c r="M23" s="18" t="n">
        <v>4.88583943</v>
      </c>
      <c r="N23" s="20" t="n">
        <v>0.7788122</v>
      </c>
      <c r="O23" s="18" t="s">
        <v>105</v>
      </c>
      <c r="P23" s="20" t="s">
        <v>105</v>
      </c>
      <c r="Q23" s="18" t="n">
        <v>0.75994001</v>
      </c>
      <c r="R23" s="20" t="n">
        <v>0.30283393</v>
      </c>
      <c r="S23" s="18" t="n">
        <v>0</v>
      </c>
      <c r="T23" s="20" t="n">
        <v>0</v>
      </c>
      <c r="U23" s="18" t="n">
        <v>0</v>
      </c>
      <c r="V23" s="20" t="n">
        <v>0</v>
      </c>
      <c r="W23" s="18" t="n">
        <v>37.77350426</v>
      </c>
      <c r="X23" s="20" t="n">
        <v>2.05613032</v>
      </c>
    </row>
    <row r="24" spans="1:24">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c r="S24" s="21" t="s">
        <v>107</v>
      </c>
      <c r="T24" s="22" t="s">
        <v>107</v>
      </c>
      <c r="U24" s="21" t="s">
        <v>107</v>
      </c>
      <c r="V24" s="22" t="s">
        <v>107</v>
      </c>
      <c r="W24" s="21" t="s">
        <v>107</v>
      </c>
      <c r="X24" s="22" t="s">
        <v>107</v>
      </c>
    </row>
    <row r="25" spans="1:24">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c r="S25" s="21" t="s">
        <v>107</v>
      </c>
      <c r="T25" s="22" t="s">
        <v>107</v>
      </c>
      <c r="U25" s="21" t="s">
        <v>107</v>
      </c>
      <c r="V25" s="22" t="s">
        <v>107</v>
      </c>
      <c r="W25" s="21" t="s">
        <v>107</v>
      </c>
      <c r="X25" s="22" t="s">
        <v>107</v>
      </c>
    </row>
    <row r="26" spans="1:24">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c r="S26" s="21" t="s">
        <v>107</v>
      </c>
      <c r="T26" s="22" t="s">
        <v>107</v>
      </c>
      <c r="U26" s="21" t="s">
        <v>107</v>
      </c>
      <c r="V26" s="22" t="s">
        <v>107</v>
      </c>
      <c r="W26" s="21" t="s">
        <v>107</v>
      </c>
      <c r="X26" s="22" t="s">
        <v>107</v>
      </c>
    </row>
    <row r="27" spans="1:24">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c r="S27" s="21" t="s">
        <v>107</v>
      </c>
      <c r="T27" s="22" t="s">
        <v>107</v>
      </c>
      <c r="U27" s="21" t="s">
        <v>107</v>
      </c>
      <c r="V27" s="22" t="s">
        <v>107</v>
      </c>
      <c r="W27" s="21" t="s">
        <v>107</v>
      </c>
      <c r="X27" s="22" t="s">
        <v>107</v>
      </c>
    </row>
    <row r="28" spans="1:24">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c r="S28" s="21" t="s">
        <v>107</v>
      </c>
      <c r="T28" s="22" t="s">
        <v>107</v>
      </c>
      <c r="U28" s="21" t="s">
        <v>107</v>
      </c>
      <c r="V28" s="22" t="s">
        <v>107</v>
      </c>
      <c r="W28" s="21" t="s">
        <v>107</v>
      </c>
      <c r="X28" s="22" t="s">
        <v>107</v>
      </c>
    </row>
    <row r="29" spans="1:24">
      <c r="A29" s="15" t="s">
        <v>128</v>
      </c>
      <c r="B29" s="17" t="n">
        <v>2700</v>
      </c>
      <c r="C29" s="18">
        <f>(2020.0/B29*100)</f>
        <v/>
      </c>
      <c r="D29" s="19" t="n">
        <v>680</v>
      </c>
      <c r="E29" s="18" t="n">
        <v>50.57210144</v>
      </c>
      <c r="F29" s="20" t="n">
        <v>1.8410069</v>
      </c>
      <c r="G29" s="18" t="n">
        <v>0</v>
      </c>
      <c r="H29" s="20" t="n">
        <v>0</v>
      </c>
      <c r="I29" s="18" t="n">
        <v>1.11974467</v>
      </c>
      <c r="J29" s="20" t="n">
        <v>0.49505759</v>
      </c>
      <c r="K29" s="18" t="n">
        <v>22.60774398</v>
      </c>
      <c r="L29" s="20" t="n">
        <v>1.73516483</v>
      </c>
      <c r="M29" s="18" t="n">
        <v>11.54212109</v>
      </c>
      <c r="N29" s="20" t="n">
        <v>1.27541805</v>
      </c>
      <c r="O29" s="18" t="s">
        <v>105</v>
      </c>
      <c r="P29" s="20" t="s">
        <v>105</v>
      </c>
      <c r="Q29" s="18" t="n">
        <v>0.12826646</v>
      </c>
      <c r="R29" s="20" t="n">
        <v>0.13672156</v>
      </c>
      <c r="S29" s="18" t="n">
        <v>0</v>
      </c>
      <c r="T29" s="20" t="n">
        <v>0</v>
      </c>
      <c r="U29" s="18" t="n">
        <v>0</v>
      </c>
      <c r="V29" s="20" t="n">
        <v>0</v>
      </c>
      <c r="W29" s="18" t="n">
        <v>14.03002235</v>
      </c>
      <c r="X29" s="20" t="n">
        <v>1.36516331</v>
      </c>
    </row>
    <row r="30" spans="1:24">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c r="S30" s="21" t="s">
        <v>107</v>
      </c>
      <c r="T30" s="22" t="s">
        <v>107</v>
      </c>
      <c r="U30" s="21" t="s">
        <v>107</v>
      </c>
      <c r="V30" s="22" t="s">
        <v>107</v>
      </c>
      <c r="W30" s="21" t="s">
        <v>107</v>
      </c>
      <c r="X30" s="22" t="s">
        <v>107</v>
      </c>
    </row>
    <row r="31" spans="1:24">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c r="S31" s="21" t="s">
        <v>107</v>
      </c>
      <c r="T31" s="22" t="s">
        <v>107</v>
      </c>
      <c r="U31" s="21" t="s">
        <v>107</v>
      </c>
      <c r="V31" s="22" t="s">
        <v>107</v>
      </c>
      <c r="W31" s="21" t="s">
        <v>107</v>
      </c>
      <c r="X31" s="22" t="s">
        <v>107</v>
      </c>
    </row>
    <row r="32" spans="1:24">
      <c r="A32" s="15" t="s">
        <v>131</v>
      </c>
      <c r="B32" s="17" t="n">
        <v>2209</v>
      </c>
      <c r="C32" s="18">
        <f>(1356.0/B32*100)</f>
        <v/>
      </c>
      <c r="D32" s="19" t="n">
        <v>853</v>
      </c>
      <c r="E32" s="18" t="n">
        <v>53.09605345</v>
      </c>
      <c r="F32" s="20" t="n">
        <v>1.69156508</v>
      </c>
      <c r="G32" s="18" t="n">
        <v>0</v>
      </c>
      <c r="H32" s="20" t="n">
        <v>0</v>
      </c>
      <c r="I32" s="18" t="n">
        <v>0.43802789</v>
      </c>
      <c r="J32" s="20" t="n">
        <v>0.22889078</v>
      </c>
      <c r="K32" s="18" t="n">
        <v>6.39525137</v>
      </c>
      <c r="L32" s="20" t="n">
        <v>0.76854145</v>
      </c>
      <c r="M32" s="18" t="n">
        <v>10.21559957</v>
      </c>
      <c r="N32" s="20" t="n">
        <v>1.254306</v>
      </c>
      <c r="O32" s="18" t="s">
        <v>105</v>
      </c>
      <c r="P32" s="20" t="s">
        <v>105</v>
      </c>
      <c r="Q32" s="18" t="n">
        <v>0.24469358</v>
      </c>
      <c r="R32" s="20" t="n">
        <v>0.18098644</v>
      </c>
      <c r="S32" s="18" t="n">
        <v>0</v>
      </c>
      <c r="T32" s="20" t="n">
        <v>0</v>
      </c>
      <c r="U32" s="18" t="n">
        <v>0</v>
      </c>
      <c r="V32" s="20" t="n">
        <v>0</v>
      </c>
      <c r="W32" s="18" t="n">
        <v>29.61037415</v>
      </c>
      <c r="X32" s="20" t="n">
        <v>1.36405059</v>
      </c>
    </row>
    <row r="33" spans="1:24">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c r="S33" s="21" t="s">
        <v>107</v>
      </c>
      <c r="T33" s="22" t="s">
        <v>107</v>
      </c>
      <c r="U33" s="21" t="s">
        <v>107</v>
      </c>
      <c r="V33" s="22" t="s">
        <v>107</v>
      </c>
      <c r="W33" s="21" t="s">
        <v>107</v>
      </c>
      <c r="X33" s="22" t="s">
        <v>107</v>
      </c>
    </row>
    <row r="34" spans="1:24">
      <c r="A34" s="15" t="s">
        <v>133</v>
      </c>
      <c r="B34" s="17" t="n">
        <v>3035</v>
      </c>
      <c r="C34" s="18">
        <f>(2314.0/B34*100)</f>
        <v/>
      </c>
      <c r="D34" s="19" t="n">
        <v>721</v>
      </c>
      <c r="E34" s="18" t="n">
        <v>58.17096743</v>
      </c>
      <c r="F34" s="20" t="n">
        <v>1.94551716</v>
      </c>
      <c r="G34" s="18" t="n">
        <v>0</v>
      </c>
      <c r="H34" s="20" t="n">
        <v>0</v>
      </c>
      <c r="I34" s="18" t="n">
        <v>0.5976418</v>
      </c>
      <c r="J34" s="20" t="n">
        <v>0.25157007</v>
      </c>
      <c r="K34" s="18" t="n">
        <v>8.91556473</v>
      </c>
      <c r="L34" s="20" t="n">
        <v>1.19793688</v>
      </c>
      <c r="M34" s="18" t="n">
        <v>7.55412415</v>
      </c>
      <c r="N34" s="20" t="n">
        <v>0.96776928</v>
      </c>
      <c r="O34" s="18" t="s">
        <v>105</v>
      </c>
      <c r="P34" s="20" t="s">
        <v>105</v>
      </c>
      <c r="Q34" s="18" t="n">
        <v>0.90066197</v>
      </c>
      <c r="R34" s="20" t="n">
        <v>0.31695018</v>
      </c>
      <c r="S34" s="18" t="n">
        <v>0</v>
      </c>
      <c r="T34" s="20" t="n">
        <v>0</v>
      </c>
      <c r="U34" s="18" t="n">
        <v>0</v>
      </c>
      <c r="V34" s="20" t="n">
        <v>0</v>
      </c>
      <c r="W34" s="18" t="n">
        <v>23.86103993</v>
      </c>
      <c r="X34" s="20" t="n">
        <v>1.46966603</v>
      </c>
    </row>
    <row r="35" spans="1:24">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c r="S35" s="21" t="s">
        <v>107</v>
      </c>
      <c r="T35" s="22" t="s">
        <v>107</v>
      </c>
      <c r="U35" s="21" t="s">
        <v>107</v>
      </c>
      <c r="V35" s="22" t="s">
        <v>107</v>
      </c>
      <c r="W35" s="21" t="s">
        <v>107</v>
      </c>
      <c r="X35" s="22" t="s">
        <v>107</v>
      </c>
    </row>
    <row r="36" spans="1:24">
      <c r="A36" s="15" t="s">
        <v>135</v>
      </c>
      <c r="B36" s="17" t="n">
        <v>3404</v>
      </c>
      <c r="C36" s="18">
        <f>(2544.0/B36*100)</f>
        <v/>
      </c>
      <c r="D36" s="19" t="n">
        <v>860</v>
      </c>
      <c r="E36" s="18" t="n">
        <v>54.99545966</v>
      </c>
      <c r="F36" s="20" t="n">
        <v>1.92690874</v>
      </c>
      <c r="G36" s="18" t="n">
        <v>0</v>
      </c>
      <c r="H36" s="20" t="n">
        <v>0</v>
      </c>
      <c r="I36" s="18" t="n">
        <v>0.5644995</v>
      </c>
      <c r="J36" s="20" t="n">
        <v>0.26316644</v>
      </c>
      <c r="K36" s="18" t="n">
        <v>6.9743508</v>
      </c>
      <c r="L36" s="20" t="n">
        <v>0.77206012</v>
      </c>
      <c r="M36" s="18" t="n">
        <v>6.00445071</v>
      </c>
      <c r="N36" s="20" t="n">
        <v>0.90653579</v>
      </c>
      <c r="O36" s="18" t="s">
        <v>105</v>
      </c>
      <c r="P36" s="20" t="s">
        <v>105</v>
      </c>
      <c r="Q36" s="18" t="n">
        <v>0.20781372</v>
      </c>
      <c r="R36" s="20" t="n">
        <v>0.15888068</v>
      </c>
      <c r="S36" s="18" t="n">
        <v>0</v>
      </c>
      <c r="T36" s="20" t="n">
        <v>0</v>
      </c>
      <c r="U36" s="18" t="n">
        <v>0</v>
      </c>
      <c r="V36" s="20" t="n">
        <v>0</v>
      </c>
      <c r="W36" s="18" t="n">
        <v>31.25342561</v>
      </c>
      <c r="X36" s="20" t="n">
        <v>1.81809757</v>
      </c>
    </row>
    <row r="37" spans="1:24">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c r="S37" s="21" t="s">
        <v>107</v>
      </c>
      <c r="T37" s="22" t="s">
        <v>107</v>
      </c>
      <c r="U37" s="21" t="s">
        <v>107</v>
      </c>
      <c r="V37" s="22" t="s">
        <v>107</v>
      </c>
      <c r="W37" s="21" t="s">
        <v>107</v>
      </c>
      <c r="X37" s="22" t="s">
        <v>107</v>
      </c>
    </row>
    <row r="38" spans="1:24">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c r="S38" s="21" t="s">
        <v>107</v>
      </c>
      <c r="T38" s="22" t="s">
        <v>107</v>
      </c>
      <c r="U38" s="21" t="s">
        <v>107</v>
      </c>
      <c r="V38" s="22" t="s">
        <v>107</v>
      </c>
      <c r="W38" s="21" t="s">
        <v>107</v>
      </c>
      <c r="X38" s="22" t="s">
        <v>107</v>
      </c>
    </row>
    <row r="39" spans="1:24">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c r="S39" s="21" t="s">
        <v>107</v>
      </c>
      <c r="T39" s="22" t="s">
        <v>107</v>
      </c>
      <c r="U39" s="21" t="s">
        <v>107</v>
      </c>
      <c r="V39" s="22" t="s">
        <v>107</v>
      </c>
      <c r="W39" s="21" t="s">
        <v>107</v>
      </c>
      <c r="X39" s="22" t="s">
        <v>107</v>
      </c>
    </row>
    <row r="40" spans="1:24">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c r="S40" s="21" t="s">
        <v>107</v>
      </c>
      <c r="T40" s="22" t="s">
        <v>107</v>
      </c>
      <c r="U40" s="21" t="s">
        <v>107</v>
      </c>
      <c r="V40" s="22" t="s">
        <v>107</v>
      </c>
      <c r="W40" s="21" t="s">
        <v>107</v>
      </c>
      <c r="X40" s="22" t="s">
        <v>107</v>
      </c>
    </row>
    <row r="41" spans="1:24">
      <c r="A41" s="15" t="s">
        <v>140</v>
      </c>
      <c r="B41" s="17" t="n">
        <v>2854</v>
      </c>
      <c r="C41" s="18">
        <f>(2139.0/B41*100)</f>
        <v/>
      </c>
      <c r="D41" s="19" t="n">
        <v>715</v>
      </c>
      <c r="E41" s="18" t="n">
        <v>65.11504886</v>
      </c>
      <c r="F41" s="20" t="n">
        <v>1.98088315</v>
      </c>
      <c r="G41" s="18" t="n">
        <v>0</v>
      </c>
      <c r="H41" s="20" t="n">
        <v>0</v>
      </c>
      <c r="I41" s="18" t="n">
        <v>1.38749208</v>
      </c>
      <c r="J41" s="20" t="n">
        <v>0.51064094</v>
      </c>
      <c r="K41" s="18" t="n">
        <v>14.91613803</v>
      </c>
      <c r="L41" s="20" t="n">
        <v>1.46635536</v>
      </c>
      <c r="M41" s="18" t="n">
        <v>10.75039509</v>
      </c>
      <c r="N41" s="20" t="n">
        <v>1.27547824</v>
      </c>
      <c r="O41" s="18" t="s">
        <v>105</v>
      </c>
      <c r="P41" s="20" t="s">
        <v>105</v>
      </c>
      <c r="Q41" s="18" t="n">
        <v>0.13738579</v>
      </c>
      <c r="R41" s="20" t="n">
        <v>0.13701681</v>
      </c>
      <c r="S41" s="18" t="n">
        <v>0</v>
      </c>
      <c r="T41" s="20" t="n">
        <v>0</v>
      </c>
      <c r="U41" s="18" t="n">
        <v>0</v>
      </c>
      <c r="V41" s="20" t="n">
        <v>0</v>
      </c>
      <c r="W41" s="18" t="n">
        <v>7.69354016</v>
      </c>
      <c r="X41" s="20" t="n">
        <v>1.29251513</v>
      </c>
    </row>
    <row r="42" spans="1:24">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c r="W42" s="18">
        <f>IF(COUNT(W7:W41) &gt; 0, AVERAGE(W7:W41), "—")</f>
        <v/>
      </c>
      <c r="X42" s="20">
        <f>IF(COUNT(X7:X41) &gt; 0, SQRT(SUMSQ(X7:X41)/(COUNT(X7:X41)*COUNT(X7:X41)) ), "—")</f>
        <v/>
      </c>
    </row>
    <row r="43" spans="1:24">
      <c r="A43" s="13" t="s">
        <v>142</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5" t="n"/>
      <c r="W43" s="14" t="n"/>
      <c r="X43" s="16" t="n"/>
    </row>
    <row r="44" spans="1:24">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c r="S44" s="21" t="s">
        <v>107</v>
      </c>
      <c r="T44" s="22" t="s">
        <v>107</v>
      </c>
      <c r="U44" s="21" t="s">
        <v>107</v>
      </c>
      <c r="V44" s="22" t="s">
        <v>107</v>
      </c>
      <c r="W44" s="21" t="s">
        <v>107</v>
      </c>
      <c r="X44" s="22" t="s">
        <v>107</v>
      </c>
    </row>
    <row r="45" spans="1:24">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c r="S45" s="21" t="s">
        <v>107</v>
      </c>
      <c r="T45" s="22" t="s">
        <v>107</v>
      </c>
      <c r="U45" s="21" t="s">
        <v>107</v>
      </c>
      <c r="V45" s="22" t="s">
        <v>107</v>
      </c>
      <c r="W45" s="21" t="s">
        <v>107</v>
      </c>
      <c r="X45" s="22" t="s">
        <v>107</v>
      </c>
    </row>
    <row r="46" spans="1:24">
      <c r="A46" s="15" t="s">
        <v>145</v>
      </c>
      <c r="B46" s="17" t="n">
        <v>12073</v>
      </c>
      <c r="C46" s="18">
        <f>(9720.0/B46*100)</f>
        <v/>
      </c>
      <c r="D46" s="19" t="n">
        <v>2353</v>
      </c>
      <c r="E46" s="18" t="n">
        <v>57.02099584</v>
      </c>
      <c r="F46" s="20" t="n">
        <v>1.46277239</v>
      </c>
      <c r="G46" s="18" t="n">
        <v>0</v>
      </c>
      <c r="H46" s="20" t="n">
        <v>0</v>
      </c>
      <c r="I46" s="18" t="n">
        <v>0.03560601</v>
      </c>
      <c r="J46" s="20" t="n">
        <v>0.02698314</v>
      </c>
      <c r="K46" s="18" t="n">
        <v>3.32139691</v>
      </c>
      <c r="L46" s="20" t="n">
        <v>0.5918325</v>
      </c>
      <c r="M46" s="18" t="n">
        <v>1.479534</v>
      </c>
      <c r="N46" s="20" t="n">
        <v>0.37241608</v>
      </c>
      <c r="O46" s="18" t="s">
        <v>105</v>
      </c>
      <c r="P46" s="20" t="s">
        <v>105</v>
      </c>
      <c r="Q46" s="18" t="n">
        <v>5.33152104</v>
      </c>
      <c r="R46" s="20" t="n">
        <v>0.74667206</v>
      </c>
      <c r="S46" s="18" t="n">
        <v>0</v>
      </c>
      <c r="T46" s="20" t="n">
        <v>0</v>
      </c>
      <c r="U46" s="18" t="n">
        <v>0</v>
      </c>
      <c r="V46" s="20" t="n">
        <v>0</v>
      </c>
      <c r="W46" s="18" t="n">
        <v>32.81094621</v>
      </c>
      <c r="X46" s="20" t="n">
        <v>1.40359174</v>
      </c>
    </row>
    <row r="47" spans="1:24">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c r="S47" s="21" t="s">
        <v>107</v>
      </c>
      <c r="T47" s="22" t="s">
        <v>107</v>
      </c>
      <c r="U47" s="21" t="s">
        <v>107</v>
      </c>
      <c r="V47" s="22" t="s">
        <v>107</v>
      </c>
      <c r="W47" s="21" t="s">
        <v>107</v>
      </c>
      <c r="X47" s="22" t="s">
        <v>107</v>
      </c>
    </row>
    <row r="48" spans="1:24">
      <c r="A48" s="15" t="s">
        <v>147</v>
      </c>
      <c r="B48" s="17" t="n">
        <v>4682</v>
      </c>
      <c r="C48" s="18">
        <f>(3495.0/B48*100)</f>
        <v/>
      </c>
      <c r="D48" s="19" t="n">
        <v>1187</v>
      </c>
      <c r="E48" s="18" t="n">
        <v>51.60635049</v>
      </c>
      <c r="F48" s="20" t="n">
        <v>1.89913072</v>
      </c>
      <c r="G48" s="18" t="n">
        <v>0</v>
      </c>
      <c r="H48" s="20" t="n">
        <v>0</v>
      </c>
      <c r="I48" s="18" t="n">
        <v>1.09013246</v>
      </c>
      <c r="J48" s="20" t="n">
        <v>0.37175527</v>
      </c>
      <c r="K48" s="18" t="n">
        <v>16.92537583</v>
      </c>
      <c r="L48" s="20" t="n">
        <v>1.56390863</v>
      </c>
      <c r="M48" s="18" t="n">
        <v>27.18966439</v>
      </c>
      <c r="N48" s="20" t="n">
        <v>1.75712029</v>
      </c>
      <c r="O48" s="18" t="s">
        <v>105</v>
      </c>
      <c r="P48" s="20" t="s">
        <v>105</v>
      </c>
      <c r="Q48" s="18" t="n">
        <v>0.06480739000000001</v>
      </c>
      <c r="R48" s="20" t="n">
        <v>0.06497797</v>
      </c>
      <c r="S48" s="18" t="n">
        <v>0</v>
      </c>
      <c r="T48" s="20" t="n">
        <v>0</v>
      </c>
      <c r="U48" s="18" t="n">
        <v>0</v>
      </c>
      <c r="V48" s="20" t="n">
        <v>0</v>
      </c>
      <c r="W48" s="18" t="n">
        <v>3.12366945</v>
      </c>
      <c r="X48" s="20" t="n">
        <v>0.73438202</v>
      </c>
    </row>
    <row r="49" spans="1:24">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c r="S49" s="21" t="s">
        <v>107</v>
      </c>
      <c r="T49" s="22" t="s">
        <v>107</v>
      </c>
      <c r="U49" s="21" t="s">
        <v>107</v>
      </c>
      <c r="V49" s="22" t="s">
        <v>107</v>
      </c>
      <c r="W49" s="21" t="s">
        <v>107</v>
      </c>
      <c r="X49" s="22" t="s">
        <v>107</v>
      </c>
    </row>
    <row r="50" spans="1:24">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c r="S50" s="21" t="s">
        <v>107</v>
      </c>
      <c r="T50" s="22" t="s">
        <v>107</v>
      </c>
      <c r="U50" s="21" t="s">
        <v>107</v>
      </c>
      <c r="V50" s="22" t="s">
        <v>107</v>
      </c>
      <c r="W50" s="21" t="s">
        <v>107</v>
      </c>
      <c r="X50" s="22" t="s">
        <v>107</v>
      </c>
    </row>
    <row r="51" spans="1:24">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c r="S51" s="21" t="s">
        <v>107</v>
      </c>
      <c r="T51" s="22" t="s">
        <v>107</v>
      </c>
      <c r="U51" s="21" t="s">
        <v>107</v>
      </c>
      <c r="V51" s="22" t="s">
        <v>107</v>
      </c>
      <c r="W51" s="21" t="s">
        <v>107</v>
      </c>
      <c r="X51" s="22" t="s">
        <v>107</v>
      </c>
    </row>
    <row r="52" spans="1:24">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c r="S52" s="21" t="s">
        <v>107</v>
      </c>
      <c r="T52" s="22" t="s">
        <v>107</v>
      </c>
      <c r="U52" s="21" t="s">
        <v>107</v>
      </c>
      <c r="V52" s="22" t="s">
        <v>107</v>
      </c>
      <c r="W52" s="21" t="s">
        <v>107</v>
      </c>
      <c r="X52" s="22" t="s">
        <v>107</v>
      </c>
    </row>
    <row r="53" spans="1:24">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c r="S53" s="21" t="s">
        <v>107</v>
      </c>
      <c r="T53" s="22" t="s">
        <v>107</v>
      </c>
      <c r="U53" s="21" t="s">
        <v>107</v>
      </c>
      <c r="V53" s="22" t="s">
        <v>107</v>
      </c>
      <c r="W53" s="21" t="s">
        <v>107</v>
      </c>
      <c r="X53" s="22" t="s">
        <v>107</v>
      </c>
    </row>
    <row r="54" spans="1:24">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c r="S54" s="21" t="s">
        <v>107</v>
      </c>
      <c r="T54" s="22" t="s">
        <v>107</v>
      </c>
      <c r="U54" s="21" t="s">
        <v>107</v>
      </c>
      <c r="V54" s="22" t="s">
        <v>107</v>
      </c>
      <c r="W54" s="21" t="s">
        <v>107</v>
      </c>
      <c r="X54" s="22" t="s">
        <v>107</v>
      </c>
    </row>
    <row r="55" spans="1:24">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c r="S55" s="21" t="s">
        <v>107</v>
      </c>
      <c r="T55" s="22" t="s">
        <v>107</v>
      </c>
      <c r="U55" s="21" t="s">
        <v>107</v>
      </c>
      <c r="V55" s="22" t="s">
        <v>107</v>
      </c>
      <c r="W55" s="21" t="s">
        <v>107</v>
      </c>
      <c r="X55" s="22" t="s">
        <v>107</v>
      </c>
    </row>
    <row r="56" spans="1:24">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c r="S56" s="21" t="s">
        <v>107</v>
      </c>
      <c r="T56" s="22" t="s">
        <v>107</v>
      </c>
      <c r="U56" s="21" t="s">
        <v>107</v>
      </c>
      <c r="V56" s="22" t="s">
        <v>107</v>
      </c>
      <c r="W56" s="21" t="s">
        <v>107</v>
      </c>
      <c r="X56" s="22" t="s">
        <v>107</v>
      </c>
    </row>
    <row r="57" spans="1:24">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c r="S57" s="21" t="s">
        <v>107</v>
      </c>
      <c r="T57" s="22" t="s">
        <v>107</v>
      </c>
      <c r="U57" s="21" t="s">
        <v>107</v>
      </c>
      <c r="V57" s="22" t="s">
        <v>107</v>
      </c>
      <c r="W57" s="21" t="s">
        <v>107</v>
      </c>
      <c r="X57" s="22" t="s">
        <v>107</v>
      </c>
    </row>
    <row r="58" spans="1:24">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c r="S58" s="21" t="s">
        <v>107</v>
      </c>
      <c r="T58" s="22" t="s">
        <v>107</v>
      </c>
      <c r="U58" s="21" t="s">
        <v>107</v>
      </c>
      <c r="V58" s="22" t="s">
        <v>107</v>
      </c>
      <c r="W58" s="21" t="s">
        <v>107</v>
      </c>
      <c r="X58" s="22" t="s">
        <v>107</v>
      </c>
    </row>
    <row r="59" spans="1:24">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c r="S59" s="21" t="s">
        <v>107</v>
      </c>
      <c r="T59" s="22" t="s">
        <v>107</v>
      </c>
      <c r="U59" s="21" t="s">
        <v>107</v>
      </c>
      <c r="V59" s="22" t="s">
        <v>107</v>
      </c>
      <c r="W59" s="21" t="s">
        <v>107</v>
      </c>
      <c r="X59" s="22" t="s">
        <v>107</v>
      </c>
    </row>
    <row r="60" spans="1:24">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c r="S60" s="21" t="s">
        <v>107</v>
      </c>
      <c r="T60" s="22" t="s">
        <v>107</v>
      </c>
      <c r="U60" s="21" t="s">
        <v>107</v>
      </c>
      <c r="V60" s="22" t="s">
        <v>107</v>
      </c>
      <c r="W60" s="21" t="s">
        <v>107</v>
      </c>
      <c r="X60" s="22" t="s">
        <v>107</v>
      </c>
    </row>
    <row r="61" spans="1:24">
      <c r="A61" s="15" t="s">
        <v>160</v>
      </c>
      <c r="B61" s="17" t="n">
        <v>3201</v>
      </c>
      <c r="C61" s="18">
        <f>(2358.0/B61*100)</f>
        <v/>
      </c>
      <c r="D61" s="19" t="n">
        <v>843</v>
      </c>
      <c r="E61" s="18" t="n">
        <v>56.41856295</v>
      </c>
      <c r="F61" s="20" t="n">
        <v>1.8649709</v>
      </c>
      <c r="G61" s="18" t="n">
        <v>0</v>
      </c>
      <c r="H61" s="20" t="n">
        <v>0</v>
      </c>
      <c r="I61" s="18" t="n">
        <v>0.05151486</v>
      </c>
      <c r="J61" s="20" t="n">
        <v>0.05212526</v>
      </c>
      <c r="K61" s="18" t="n">
        <v>10.30514205</v>
      </c>
      <c r="L61" s="20" t="n">
        <v>1.18710742</v>
      </c>
      <c r="M61" s="18" t="n">
        <v>6.06111184</v>
      </c>
      <c r="N61" s="20" t="n">
        <v>0.98036683</v>
      </c>
      <c r="O61" s="18" t="s">
        <v>105</v>
      </c>
      <c r="P61" s="20" t="s">
        <v>105</v>
      </c>
      <c r="Q61" s="18" t="n">
        <v>0.55955658</v>
      </c>
      <c r="R61" s="20" t="n">
        <v>0.27363498</v>
      </c>
      <c r="S61" s="18" t="n">
        <v>0</v>
      </c>
      <c r="T61" s="20" t="n">
        <v>0</v>
      </c>
      <c r="U61" s="18" t="n">
        <v>0</v>
      </c>
      <c r="V61" s="20" t="n">
        <v>0</v>
      </c>
      <c r="W61" s="18" t="n">
        <v>26.6041117</v>
      </c>
      <c r="X61" s="20" t="n">
        <v>1.60356453</v>
      </c>
    </row>
    <row r="62" spans="1:24">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c r="S62" s="21" t="s">
        <v>107</v>
      </c>
      <c r="T62" s="22" t="s">
        <v>107</v>
      </c>
      <c r="U62" s="21" t="s">
        <v>107</v>
      </c>
      <c r="V62" s="22" t="s">
        <v>107</v>
      </c>
      <c r="W62" s="21" t="s">
        <v>107</v>
      </c>
      <c r="X62" s="22" t="s">
        <v>107</v>
      </c>
    </row>
    <row r="63" spans="1:24">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c r="S63" s="21" t="s">
        <v>107</v>
      </c>
      <c r="T63" s="22" t="s">
        <v>107</v>
      </c>
      <c r="U63" s="21" t="s">
        <v>107</v>
      </c>
      <c r="V63" s="22" t="s">
        <v>107</v>
      </c>
      <c r="W63" s="21" t="s">
        <v>107</v>
      </c>
      <c r="X63" s="22" t="s">
        <v>107</v>
      </c>
    </row>
    <row r="64" spans="1:24">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c r="S64" s="21" t="s">
        <v>107</v>
      </c>
      <c r="T64" s="22" t="s">
        <v>107</v>
      </c>
      <c r="U64" s="21" t="s">
        <v>107</v>
      </c>
      <c r="V64" s="22" t="s">
        <v>107</v>
      </c>
      <c r="W64" s="21" t="s">
        <v>107</v>
      </c>
      <c r="X64" s="22" t="s">
        <v>107</v>
      </c>
    </row>
    <row r="65" spans="1:24">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c r="S65" s="21" t="s">
        <v>107</v>
      </c>
      <c r="T65" s="22" t="s">
        <v>107</v>
      </c>
      <c r="U65" s="21" t="s">
        <v>107</v>
      </c>
      <c r="V65" s="22" t="s">
        <v>107</v>
      </c>
      <c r="W65" s="21" t="s">
        <v>107</v>
      </c>
      <c r="X65" s="22" t="s">
        <v>107</v>
      </c>
    </row>
    <row r="66" spans="1:24">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c r="S66" s="21" t="s">
        <v>107</v>
      </c>
      <c r="T66" s="22" t="s">
        <v>107</v>
      </c>
      <c r="U66" s="21" t="s">
        <v>107</v>
      </c>
      <c r="V66" s="22" t="s">
        <v>107</v>
      </c>
      <c r="W66" s="21" t="s">
        <v>107</v>
      </c>
      <c r="X66" s="22" t="s">
        <v>107</v>
      </c>
    </row>
    <row r="67" spans="1:24">
      <c r="A67" s="15" t="s">
        <v>166</v>
      </c>
      <c r="B67" s="17" t="n">
        <v>3460</v>
      </c>
      <c r="C67" s="18">
        <f>(2670.0/B67*100)</f>
        <v/>
      </c>
      <c r="D67" s="19" t="n">
        <v>790</v>
      </c>
      <c r="E67" s="18" t="n">
        <v>68.25499163000001</v>
      </c>
      <c r="F67" s="20" t="n">
        <v>1.96611417</v>
      </c>
      <c r="G67" s="18" t="n">
        <v>0</v>
      </c>
      <c r="H67" s="20" t="n">
        <v>0</v>
      </c>
      <c r="I67" s="18" t="n">
        <v>0.25761367</v>
      </c>
      <c r="J67" s="20" t="n">
        <v>0.18237535</v>
      </c>
      <c r="K67" s="18" t="n">
        <v>4.38670509</v>
      </c>
      <c r="L67" s="20" t="n">
        <v>0.71019787</v>
      </c>
      <c r="M67" s="18" t="n">
        <v>2.97028849</v>
      </c>
      <c r="N67" s="20" t="n">
        <v>0.7218800399999999</v>
      </c>
      <c r="O67" s="18" t="s">
        <v>105</v>
      </c>
      <c r="P67" s="20" t="s">
        <v>105</v>
      </c>
      <c r="Q67" s="18" t="n">
        <v>0.2419836</v>
      </c>
      <c r="R67" s="20" t="n">
        <v>0.23945199</v>
      </c>
      <c r="S67" s="18" t="n">
        <v>0</v>
      </c>
      <c r="T67" s="20" t="n">
        <v>0</v>
      </c>
      <c r="U67" s="18" t="n">
        <v>0</v>
      </c>
      <c r="V67" s="20" t="n">
        <v>0</v>
      </c>
      <c r="W67" s="18" t="n">
        <v>23.88841752</v>
      </c>
      <c r="X67" s="20" t="n">
        <v>1.70739663</v>
      </c>
    </row>
    <row r="68" spans="1:24">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c r="S68" s="21" t="s">
        <v>107</v>
      </c>
      <c r="T68" s="22" t="s">
        <v>107</v>
      </c>
      <c r="U68" s="21" t="s">
        <v>107</v>
      </c>
      <c r="V68" s="22" t="s">
        <v>107</v>
      </c>
      <c r="W68" s="21" t="s">
        <v>107</v>
      </c>
      <c r="X68" s="22" t="s">
        <v>107</v>
      </c>
    </row>
    <row r="69" spans="1:24">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c r="S69" s="21" t="s">
        <v>107</v>
      </c>
      <c r="T69" s="22" t="s">
        <v>107</v>
      </c>
      <c r="U69" s="21" t="s">
        <v>107</v>
      </c>
      <c r="V69" s="22" t="s">
        <v>107</v>
      </c>
      <c r="W69" s="21" t="s">
        <v>107</v>
      </c>
      <c r="X69" s="22" t="s">
        <v>107</v>
      </c>
    </row>
    <row r="70" spans="1:24">
      <c r="A70" s="15" t="s">
        <v>169</v>
      </c>
      <c r="B70" s="17" t="n">
        <v>3107</v>
      </c>
      <c r="C70" s="18">
        <f>(2353.0/B70*100)</f>
        <v/>
      </c>
      <c r="D70" s="19" t="n">
        <v>754</v>
      </c>
      <c r="E70" s="18" t="n">
        <v>63.2869209</v>
      </c>
      <c r="F70" s="20" t="n">
        <v>2.10972333</v>
      </c>
      <c r="G70" s="18" t="n">
        <v>0</v>
      </c>
      <c r="H70" s="20" t="n">
        <v>0</v>
      </c>
      <c r="I70" s="18" t="n">
        <v>1.78441412</v>
      </c>
      <c r="J70" s="20" t="n">
        <v>0.61385651</v>
      </c>
      <c r="K70" s="18" t="n">
        <v>5.09762798</v>
      </c>
      <c r="L70" s="20" t="n">
        <v>1.06365344</v>
      </c>
      <c r="M70" s="18" t="n">
        <v>13.28626752</v>
      </c>
      <c r="N70" s="20" t="n">
        <v>1.42023831</v>
      </c>
      <c r="O70" s="18" t="s">
        <v>105</v>
      </c>
      <c r="P70" s="20" t="s">
        <v>105</v>
      </c>
      <c r="Q70" s="18" t="n">
        <v>1.88323819</v>
      </c>
      <c r="R70" s="20" t="n">
        <v>0.73077402</v>
      </c>
      <c r="S70" s="18" t="n">
        <v>0</v>
      </c>
      <c r="T70" s="20" t="n">
        <v>0</v>
      </c>
      <c r="U70" s="18" t="n">
        <v>0</v>
      </c>
      <c r="V70" s="20" t="n">
        <v>0</v>
      </c>
      <c r="W70" s="18" t="n">
        <v>14.66153128</v>
      </c>
      <c r="X70" s="20" t="n">
        <v>1.65987688</v>
      </c>
    </row>
    <row r="71" spans="1:24">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c r="S71" s="21" t="s">
        <v>107</v>
      </c>
      <c r="T71" s="22" t="s">
        <v>107</v>
      </c>
      <c r="U71" s="21" t="s">
        <v>107</v>
      </c>
      <c r="V71" s="22" t="s">
        <v>107</v>
      </c>
      <c r="W71" s="21" t="s">
        <v>107</v>
      </c>
      <c r="X71" s="22" t="s">
        <v>107</v>
      </c>
    </row>
    <row r="72" spans="1:24">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c r="S72" s="21" t="s">
        <v>107</v>
      </c>
      <c r="T72" s="22" t="s">
        <v>107</v>
      </c>
      <c r="U72" s="21" t="s">
        <v>107</v>
      </c>
      <c r="V72" s="22" t="s">
        <v>107</v>
      </c>
      <c r="W72" s="21" t="s">
        <v>107</v>
      </c>
      <c r="X72" s="22" t="s">
        <v>107</v>
      </c>
    </row>
    <row r="73" spans="1:24">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c r="S73" s="21" t="s">
        <v>107</v>
      </c>
      <c r="T73" s="22" t="s">
        <v>107</v>
      </c>
      <c r="U73" s="21" t="s">
        <v>107</v>
      </c>
      <c r="V73" s="22" t="s">
        <v>107</v>
      </c>
      <c r="W73" s="21" t="s">
        <v>107</v>
      </c>
      <c r="X73" s="22" t="s">
        <v>107</v>
      </c>
    </row>
    <row r="74" spans="1:24">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c r="S74" s="21" t="s">
        <v>107</v>
      </c>
      <c r="T74" s="22" t="s">
        <v>107</v>
      </c>
      <c r="U74" s="21" t="s">
        <v>107</v>
      </c>
      <c r="V74" s="22" t="s">
        <v>107</v>
      </c>
      <c r="W74" s="21" t="s">
        <v>107</v>
      </c>
      <c r="X74" s="22" t="s">
        <v>107</v>
      </c>
    </row>
    <row r="75" spans="1:24">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c r="S75" s="21" t="s">
        <v>107</v>
      </c>
      <c r="T75" s="22" t="s">
        <v>107</v>
      </c>
      <c r="U75" s="21" t="s">
        <v>107</v>
      </c>
      <c r="V75" s="22" t="s">
        <v>107</v>
      </c>
      <c r="W75" s="21" t="s">
        <v>107</v>
      </c>
      <c r="X75" s="22" t="s">
        <v>107</v>
      </c>
    </row>
    <row r="76" spans="1:24">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c r="S76" s="21" t="s">
        <v>107</v>
      </c>
      <c r="T76" s="22" t="s">
        <v>107</v>
      </c>
      <c r="U76" s="21" t="s">
        <v>107</v>
      </c>
      <c r="V76" s="22" t="s">
        <v>107</v>
      </c>
      <c r="W76" s="21" t="s">
        <v>107</v>
      </c>
      <c r="X76" s="22" t="s">
        <v>107</v>
      </c>
    </row>
    <row r="77" spans="1:24">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c r="S77" s="21" t="s">
        <v>107</v>
      </c>
      <c r="T77" s="22" t="s">
        <v>107</v>
      </c>
      <c r="U77" s="21" t="s">
        <v>107</v>
      </c>
      <c r="V77" s="22" t="s">
        <v>107</v>
      </c>
      <c r="W77" s="21" t="s">
        <v>107</v>
      </c>
      <c r="X77" s="22" t="s">
        <v>107</v>
      </c>
    </row>
    <row r="78" spans="1:24">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c r="S78" s="21" t="s">
        <v>107</v>
      </c>
      <c r="T78" s="22" t="s">
        <v>107</v>
      </c>
      <c r="U78" s="21" t="s">
        <v>107</v>
      </c>
      <c r="V78" s="22" t="s">
        <v>107</v>
      </c>
      <c r="W78" s="21" t="s">
        <v>107</v>
      </c>
      <c r="X78" s="22" t="s">
        <v>107</v>
      </c>
    </row>
    <row customHeight="1" ht="25" r="79" spans="1:24">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c r="S79" s="21" t="s">
        <v>107</v>
      </c>
      <c r="T79" s="22" t="s">
        <v>107</v>
      </c>
      <c r="U79" s="21" t="s">
        <v>107</v>
      </c>
      <c r="V79" s="22" t="s">
        <v>107</v>
      </c>
      <c r="W79" s="21" t="s">
        <v>107</v>
      </c>
      <c r="X79" s="22" t="s">
        <v>107</v>
      </c>
    </row>
    <row r="80" spans="1:24">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c r="S80" s="21" t="s">
        <v>107</v>
      </c>
      <c r="T80" s="22" t="s">
        <v>107</v>
      </c>
      <c r="U80" s="21" t="s">
        <v>107</v>
      </c>
      <c r="V80" s="22" t="s">
        <v>107</v>
      </c>
      <c r="W80" s="21" t="s">
        <v>107</v>
      </c>
      <c r="X80" s="22" t="s">
        <v>107</v>
      </c>
    </row>
    <row r="81" spans="1:24">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c r="S81" s="21" t="s">
        <v>107</v>
      </c>
      <c r="T81" s="22" t="s">
        <v>107</v>
      </c>
      <c r="U81" s="21" t="s">
        <v>107</v>
      </c>
      <c r="V81" s="22" t="s">
        <v>107</v>
      </c>
      <c r="W81" s="21" t="s">
        <v>107</v>
      </c>
      <c r="X81" s="22" t="s">
        <v>107</v>
      </c>
    </row>
    <row r="82" spans="1:24">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c r="S82" s="24" t="s">
        <v>181</v>
      </c>
      <c r="T82" s="24" t="s">
        <v>181</v>
      </c>
      <c r="U82" s="24" t="s">
        <v>181</v>
      </c>
      <c r="V82" s="24" t="s">
        <v>181</v>
      </c>
      <c r="W82" s="24" t="s">
        <v>181</v>
      </c>
      <c r="X82" s="24" t="s">
        <v>181</v>
      </c>
    </row>
    <row r="83" spans="1:24">
      <c r="A83" s="3" t="s">
        <v>182</v>
      </c>
    </row>
    <row r="84" spans="1:24">
      <c r="A84" s="25" t="s">
        <v>183</v>
      </c>
    </row>
    <row r="85" spans="1:24">
      <c r="A85" s="25" t="s">
        <v>184</v>
      </c>
    </row>
    <row customHeight="1" ht="30" r="86" spans="1:24">
      <c r="A86" s="25" t="s">
        <v>185</v>
      </c>
    </row>
    <row customHeight="1" ht="30" r="87" spans="1:24">
      <c r="A87" s="25" t="s">
        <v>181</v>
      </c>
    </row>
    <row customHeight="1" ht="30" r="88" spans="1:24">
      <c r="A88" s="25" t="s">
        <v>186</v>
      </c>
    </row>
    <row customHeight="1" ht="30" r="89" spans="1:24">
      <c r="A89" s="25" t="s">
        <v>187</v>
      </c>
    </row>
    <row customHeight="1" ht="30" r="90" spans="1:24">
      <c r="A90" s="25" t="s">
        <v>188</v>
      </c>
    </row>
    <row customHeight="1" ht="30" r="91" spans="1:24">
      <c r="A91" s="25" t="s">
        <v>189</v>
      </c>
    </row>
    <row customHeight="1" ht="30" r="92" spans="1:24">
      <c r="A92" s="25" t="s">
        <v>190</v>
      </c>
    </row>
    <row customHeight="1" ht="30" r="93" spans="1:24">
      <c r="A93" s="25" t="s">
        <v>191</v>
      </c>
    </row>
    <row customHeight="1" ht="30" r="94" spans="1:24">
      <c r="A94" s="25" t="s">
        <v>192</v>
      </c>
    </row>
    <row customHeight="1" ht="30" r="95" spans="1:24">
      <c r="A95" s="25" t="s">
        <v>193</v>
      </c>
    </row>
    <row customHeight="1" ht="30" r="96" spans="1:24">
      <c r="A96" s="25" t="s">
        <v>194</v>
      </c>
    </row>
    <row customHeight="1" ht="30" r="97" spans="1:24">
      <c r="A97" s="25" t="s">
        <v>195</v>
      </c>
    </row>
  </sheetData>
  <mergeCells count="26">
    <mergeCell ref="E4:F4"/>
    <mergeCell ref="G4:H4"/>
    <mergeCell ref="I4:J4"/>
    <mergeCell ref="K4:L4"/>
    <mergeCell ref="M4:N4"/>
    <mergeCell ref="O4:P4"/>
    <mergeCell ref="Q4:R4"/>
    <mergeCell ref="S4:T4"/>
    <mergeCell ref="U4:V4"/>
    <mergeCell ref="W4:X4"/>
    <mergeCell ref="A1:X1"/>
    <mergeCell ref="A2:X2"/>
    <mergeCell ref="A84:X84"/>
    <mergeCell ref="A85:X85"/>
    <mergeCell ref="A86:X86"/>
    <mergeCell ref="A87:X87"/>
    <mergeCell ref="A88:X88"/>
    <mergeCell ref="A89:X89"/>
    <mergeCell ref="A90:X90"/>
    <mergeCell ref="A91:X91"/>
    <mergeCell ref="A92:X92"/>
    <mergeCell ref="A93:X93"/>
    <mergeCell ref="A94:X94"/>
    <mergeCell ref="A95:X95"/>
    <mergeCell ref="A96:X96"/>
    <mergeCell ref="A97:X97"/>
  </mergeCells>
  <pageMargins bottom="1" footer="0.5" header="0.5" left="0.75" right="0.75" top="1"/>
</worksheet>
</file>

<file path=xl/worksheets/sheet17.xml><?xml version="1.0" encoding="utf-8"?>
<worksheet xmlns="http://schemas.openxmlformats.org/spreadsheetml/2006/main">
  <sheetPr>
    <outlinePr summaryBelow="1" summaryRight="1"/>
    <pageSetUpPr/>
  </sheetPr>
  <dimension ref="A1:V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2">
      <c r="A1" s="4" t="s">
        <v>87</v>
      </c>
    </row>
    <row r="2" spans="1:22">
      <c r="A2" s="5" t="s">
        <v>221</v>
      </c>
    </row>
    <row customHeight="1" ht="30" r="4" spans="1:22">
      <c r="A4" s="6" t="n"/>
      <c r="B4" s="7" t="s">
        <v>89</v>
      </c>
      <c r="C4" s="7" t="s">
        <v>90</v>
      </c>
      <c r="D4" s="8" t="s">
        <v>89</v>
      </c>
      <c r="E4" s="9" t="s">
        <v>202</v>
      </c>
      <c r="F4" s="10" t="n"/>
      <c r="G4" s="9" t="s">
        <v>203</v>
      </c>
      <c r="H4" s="10" t="n"/>
      <c r="I4" s="9" t="s">
        <v>204</v>
      </c>
      <c r="J4" s="10" t="n"/>
      <c r="K4" s="9" t="s">
        <v>222</v>
      </c>
      <c r="L4" s="10" t="n"/>
      <c r="M4" s="9" t="s">
        <v>93</v>
      </c>
      <c r="N4" s="10" t="n"/>
      <c r="O4" s="9" t="s">
        <v>94</v>
      </c>
      <c r="P4" s="10" t="n"/>
      <c r="Q4" s="9" t="s">
        <v>95</v>
      </c>
      <c r="R4" s="10" t="n"/>
      <c r="S4" s="9" t="s">
        <v>96</v>
      </c>
      <c r="T4" s="10" t="n"/>
      <c r="U4" s="9" t="s">
        <v>97</v>
      </c>
      <c r="V4" s="10" t="n"/>
    </row>
    <row r="5" spans="1:22">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c r="S5" s="12" t="s">
        <v>101</v>
      </c>
      <c r="T5" s="11" t="s">
        <v>102</v>
      </c>
      <c r="U5" s="12" t="s">
        <v>101</v>
      </c>
      <c r="V5" s="11" t="s">
        <v>102</v>
      </c>
    </row>
    <row r="6" spans="1:22">
      <c r="A6" s="13" t="s">
        <v>103</v>
      </c>
      <c r="B6" s="14" t="n"/>
      <c r="C6" s="14" t="n"/>
      <c r="D6" s="15" t="n"/>
      <c r="E6" s="14" t="n"/>
      <c r="F6" s="15" t="n"/>
      <c r="G6" s="14" t="n"/>
      <c r="H6" s="15" t="n"/>
      <c r="I6" s="14" t="n"/>
      <c r="J6" s="15" t="n"/>
      <c r="K6" s="14" t="n"/>
      <c r="L6" s="15" t="n"/>
      <c r="M6" s="14" t="n"/>
      <c r="N6" s="15" t="n"/>
      <c r="O6" s="14" t="n"/>
      <c r="P6" s="15" t="n"/>
      <c r="Q6" s="14" t="n"/>
      <c r="R6" s="15" t="n"/>
      <c r="S6" s="14" t="n"/>
      <c r="T6" s="15" t="n"/>
      <c r="U6" s="14" t="n"/>
      <c r="V6" s="16" t="n"/>
    </row>
    <row r="7" spans="1:22">
      <c r="A7" s="15" t="s">
        <v>104</v>
      </c>
      <c r="B7" s="17" t="n">
        <v>7163</v>
      </c>
      <c r="C7" s="18">
        <f>(478.0/B7*100)</f>
        <v/>
      </c>
      <c r="D7" s="19" t="n">
        <v>6685</v>
      </c>
      <c r="E7" s="18" t="n">
        <v>25.01614334</v>
      </c>
      <c r="F7" s="20" t="n">
        <v>0.72988435</v>
      </c>
      <c r="G7" s="18" t="n">
        <v>62.56857258</v>
      </c>
      <c r="H7" s="20" t="n">
        <v>0.88487633</v>
      </c>
      <c r="I7" s="18" t="n">
        <v>0.30048263</v>
      </c>
      <c r="J7" s="20" t="n">
        <v>0.07322826</v>
      </c>
      <c r="K7" s="18" t="n">
        <v>2.72895576</v>
      </c>
      <c r="L7" s="20" t="n">
        <v>0.23583161</v>
      </c>
      <c r="M7" s="18" t="s">
        <v>105</v>
      </c>
      <c r="N7" s="20" t="s">
        <v>105</v>
      </c>
      <c r="O7" s="18" t="n">
        <v>1.29179616</v>
      </c>
      <c r="P7" s="20" t="n">
        <v>0.19660017</v>
      </c>
      <c r="Q7" s="18" t="n">
        <v>0.008298460000000001</v>
      </c>
      <c r="R7" s="20" t="n">
        <v>0.00310206</v>
      </c>
      <c r="S7" s="18" t="n">
        <v>0</v>
      </c>
      <c r="T7" s="20" t="n">
        <v>0</v>
      </c>
      <c r="U7" s="18" t="n">
        <v>8.085751050000001</v>
      </c>
      <c r="V7" s="20" t="n">
        <v>0.42952501</v>
      </c>
    </row>
    <row r="8" spans="1:22">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c r="S8" s="21" t="s">
        <v>107</v>
      </c>
      <c r="T8" s="22" t="s">
        <v>107</v>
      </c>
      <c r="U8" s="21" t="s">
        <v>107</v>
      </c>
      <c r="V8" s="22" t="s">
        <v>107</v>
      </c>
    </row>
    <row r="9" spans="1:22">
      <c r="A9" s="15" t="s">
        <v>108</v>
      </c>
      <c r="B9" s="17" t="n">
        <v>2795</v>
      </c>
      <c r="C9" s="18">
        <f>(2159.0/B9*100)</f>
        <v/>
      </c>
      <c r="D9" s="19" t="n">
        <v>636</v>
      </c>
      <c r="E9" s="18" t="n">
        <v>19.54041751</v>
      </c>
      <c r="F9" s="20" t="n">
        <v>1.64063373</v>
      </c>
      <c r="G9" s="18" t="n">
        <v>73.96342008000001</v>
      </c>
      <c r="H9" s="20" t="n">
        <v>1.80773873</v>
      </c>
      <c r="I9" s="18" t="n">
        <v>0</v>
      </c>
      <c r="J9" s="20" t="n">
        <v>0</v>
      </c>
      <c r="K9" s="18" t="n">
        <v>2.52092824</v>
      </c>
      <c r="L9" s="20" t="n">
        <v>0.43580545</v>
      </c>
      <c r="M9" s="18" t="s">
        <v>105</v>
      </c>
      <c r="N9" s="20" t="s">
        <v>105</v>
      </c>
      <c r="O9" s="18" t="n">
        <v>0.63773739</v>
      </c>
      <c r="P9" s="20" t="n">
        <v>0.31772061</v>
      </c>
      <c r="Q9" s="18" t="n">
        <v>0.80563976</v>
      </c>
      <c r="R9" s="20" t="n">
        <v>0.31064017</v>
      </c>
      <c r="S9" s="18" t="n">
        <v>0</v>
      </c>
      <c r="T9" s="20" t="n">
        <v>0</v>
      </c>
      <c r="U9" s="18" t="n">
        <v>2.53185702</v>
      </c>
      <c r="V9" s="20" t="n">
        <v>0.44376923</v>
      </c>
    </row>
    <row r="10" spans="1:22">
      <c r="A10" s="15" t="s">
        <v>109</v>
      </c>
      <c r="B10" s="17" t="n">
        <v>6602</v>
      </c>
      <c r="C10" s="18">
        <f>(5016.0/B10*100)</f>
        <v/>
      </c>
      <c r="D10" s="19" t="n">
        <v>1586</v>
      </c>
      <c r="E10" s="18" t="n">
        <v>21.60603626</v>
      </c>
      <c r="F10" s="20" t="n">
        <v>1.62818285</v>
      </c>
      <c r="G10" s="18" t="n">
        <v>70.82442168</v>
      </c>
      <c r="H10" s="20" t="n">
        <v>1.65925076</v>
      </c>
      <c r="I10" s="18" t="n">
        <v>0.60989463</v>
      </c>
      <c r="J10" s="20" t="n">
        <v>0.24742867</v>
      </c>
      <c r="K10" s="18" t="n">
        <v>3.86652916</v>
      </c>
      <c r="L10" s="20" t="n">
        <v>0.65580504</v>
      </c>
      <c r="M10" s="18" t="s">
        <v>105</v>
      </c>
      <c r="N10" s="20" t="s">
        <v>105</v>
      </c>
      <c r="O10" s="18" t="n">
        <v>0.12827447</v>
      </c>
      <c r="P10" s="20" t="n">
        <v>0.04976885</v>
      </c>
      <c r="Q10" s="18" t="n">
        <v>0.2207543</v>
      </c>
      <c r="R10" s="20" t="n">
        <v>0.18727255</v>
      </c>
      <c r="S10" s="18" t="n">
        <v>0</v>
      </c>
      <c r="T10" s="20" t="n">
        <v>0</v>
      </c>
      <c r="U10" s="18" t="n">
        <v>2.7440895</v>
      </c>
      <c r="V10" s="20" t="n">
        <v>0.63789957</v>
      </c>
    </row>
    <row r="11" spans="1:22">
      <c r="A11" s="15" t="s">
        <v>110</v>
      </c>
      <c r="B11" s="17" t="n">
        <v>3500</v>
      </c>
      <c r="C11" s="18">
        <f>(2615.0/B11*100)</f>
        <v/>
      </c>
      <c r="D11" s="19" t="n">
        <v>885</v>
      </c>
      <c r="E11" s="18" t="n">
        <v>30.55985978</v>
      </c>
      <c r="F11" s="20" t="n">
        <v>2.31389329</v>
      </c>
      <c r="G11" s="18" t="n">
        <v>46.88740176</v>
      </c>
      <c r="H11" s="20" t="n">
        <v>2.58419048</v>
      </c>
      <c r="I11" s="18" t="n">
        <v>1.65268461</v>
      </c>
      <c r="J11" s="20" t="n">
        <v>0.54152574</v>
      </c>
      <c r="K11" s="18" t="n">
        <v>6.66097665</v>
      </c>
      <c r="L11" s="20" t="n">
        <v>0.96559412</v>
      </c>
      <c r="M11" s="18" t="s">
        <v>105</v>
      </c>
      <c r="N11" s="20" t="s">
        <v>105</v>
      </c>
      <c r="O11" s="18" t="n">
        <v>1.62119925</v>
      </c>
      <c r="P11" s="20" t="n">
        <v>0.5334127</v>
      </c>
      <c r="Q11" s="18" t="n">
        <v>0.08333441</v>
      </c>
      <c r="R11" s="20" t="n">
        <v>0.06411187</v>
      </c>
      <c r="S11" s="18" t="n">
        <v>0</v>
      </c>
      <c r="T11" s="20" t="n">
        <v>0</v>
      </c>
      <c r="U11" s="18" t="n">
        <v>12.53454354</v>
      </c>
      <c r="V11" s="20" t="n">
        <v>1.34677658</v>
      </c>
    </row>
    <row r="12" spans="1:22">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c r="S12" s="21" t="s">
        <v>107</v>
      </c>
      <c r="T12" s="22" t="s">
        <v>107</v>
      </c>
      <c r="U12" s="21" t="s">
        <v>107</v>
      </c>
      <c r="V12" s="22" t="s">
        <v>107</v>
      </c>
    </row>
    <row r="13" spans="1:22">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c r="S13" s="21" t="s">
        <v>107</v>
      </c>
      <c r="T13" s="22" t="s">
        <v>107</v>
      </c>
      <c r="U13" s="21" t="s">
        <v>107</v>
      </c>
      <c r="V13" s="22" t="s">
        <v>107</v>
      </c>
    </row>
    <row r="14" spans="1:22">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c r="S14" s="21" t="s">
        <v>107</v>
      </c>
      <c r="T14" s="22" t="s">
        <v>107</v>
      </c>
      <c r="U14" s="21" t="s">
        <v>107</v>
      </c>
      <c r="V14" s="22" t="s">
        <v>107</v>
      </c>
    </row>
    <row r="15" spans="1:22">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c r="S15" s="21" t="s">
        <v>107</v>
      </c>
      <c r="T15" s="22" t="s">
        <v>107</v>
      </c>
      <c r="U15" s="21" t="s">
        <v>107</v>
      </c>
      <c r="V15" s="22" t="s">
        <v>107</v>
      </c>
    </row>
    <row r="16" spans="1:22">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c r="S16" s="21" t="s">
        <v>107</v>
      </c>
      <c r="T16" s="22" t="s">
        <v>107</v>
      </c>
      <c r="U16" s="21" t="s">
        <v>107</v>
      </c>
      <c r="V16" s="22" t="s">
        <v>107</v>
      </c>
    </row>
    <row r="17" spans="1:22">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c r="S17" s="21" t="s">
        <v>107</v>
      </c>
      <c r="T17" s="22" t="s">
        <v>107</v>
      </c>
      <c r="U17" s="21" t="s">
        <v>107</v>
      </c>
      <c r="V17" s="22" t="s">
        <v>107</v>
      </c>
    </row>
    <row r="18" spans="1:22">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c r="S18" s="21" t="s">
        <v>107</v>
      </c>
      <c r="T18" s="22" t="s">
        <v>107</v>
      </c>
      <c r="U18" s="21" t="s">
        <v>107</v>
      </c>
      <c r="V18" s="22" t="s">
        <v>107</v>
      </c>
    </row>
    <row r="19" spans="1:22">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c r="S19" s="21" t="s">
        <v>107</v>
      </c>
      <c r="T19" s="22" t="s">
        <v>107</v>
      </c>
      <c r="U19" s="21" t="s">
        <v>107</v>
      </c>
      <c r="V19" s="22" t="s">
        <v>107</v>
      </c>
    </row>
    <row r="20" spans="1:22">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c r="S20" s="21" t="s">
        <v>107</v>
      </c>
      <c r="T20" s="22" t="s">
        <v>107</v>
      </c>
      <c r="U20" s="21" t="s">
        <v>107</v>
      </c>
      <c r="V20" s="22" t="s">
        <v>107</v>
      </c>
    </row>
    <row r="21" spans="1:22">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c r="S21" s="21" t="s">
        <v>107</v>
      </c>
      <c r="T21" s="22" t="s">
        <v>107</v>
      </c>
      <c r="U21" s="21" t="s">
        <v>107</v>
      </c>
      <c r="V21" s="22" t="s">
        <v>107</v>
      </c>
    </row>
    <row r="22" spans="1:22">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c r="S22" s="21" t="s">
        <v>107</v>
      </c>
      <c r="T22" s="22" t="s">
        <v>107</v>
      </c>
      <c r="U22" s="21" t="s">
        <v>107</v>
      </c>
      <c r="V22" s="22" t="s">
        <v>107</v>
      </c>
    </row>
    <row r="23" spans="1:22">
      <c r="A23" s="15" t="s">
        <v>122</v>
      </c>
      <c r="B23" s="17" t="n">
        <v>5792</v>
      </c>
      <c r="C23" s="18">
        <f>(4465.0/B23*100)</f>
        <v/>
      </c>
      <c r="D23" s="19" t="n">
        <v>1327</v>
      </c>
      <c r="E23" s="18" t="n">
        <v>30.27318067</v>
      </c>
      <c r="F23" s="20" t="n">
        <v>1.89917632</v>
      </c>
      <c r="G23" s="18" t="n">
        <v>53.27607845</v>
      </c>
      <c r="H23" s="20" t="n">
        <v>2.14001159</v>
      </c>
      <c r="I23" s="18" t="n">
        <v>2.71630431</v>
      </c>
      <c r="J23" s="20" t="n">
        <v>0.6089640200000001</v>
      </c>
      <c r="K23" s="18" t="n">
        <v>2.8693727</v>
      </c>
      <c r="L23" s="20" t="n">
        <v>0.93117026</v>
      </c>
      <c r="M23" s="18" t="s">
        <v>105</v>
      </c>
      <c r="N23" s="20" t="s">
        <v>105</v>
      </c>
      <c r="O23" s="18" t="n">
        <v>0.76467341</v>
      </c>
      <c r="P23" s="20" t="n">
        <v>0.30301001</v>
      </c>
      <c r="Q23" s="18" t="n">
        <v>0</v>
      </c>
      <c r="R23" s="20" t="n">
        <v>0</v>
      </c>
      <c r="S23" s="18" t="n">
        <v>0</v>
      </c>
      <c r="T23" s="20" t="n">
        <v>0</v>
      </c>
      <c r="U23" s="18" t="n">
        <v>10.10039046</v>
      </c>
      <c r="V23" s="20" t="n">
        <v>1.64164</v>
      </c>
    </row>
    <row r="24" spans="1:22">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c r="S24" s="21" t="s">
        <v>107</v>
      </c>
      <c r="T24" s="22" t="s">
        <v>107</v>
      </c>
      <c r="U24" s="21" t="s">
        <v>107</v>
      </c>
      <c r="V24" s="22" t="s">
        <v>107</v>
      </c>
    </row>
    <row r="25" spans="1:22">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c r="S25" s="21" t="s">
        <v>107</v>
      </c>
      <c r="T25" s="22" t="s">
        <v>107</v>
      </c>
      <c r="U25" s="21" t="s">
        <v>107</v>
      </c>
      <c r="V25" s="22" t="s">
        <v>107</v>
      </c>
    </row>
    <row r="26" spans="1:22">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c r="S26" s="21" t="s">
        <v>107</v>
      </c>
      <c r="T26" s="22" t="s">
        <v>107</v>
      </c>
      <c r="U26" s="21" t="s">
        <v>107</v>
      </c>
      <c r="V26" s="22" t="s">
        <v>107</v>
      </c>
    </row>
    <row r="27" spans="1:22">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c r="S27" s="21" t="s">
        <v>107</v>
      </c>
      <c r="T27" s="22" t="s">
        <v>107</v>
      </c>
      <c r="U27" s="21" t="s">
        <v>107</v>
      </c>
      <c r="V27" s="22" t="s">
        <v>107</v>
      </c>
    </row>
    <row r="28" spans="1:22">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c r="S28" s="21" t="s">
        <v>107</v>
      </c>
      <c r="T28" s="22" t="s">
        <v>107</v>
      </c>
      <c r="U28" s="21" t="s">
        <v>107</v>
      </c>
      <c r="V28" s="22" t="s">
        <v>107</v>
      </c>
    </row>
    <row r="29" spans="1:22">
      <c r="A29" s="15" t="s">
        <v>128</v>
      </c>
      <c r="B29" s="17" t="n">
        <v>2700</v>
      </c>
      <c r="C29" s="18">
        <f>(2020.0/B29*100)</f>
        <v/>
      </c>
      <c r="D29" s="19" t="n">
        <v>680</v>
      </c>
      <c r="E29" s="18" t="n">
        <v>31.8290074</v>
      </c>
      <c r="F29" s="20" t="n">
        <v>1.90182975</v>
      </c>
      <c r="G29" s="18" t="n">
        <v>61.84853711</v>
      </c>
      <c r="H29" s="20" t="n">
        <v>1.86100769</v>
      </c>
      <c r="I29" s="18" t="n">
        <v>0.35745501</v>
      </c>
      <c r="J29" s="20" t="n">
        <v>0.19898153</v>
      </c>
      <c r="K29" s="18" t="n">
        <v>2.15685758</v>
      </c>
      <c r="L29" s="20" t="n">
        <v>0.5594338800000001</v>
      </c>
      <c r="M29" s="18" t="s">
        <v>105</v>
      </c>
      <c r="N29" s="20" t="s">
        <v>105</v>
      </c>
      <c r="O29" s="18" t="n">
        <v>0.12826646</v>
      </c>
      <c r="P29" s="20" t="n">
        <v>0.13672156</v>
      </c>
      <c r="Q29" s="18" t="n">
        <v>0</v>
      </c>
      <c r="R29" s="20" t="n">
        <v>0</v>
      </c>
      <c r="S29" s="18" t="n">
        <v>0</v>
      </c>
      <c r="T29" s="20" t="n">
        <v>0</v>
      </c>
      <c r="U29" s="18" t="n">
        <v>3.67987644</v>
      </c>
      <c r="V29" s="20" t="n">
        <v>0.64531111</v>
      </c>
    </row>
    <row r="30" spans="1:22">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c r="S30" s="21" t="s">
        <v>107</v>
      </c>
      <c r="T30" s="22" t="s">
        <v>107</v>
      </c>
      <c r="U30" s="21" t="s">
        <v>107</v>
      </c>
      <c r="V30" s="22" t="s">
        <v>107</v>
      </c>
    </row>
    <row r="31" spans="1:22">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c r="S31" s="21" t="s">
        <v>107</v>
      </c>
      <c r="T31" s="22" t="s">
        <v>107</v>
      </c>
      <c r="U31" s="21" t="s">
        <v>107</v>
      </c>
      <c r="V31" s="22" t="s">
        <v>107</v>
      </c>
    </row>
    <row r="32" spans="1:22">
      <c r="A32" s="15" t="s">
        <v>131</v>
      </c>
      <c r="B32" s="17" t="n">
        <v>2209</v>
      </c>
      <c r="C32" s="18">
        <f>(1358.0/B32*100)</f>
        <v/>
      </c>
      <c r="D32" s="19" t="n">
        <v>851</v>
      </c>
      <c r="E32" s="18" t="n">
        <v>30.39434359</v>
      </c>
      <c r="F32" s="20" t="n">
        <v>1.67597989</v>
      </c>
      <c r="G32" s="18" t="n">
        <v>59.58739569</v>
      </c>
      <c r="H32" s="20" t="n">
        <v>1.99287973</v>
      </c>
      <c r="I32" s="18" t="n">
        <v>0.10567321</v>
      </c>
      <c r="J32" s="20" t="n">
        <v>0.10403208</v>
      </c>
      <c r="K32" s="18" t="n">
        <v>0.63425216</v>
      </c>
      <c r="L32" s="20" t="n">
        <v>0.30465481</v>
      </c>
      <c r="M32" s="18" t="s">
        <v>105</v>
      </c>
      <c r="N32" s="20" t="s">
        <v>105</v>
      </c>
      <c r="O32" s="18" t="n">
        <v>0.2455226</v>
      </c>
      <c r="P32" s="20" t="n">
        <v>0.18158827</v>
      </c>
      <c r="Q32" s="18" t="n">
        <v>0.49865881</v>
      </c>
      <c r="R32" s="20" t="n">
        <v>0.53197593</v>
      </c>
      <c r="S32" s="18" t="n">
        <v>0</v>
      </c>
      <c r="T32" s="20" t="n">
        <v>0</v>
      </c>
      <c r="U32" s="18" t="n">
        <v>8.534153939999999</v>
      </c>
      <c r="V32" s="20" t="n">
        <v>1.02895658</v>
      </c>
    </row>
    <row r="33" spans="1:22">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c r="S33" s="21" t="s">
        <v>107</v>
      </c>
      <c r="T33" s="22" t="s">
        <v>107</v>
      </c>
      <c r="U33" s="21" t="s">
        <v>107</v>
      </c>
      <c r="V33" s="22" t="s">
        <v>107</v>
      </c>
    </row>
    <row r="34" spans="1:22">
      <c r="A34" s="15" t="s">
        <v>133</v>
      </c>
      <c r="B34" s="17" t="n">
        <v>3035</v>
      </c>
      <c r="C34" s="18">
        <f>(2318.0/B34*100)</f>
        <v/>
      </c>
      <c r="D34" s="19" t="n">
        <v>717</v>
      </c>
      <c r="E34" s="18" t="n">
        <v>46.20806071</v>
      </c>
      <c r="F34" s="20" t="n">
        <v>1.70775295</v>
      </c>
      <c r="G34" s="18" t="n">
        <v>37.58601297</v>
      </c>
      <c r="H34" s="20" t="n">
        <v>1.88797564</v>
      </c>
      <c r="I34" s="18" t="n">
        <v>0</v>
      </c>
      <c r="J34" s="20" t="n">
        <v>0</v>
      </c>
      <c r="K34" s="18" t="n">
        <v>2.0018199</v>
      </c>
      <c r="L34" s="20" t="n">
        <v>0.49811772</v>
      </c>
      <c r="M34" s="18" t="s">
        <v>105</v>
      </c>
      <c r="N34" s="20" t="s">
        <v>105</v>
      </c>
      <c r="O34" s="18" t="n">
        <v>1.1207711</v>
      </c>
      <c r="P34" s="20" t="n">
        <v>0.3749071</v>
      </c>
      <c r="Q34" s="18" t="n">
        <v>0</v>
      </c>
      <c r="R34" s="20" t="n">
        <v>0</v>
      </c>
      <c r="S34" s="18" t="n">
        <v>0</v>
      </c>
      <c r="T34" s="20" t="n">
        <v>0</v>
      </c>
      <c r="U34" s="18" t="n">
        <v>13.08333531</v>
      </c>
      <c r="V34" s="20" t="n">
        <v>1.1837049</v>
      </c>
    </row>
    <row r="35" spans="1:22">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c r="S35" s="21" t="s">
        <v>107</v>
      </c>
      <c r="T35" s="22" t="s">
        <v>107</v>
      </c>
      <c r="U35" s="21" t="s">
        <v>107</v>
      </c>
      <c r="V35" s="22" t="s">
        <v>107</v>
      </c>
    </row>
    <row r="36" spans="1:22">
      <c r="A36" s="15" t="s">
        <v>135</v>
      </c>
      <c r="B36" s="17" t="n">
        <v>3404</v>
      </c>
      <c r="C36" s="18">
        <f>(2547.0/B36*100)</f>
        <v/>
      </c>
      <c r="D36" s="19" t="n">
        <v>857</v>
      </c>
      <c r="E36" s="18" t="n">
        <v>34.48691395</v>
      </c>
      <c r="F36" s="20" t="n">
        <v>1.79460241</v>
      </c>
      <c r="G36" s="18" t="n">
        <v>51.69236722</v>
      </c>
      <c r="H36" s="20" t="n">
        <v>1.85668169</v>
      </c>
      <c r="I36" s="18" t="n">
        <v>2.37845256</v>
      </c>
      <c r="J36" s="20" t="n">
        <v>0.59400011</v>
      </c>
      <c r="K36" s="18" t="n">
        <v>3.00587712</v>
      </c>
      <c r="L36" s="20" t="n">
        <v>0.59587272</v>
      </c>
      <c r="M36" s="18" t="s">
        <v>105</v>
      </c>
      <c r="N36" s="20" t="s">
        <v>105</v>
      </c>
      <c r="O36" s="18" t="n">
        <v>0.20846934</v>
      </c>
      <c r="P36" s="20" t="n">
        <v>0.15938697</v>
      </c>
      <c r="Q36" s="18" t="n">
        <v>0</v>
      </c>
      <c r="R36" s="20" t="n">
        <v>0</v>
      </c>
      <c r="S36" s="18" t="n">
        <v>0</v>
      </c>
      <c r="T36" s="20" t="n">
        <v>0</v>
      </c>
      <c r="U36" s="18" t="n">
        <v>8.22791981</v>
      </c>
      <c r="V36" s="20" t="n">
        <v>0.85297442</v>
      </c>
    </row>
    <row r="37" spans="1:22">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c r="S37" s="21" t="s">
        <v>107</v>
      </c>
      <c r="T37" s="22" t="s">
        <v>107</v>
      </c>
      <c r="U37" s="21" t="s">
        <v>107</v>
      </c>
      <c r="V37" s="22" t="s">
        <v>107</v>
      </c>
    </row>
    <row r="38" spans="1:22">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c r="S38" s="21" t="s">
        <v>107</v>
      </c>
      <c r="T38" s="22" t="s">
        <v>107</v>
      </c>
      <c r="U38" s="21" t="s">
        <v>107</v>
      </c>
      <c r="V38" s="22" t="s">
        <v>107</v>
      </c>
    </row>
    <row r="39" spans="1:22">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c r="S39" s="21" t="s">
        <v>107</v>
      </c>
      <c r="T39" s="22" t="s">
        <v>107</v>
      </c>
      <c r="U39" s="21" t="s">
        <v>107</v>
      </c>
      <c r="V39" s="22" t="s">
        <v>107</v>
      </c>
    </row>
    <row r="40" spans="1:22">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c r="S40" s="21" t="s">
        <v>107</v>
      </c>
      <c r="T40" s="22" t="s">
        <v>107</v>
      </c>
      <c r="U40" s="21" t="s">
        <v>107</v>
      </c>
      <c r="V40" s="22" t="s">
        <v>107</v>
      </c>
    </row>
    <row r="41" spans="1:22">
      <c r="A41" s="15" t="s">
        <v>140</v>
      </c>
      <c r="B41" s="17" t="n">
        <v>2854</v>
      </c>
      <c r="C41" s="18">
        <f>(2140.0/B41*100)</f>
        <v/>
      </c>
      <c r="D41" s="19" t="n">
        <v>714</v>
      </c>
      <c r="E41" s="18" t="n">
        <v>26.66568256</v>
      </c>
      <c r="F41" s="20" t="n">
        <v>1.86132583</v>
      </c>
      <c r="G41" s="18" t="n">
        <v>62.09360581</v>
      </c>
      <c r="H41" s="20" t="n">
        <v>2.17747427</v>
      </c>
      <c r="I41" s="18" t="n">
        <v>0.52289443</v>
      </c>
      <c r="J41" s="20" t="n">
        <v>0.25541504</v>
      </c>
      <c r="K41" s="18" t="n">
        <v>6.14161414</v>
      </c>
      <c r="L41" s="20" t="n">
        <v>0.79501947</v>
      </c>
      <c r="M41" s="18" t="s">
        <v>105</v>
      </c>
      <c r="N41" s="20" t="s">
        <v>105</v>
      </c>
      <c r="O41" s="18" t="n">
        <v>0.13751332</v>
      </c>
      <c r="P41" s="20" t="n">
        <v>0.13714369</v>
      </c>
      <c r="Q41" s="18" t="n">
        <v>0</v>
      </c>
      <c r="R41" s="20" t="n">
        <v>0</v>
      </c>
      <c r="S41" s="18" t="n">
        <v>0</v>
      </c>
      <c r="T41" s="20" t="n">
        <v>0</v>
      </c>
      <c r="U41" s="18" t="n">
        <v>4.43868974</v>
      </c>
      <c r="V41" s="20" t="n">
        <v>0.83739105</v>
      </c>
    </row>
    <row r="42" spans="1:22">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row>
    <row r="43" spans="1:22">
      <c r="A43" s="13" t="s">
        <v>142</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6" t="n"/>
    </row>
    <row r="44" spans="1:22">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c r="S44" s="21" t="s">
        <v>107</v>
      </c>
      <c r="T44" s="22" t="s">
        <v>107</v>
      </c>
      <c r="U44" s="21" t="s">
        <v>107</v>
      </c>
      <c r="V44" s="22" t="s">
        <v>107</v>
      </c>
    </row>
    <row r="45" spans="1:22">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c r="S45" s="21" t="s">
        <v>107</v>
      </c>
      <c r="T45" s="22" t="s">
        <v>107</v>
      </c>
      <c r="U45" s="21" t="s">
        <v>107</v>
      </c>
      <c r="V45" s="22" t="s">
        <v>107</v>
      </c>
    </row>
    <row r="46" spans="1:22">
      <c r="A46" s="15" t="s">
        <v>145</v>
      </c>
      <c r="B46" s="17" t="n">
        <v>12073</v>
      </c>
      <c r="C46" s="18">
        <f>(9776.0/B46*100)</f>
        <v/>
      </c>
      <c r="D46" s="19" t="n">
        <v>2297</v>
      </c>
      <c r="E46" s="18" t="n">
        <v>32.05551604</v>
      </c>
      <c r="F46" s="20" t="n">
        <v>1.40781053</v>
      </c>
      <c r="G46" s="18" t="n">
        <v>26.24771179</v>
      </c>
      <c r="H46" s="20" t="n">
        <v>1.42865162</v>
      </c>
      <c r="I46" s="18" t="n">
        <v>0.62304288</v>
      </c>
      <c r="J46" s="20" t="n">
        <v>0.27174334</v>
      </c>
      <c r="K46" s="18" t="n">
        <v>10.80979031</v>
      </c>
      <c r="L46" s="20" t="n">
        <v>0.90814189</v>
      </c>
      <c r="M46" s="18" t="s">
        <v>105</v>
      </c>
      <c r="N46" s="20" t="s">
        <v>105</v>
      </c>
      <c r="O46" s="18" t="n">
        <v>5.70555609</v>
      </c>
      <c r="P46" s="20" t="n">
        <v>0.76897815</v>
      </c>
      <c r="Q46" s="18" t="n">
        <v>0</v>
      </c>
      <c r="R46" s="20" t="n">
        <v>0</v>
      </c>
      <c r="S46" s="18" t="n">
        <v>0</v>
      </c>
      <c r="T46" s="20" t="n">
        <v>0</v>
      </c>
      <c r="U46" s="18" t="n">
        <v>24.55838289</v>
      </c>
      <c r="V46" s="20" t="n">
        <v>1.39605796</v>
      </c>
    </row>
    <row r="47" spans="1:22">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c r="S47" s="21" t="s">
        <v>107</v>
      </c>
      <c r="T47" s="22" t="s">
        <v>107</v>
      </c>
      <c r="U47" s="21" t="s">
        <v>107</v>
      </c>
      <c r="V47" s="22" t="s">
        <v>107</v>
      </c>
    </row>
    <row r="48" spans="1:22">
      <c r="A48" s="15" t="s">
        <v>147</v>
      </c>
      <c r="B48" s="17" t="n">
        <v>4682</v>
      </c>
      <c r="C48" s="18">
        <f>(3497.0/B48*100)</f>
        <v/>
      </c>
      <c r="D48" s="19" t="n">
        <v>1185</v>
      </c>
      <c r="E48" s="18" t="n">
        <v>20.60877155</v>
      </c>
      <c r="F48" s="20" t="n">
        <v>1.36228054</v>
      </c>
      <c r="G48" s="18" t="n">
        <v>70.88840958999999</v>
      </c>
      <c r="H48" s="20" t="n">
        <v>1.84785694</v>
      </c>
      <c r="I48" s="18" t="n">
        <v>5.18986751</v>
      </c>
      <c r="J48" s="20" t="n">
        <v>1.02242887</v>
      </c>
      <c r="K48" s="18" t="n">
        <v>0.12268555</v>
      </c>
      <c r="L48" s="20" t="n">
        <v>0.12311348</v>
      </c>
      <c r="M48" s="18" t="s">
        <v>105</v>
      </c>
      <c r="N48" s="20" t="s">
        <v>105</v>
      </c>
      <c r="O48" s="18" t="n">
        <v>0.06499758999999999</v>
      </c>
      <c r="P48" s="20" t="n">
        <v>0.06517339</v>
      </c>
      <c r="Q48" s="18" t="n">
        <v>0</v>
      </c>
      <c r="R48" s="20" t="n">
        <v>0</v>
      </c>
      <c r="S48" s="18" t="n">
        <v>0</v>
      </c>
      <c r="T48" s="20" t="n">
        <v>0</v>
      </c>
      <c r="U48" s="18" t="n">
        <v>3.12526821</v>
      </c>
      <c r="V48" s="20" t="n">
        <v>0.78427097</v>
      </c>
    </row>
    <row r="49" spans="1:22">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c r="S49" s="21" t="s">
        <v>107</v>
      </c>
      <c r="T49" s="22" t="s">
        <v>107</v>
      </c>
      <c r="U49" s="21" t="s">
        <v>107</v>
      </c>
      <c r="V49" s="22" t="s">
        <v>107</v>
      </c>
    </row>
    <row r="50" spans="1:22">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c r="S50" s="21" t="s">
        <v>107</v>
      </c>
      <c r="T50" s="22" t="s">
        <v>107</v>
      </c>
      <c r="U50" s="21" t="s">
        <v>107</v>
      </c>
      <c r="V50" s="22" t="s">
        <v>107</v>
      </c>
    </row>
    <row r="51" spans="1:22">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c r="S51" s="21" t="s">
        <v>107</v>
      </c>
      <c r="T51" s="22" t="s">
        <v>107</v>
      </c>
      <c r="U51" s="21" t="s">
        <v>107</v>
      </c>
      <c r="V51" s="22" t="s">
        <v>107</v>
      </c>
    </row>
    <row r="52" spans="1:22">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c r="S52" s="21" t="s">
        <v>107</v>
      </c>
      <c r="T52" s="22" t="s">
        <v>107</v>
      </c>
      <c r="U52" s="21" t="s">
        <v>107</v>
      </c>
      <c r="V52" s="22" t="s">
        <v>107</v>
      </c>
    </row>
    <row r="53" spans="1:22">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c r="S53" s="21" t="s">
        <v>107</v>
      </c>
      <c r="T53" s="22" t="s">
        <v>107</v>
      </c>
      <c r="U53" s="21" t="s">
        <v>107</v>
      </c>
      <c r="V53" s="22" t="s">
        <v>107</v>
      </c>
    </row>
    <row r="54" spans="1:22">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c r="S54" s="21" t="s">
        <v>107</v>
      </c>
      <c r="T54" s="22" t="s">
        <v>107</v>
      </c>
      <c r="U54" s="21" t="s">
        <v>107</v>
      </c>
      <c r="V54" s="22" t="s">
        <v>107</v>
      </c>
    </row>
    <row r="55" spans="1:22">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c r="S55" s="21" t="s">
        <v>107</v>
      </c>
      <c r="T55" s="22" t="s">
        <v>107</v>
      </c>
      <c r="U55" s="21" t="s">
        <v>107</v>
      </c>
      <c r="V55" s="22" t="s">
        <v>107</v>
      </c>
    </row>
    <row r="56" spans="1:22">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c r="S56" s="21" t="s">
        <v>107</v>
      </c>
      <c r="T56" s="22" t="s">
        <v>107</v>
      </c>
      <c r="U56" s="21" t="s">
        <v>107</v>
      </c>
      <c r="V56" s="22" t="s">
        <v>107</v>
      </c>
    </row>
    <row r="57" spans="1:22">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c r="S57" s="21" t="s">
        <v>107</v>
      </c>
      <c r="T57" s="22" t="s">
        <v>107</v>
      </c>
      <c r="U57" s="21" t="s">
        <v>107</v>
      </c>
      <c r="V57" s="22" t="s">
        <v>107</v>
      </c>
    </row>
    <row r="58" spans="1:22">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c r="S58" s="21" t="s">
        <v>107</v>
      </c>
      <c r="T58" s="22" t="s">
        <v>107</v>
      </c>
      <c r="U58" s="21" t="s">
        <v>107</v>
      </c>
      <c r="V58" s="22" t="s">
        <v>107</v>
      </c>
    </row>
    <row r="59" spans="1:22">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c r="S59" s="21" t="s">
        <v>107</v>
      </c>
      <c r="T59" s="22" t="s">
        <v>107</v>
      </c>
      <c r="U59" s="21" t="s">
        <v>107</v>
      </c>
      <c r="V59" s="22" t="s">
        <v>107</v>
      </c>
    </row>
    <row r="60" spans="1:22">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c r="S60" s="21" t="s">
        <v>107</v>
      </c>
      <c r="T60" s="22" t="s">
        <v>107</v>
      </c>
      <c r="U60" s="21" t="s">
        <v>107</v>
      </c>
      <c r="V60" s="22" t="s">
        <v>107</v>
      </c>
    </row>
    <row r="61" spans="1:22">
      <c r="A61" s="15" t="s">
        <v>160</v>
      </c>
      <c r="B61" s="17" t="n">
        <v>3201</v>
      </c>
      <c r="C61" s="18">
        <f>(2358.0/B61*100)</f>
        <v/>
      </c>
      <c r="D61" s="19" t="n">
        <v>843</v>
      </c>
      <c r="E61" s="18" t="n">
        <v>29.99850347</v>
      </c>
      <c r="F61" s="20" t="n">
        <v>1.47881864</v>
      </c>
      <c r="G61" s="18" t="n">
        <v>52.81056531</v>
      </c>
      <c r="H61" s="20" t="n">
        <v>2.15382346</v>
      </c>
      <c r="I61" s="18" t="n">
        <v>0.47272502</v>
      </c>
      <c r="J61" s="20" t="n">
        <v>0.2847645</v>
      </c>
      <c r="K61" s="18" t="n">
        <v>4.51707476</v>
      </c>
      <c r="L61" s="20" t="n">
        <v>0.74398148</v>
      </c>
      <c r="M61" s="18" t="s">
        <v>105</v>
      </c>
      <c r="N61" s="20" t="s">
        <v>105</v>
      </c>
      <c r="O61" s="18" t="n">
        <v>0.58714968</v>
      </c>
      <c r="P61" s="20" t="n">
        <v>0.27481636</v>
      </c>
      <c r="Q61" s="18" t="n">
        <v>0.13915771</v>
      </c>
      <c r="R61" s="20" t="n">
        <v>0.12529582</v>
      </c>
      <c r="S61" s="18" t="n">
        <v>0</v>
      </c>
      <c r="T61" s="20" t="n">
        <v>0</v>
      </c>
      <c r="U61" s="18" t="n">
        <v>11.47482406</v>
      </c>
      <c r="V61" s="20" t="n">
        <v>1.30185388</v>
      </c>
    </row>
    <row r="62" spans="1:22">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c r="S62" s="21" t="s">
        <v>107</v>
      </c>
      <c r="T62" s="22" t="s">
        <v>107</v>
      </c>
      <c r="U62" s="21" t="s">
        <v>107</v>
      </c>
      <c r="V62" s="22" t="s">
        <v>107</v>
      </c>
    </row>
    <row r="63" spans="1:22">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c r="S63" s="21" t="s">
        <v>107</v>
      </c>
      <c r="T63" s="22" t="s">
        <v>107</v>
      </c>
      <c r="U63" s="21" t="s">
        <v>107</v>
      </c>
      <c r="V63" s="22" t="s">
        <v>107</v>
      </c>
    </row>
    <row r="64" spans="1:22">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c r="S64" s="21" t="s">
        <v>107</v>
      </c>
      <c r="T64" s="22" t="s">
        <v>107</v>
      </c>
      <c r="U64" s="21" t="s">
        <v>107</v>
      </c>
      <c r="V64" s="22" t="s">
        <v>107</v>
      </c>
    </row>
    <row r="65" spans="1:22">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c r="S65" s="21" t="s">
        <v>107</v>
      </c>
      <c r="T65" s="22" t="s">
        <v>107</v>
      </c>
      <c r="U65" s="21" t="s">
        <v>107</v>
      </c>
      <c r="V65" s="22" t="s">
        <v>107</v>
      </c>
    </row>
    <row r="66" spans="1:22">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c r="S66" s="21" t="s">
        <v>107</v>
      </c>
      <c r="T66" s="22" t="s">
        <v>107</v>
      </c>
      <c r="U66" s="21" t="s">
        <v>107</v>
      </c>
      <c r="V66" s="22" t="s">
        <v>107</v>
      </c>
    </row>
    <row r="67" spans="1:22">
      <c r="A67" s="15" t="s">
        <v>166</v>
      </c>
      <c r="B67" s="17" t="n">
        <v>3460</v>
      </c>
      <c r="C67" s="18">
        <f>(2684.0/B67*100)</f>
        <v/>
      </c>
      <c r="D67" s="19" t="n">
        <v>776</v>
      </c>
      <c r="E67" s="18" t="n">
        <v>47.27209392</v>
      </c>
      <c r="F67" s="20" t="n">
        <v>1.82840315</v>
      </c>
      <c r="G67" s="18" t="n">
        <v>40.54908834</v>
      </c>
      <c r="H67" s="20" t="n">
        <v>1.97344787</v>
      </c>
      <c r="I67" s="18" t="n">
        <v>1.47873823</v>
      </c>
      <c r="J67" s="20" t="n">
        <v>0.43421519</v>
      </c>
      <c r="K67" s="18" t="n">
        <v>3.8729115</v>
      </c>
      <c r="L67" s="20" t="n">
        <v>0.6905258</v>
      </c>
      <c r="M67" s="18" t="s">
        <v>105</v>
      </c>
      <c r="N67" s="20" t="s">
        <v>105</v>
      </c>
      <c r="O67" s="18" t="n">
        <v>0.24602365</v>
      </c>
      <c r="P67" s="20" t="n">
        <v>0.24342811</v>
      </c>
      <c r="Q67" s="18" t="n">
        <v>0</v>
      </c>
      <c r="R67" s="20" t="n">
        <v>0</v>
      </c>
      <c r="S67" s="18" t="n">
        <v>0</v>
      </c>
      <c r="T67" s="20" t="n">
        <v>0</v>
      </c>
      <c r="U67" s="18" t="n">
        <v>6.58114436</v>
      </c>
      <c r="V67" s="20" t="n">
        <v>1.03794107</v>
      </c>
    </row>
    <row r="68" spans="1:22">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c r="S68" s="21" t="s">
        <v>107</v>
      </c>
      <c r="T68" s="22" t="s">
        <v>107</v>
      </c>
      <c r="U68" s="21" t="s">
        <v>107</v>
      </c>
      <c r="V68" s="22" t="s">
        <v>107</v>
      </c>
    </row>
    <row r="69" spans="1:22">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c r="S69" s="21" t="s">
        <v>107</v>
      </c>
      <c r="T69" s="22" t="s">
        <v>107</v>
      </c>
      <c r="U69" s="21" t="s">
        <v>107</v>
      </c>
      <c r="V69" s="22" t="s">
        <v>107</v>
      </c>
    </row>
    <row r="70" spans="1:22">
      <c r="A70" s="15" t="s">
        <v>169</v>
      </c>
      <c r="B70" s="17" t="n">
        <v>3107</v>
      </c>
      <c r="C70" s="18">
        <f>(2358.0/B70*100)</f>
        <v/>
      </c>
      <c r="D70" s="19" t="n">
        <v>749</v>
      </c>
      <c r="E70" s="18" t="n">
        <v>27.21285305</v>
      </c>
      <c r="F70" s="20" t="n">
        <v>1.74010098</v>
      </c>
      <c r="G70" s="18" t="n">
        <v>57.25782434</v>
      </c>
      <c r="H70" s="20" t="n">
        <v>2.32186185</v>
      </c>
      <c r="I70" s="18" t="n">
        <v>0.364754</v>
      </c>
      <c r="J70" s="20" t="n">
        <v>0.20050082</v>
      </c>
      <c r="K70" s="18" t="n">
        <v>4.63879947</v>
      </c>
      <c r="L70" s="20" t="n">
        <v>0.96422367</v>
      </c>
      <c r="M70" s="18" t="s">
        <v>105</v>
      </c>
      <c r="N70" s="20" t="s">
        <v>105</v>
      </c>
      <c r="O70" s="18" t="n">
        <v>2.2278934</v>
      </c>
      <c r="P70" s="20" t="n">
        <v>1.01507127</v>
      </c>
      <c r="Q70" s="18" t="n">
        <v>0</v>
      </c>
      <c r="R70" s="20" t="n">
        <v>0</v>
      </c>
      <c r="S70" s="18" t="n">
        <v>0</v>
      </c>
      <c r="T70" s="20" t="n">
        <v>0</v>
      </c>
      <c r="U70" s="18" t="n">
        <v>8.29787574</v>
      </c>
      <c r="V70" s="20" t="n">
        <v>1.41884031</v>
      </c>
    </row>
    <row r="71" spans="1:22">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c r="S71" s="21" t="s">
        <v>107</v>
      </c>
      <c r="T71" s="22" t="s">
        <v>107</v>
      </c>
      <c r="U71" s="21" t="s">
        <v>107</v>
      </c>
      <c r="V71" s="22" t="s">
        <v>107</v>
      </c>
    </row>
    <row r="72" spans="1:22">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c r="S72" s="21" t="s">
        <v>107</v>
      </c>
      <c r="T72" s="22" t="s">
        <v>107</v>
      </c>
      <c r="U72" s="21" t="s">
        <v>107</v>
      </c>
      <c r="V72" s="22" t="s">
        <v>107</v>
      </c>
    </row>
    <row r="73" spans="1:22">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c r="S73" s="21" t="s">
        <v>107</v>
      </c>
      <c r="T73" s="22" t="s">
        <v>107</v>
      </c>
      <c r="U73" s="21" t="s">
        <v>107</v>
      </c>
      <c r="V73" s="22" t="s">
        <v>107</v>
      </c>
    </row>
    <row r="74" spans="1:22">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c r="S74" s="21" t="s">
        <v>107</v>
      </c>
      <c r="T74" s="22" t="s">
        <v>107</v>
      </c>
      <c r="U74" s="21" t="s">
        <v>107</v>
      </c>
      <c r="V74" s="22" t="s">
        <v>107</v>
      </c>
    </row>
    <row r="75" spans="1:22">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c r="S75" s="21" t="s">
        <v>107</v>
      </c>
      <c r="T75" s="22" t="s">
        <v>107</v>
      </c>
      <c r="U75" s="21" t="s">
        <v>107</v>
      </c>
      <c r="V75" s="22" t="s">
        <v>107</v>
      </c>
    </row>
    <row r="76" spans="1:22">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c r="S76" s="21" t="s">
        <v>107</v>
      </c>
      <c r="T76" s="22" t="s">
        <v>107</v>
      </c>
      <c r="U76" s="21" t="s">
        <v>107</v>
      </c>
      <c r="V76" s="22" t="s">
        <v>107</v>
      </c>
    </row>
    <row r="77" spans="1:22">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c r="S77" s="21" t="s">
        <v>107</v>
      </c>
      <c r="T77" s="22" t="s">
        <v>107</v>
      </c>
      <c r="U77" s="21" t="s">
        <v>107</v>
      </c>
      <c r="V77" s="22" t="s">
        <v>107</v>
      </c>
    </row>
    <row r="78" spans="1:22">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c r="S78" s="21" t="s">
        <v>107</v>
      </c>
      <c r="T78" s="22" t="s">
        <v>107</v>
      </c>
      <c r="U78" s="21" t="s">
        <v>107</v>
      </c>
      <c r="V78" s="22" t="s">
        <v>107</v>
      </c>
    </row>
    <row customHeight="1" ht="25" r="79" spans="1:22">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c r="S79" s="21" t="s">
        <v>107</v>
      </c>
      <c r="T79" s="22" t="s">
        <v>107</v>
      </c>
      <c r="U79" s="21" t="s">
        <v>107</v>
      </c>
      <c r="V79" s="22" t="s">
        <v>107</v>
      </c>
    </row>
    <row r="80" spans="1:22">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c r="S80" s="21" t="s">
        <v>107</v>
      </c>
      <c r="T80" s="22" t="s">
        <v>107</v>
      </c>
      <c r="U80" s="21" t="s">
        <v>107</v>
      </c>
      <c r="V80" s="22" t="s">
        <v>107</v>
      </c>
    </row>
    <row r="81" spans="1:22">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c r="S81" s="21" t="s">
        <v>107</v>
      </c>
      <c r="T81" s="22" t="s">
        <v>107</v>
      </c>
      <c r="U81" s="21" t="s">
        <v>107</v>
      </c>
      <c r="V81" s="22" t="s">
        <v>107</v>
      </c>
    </row>
    <row r="82" spans="1:22">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c r="S82" s="24" t="s">
        <v>181</v>
      </c>
      <c r="T82" s="24" t="s">
        <v>181</v>
      </c>
      <c r="U82" s="24" t="s">
        <v>181</v>
      </c>
      <c r="V82" s="24" t="s">
        <v>181</v>
      </c>
    </row>
    <row r="83" spans="1:22">
      <c r="A83" s="3" t="s">
        <v>182</v>
      </c>
    </row>
    <row r="84" spans="1:22">
      <c r="A84" s="25" t="s">
        <v>183</v>
      </c>
    </row>
    <row r="85" spans="1:22">
      <c r="A85" s="25" t="s">
        <v>184</v>
      </c>
    </row>
    <row customHeight="1" ht="30" r="86" spans="1:22">
      <c r="A86" s="25" t="s">
        <v>185</v>
      </c>
    </row>
    <row customHeight="1" ht="30" r="87" spans="1:22">
      <c r="A87" s="25" t="s">
        <v>181</v>
      </c>
    </row>
    <row customHeight="1" ht="30" r="88" spans="1:22">
      <c r="A88" s="25" t="s">
        <v>186</v>
      </c>
    </row>
    <row customHeight="1" ht="30" r="89" spans="1:22">
      <c r="A89" s="25" t="s">
        <v>187</v>
      </c>
    </row>
    <row customHeight="1" ht="30" r="90" spans="1:22">
      <c r="A90" s="25" t="s">
        <v>188</v>
      </c>
    </row>
    <row customHeight="1" ht="30" r="91" spans="1:22">
      <c r="A91" s="25" t="s">
        <v>189</v>
      </c>
    </row>
    <row customHeight="1" ht="30" r="92" spans="1:22">
      <c r="A92" s="25" t="s">
        <v>190</v>
      </c>
    </row>
    <row customHeight="1" ht="30" r="93" spans="1:22">
      <c r="A93" s="25" t="s">
        <v>191</v>
      </c>
    </row>
    <row customHeight="1" ht="30" r="94" spans="1:22">
      <c r="A94" s="25" t="s">
        <v>192</v>
      </c>
    </row>
    <row customHeight="1" ht="30" r="95" spans="1:22">
      <c r="A95" s="25" t="s">
        <v>193</v>
      </c>
    </row>
    <row customHeight="1" ht="30" r="96" spans="1:22">
      <c r="A96" s="25" t="s">
        <v>194</v>
      </c>
    </row>
    <row customHeight="1" ht="30" r="97" spans="1:22">
      <c r="A97" s="25" t="s">
        <v>195</v>
      </c>
    </row>
  </sheetData>
  <mergeCells count="25">
    <mergeCell ref="E4:F4"/>
    <mergeCell ref="G4:H4"/>
    <mergeCell ref="I4:J4"/>
    <mergeCell ref="K4:L4"/>
    <mergeCell ref="M4:N4"/>
    <mergeCell ref="O4:P4"/>
    <mergeCell ref="Q4:R4"/>
    <mergeCell ref="S4:T4"/>
    <mergeCell ref="U4:V4"/>
    <mergeCell ref="A1:V1"/>
    <mergeCell ref="A2:V2"/>
    <mergeCell ref="A84:V84"/>
    <mergeCell ref="A85:V85"/>
    <mergeCell ref="A86:V86"/>
    <mergeCell ref="A87:V87"/>
    <mergeCell ref="A88:V88"/>
    <mergeCell ref="A89:V89"/>
    <mergeCell ref="A90:V90"/>
    <mergeCell ref="A91:V91"/>
    <mergeCell ref="A92:V92"/>
    <mergeCell ref="A93:V93"/>
    <mergeCell ref="A94:V94"/>
    <mergeCell ref="A95:V95"/>
    <mergeCell ref="A96:V96"/>
    <mergeCell ref="A97:V97"/>
  </mergeCells>
  <pageMargins bottom="1" footer="0.5" header="0.5" left="0.75" right="0.75" top="1"/>
</worksheet>
</file>

<file path=xl/worksheets/sheet18.xml><?xml version="1.0" encoding="utf-8"?>
<worksheet xmlns="http://schemas.openxmlformats.org/spreadsheetml/2006/main">
  <sheetPr>
    <outlinePr summaryBelow="1" summaryRight="1"/>
    <pageSetUpPr/>
  </sheetPr>
  <dimension ref="A1:V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2">
      <c r="A1" s="4" t="s">
        <v>87</v>
      </c>
    </row>
    <row r="2" spans="1:22">
      <c r="A2" s="5" t="s">
        <v>223</v>
      </c>
    </row>
    <row customHeight="1" ht="30" r="4" spans="1:22">
      <c r="A4" s="6" t="n"/>
      <c r="B4" s="7" t="s">
        <v>89</v>
      </c>
      <c r="C4" s="7" t="s">
        <v>90</v>
      </c>
      <c r="D4" s="8" t="s">
        <v>89</v>
      </c>
      <c r="E4" s="9" t="s">
        <v>202</v>
      </c>
      <c r="F4" s="10" t="n"/>
      <c r="G4" s="9" t="s">
        <v>203</v>
      </c>
      <c r="H4" s="10" t="n"/>
      <c r="I4" s="9" t="s">
        <v>204</v>
      </c>
      <c r="J4" s="10" t="n"/>
      <c r="K4" s="9" t="s">
        <v>222</v>
      </c>
      <c r="L4" s="10" t="n"/>
      <c r="M4" s="9" t="s">
        <v>93</v>
      </c>
      <c r="N4" s="10" t="n"/>
      <c r="O4" s="9" t="s">
        <v>94</v>
      </c>
      <c r="P4" s="10" t="n"/>
      <c r="Q4" s="9" t="s">
        <v>95</v>
      </c>
      <c r="R4" s="10" t="n"/>
      <c r="S4" s="9" t="s">
        <v>96</v>
      </c>
      <c r="T4" s="10" t="n"/>
      <c r="U4" s="9" t="s">
        <v>97</v>
      </c>
      <c r="V4" s="10" t="n"/>
    </row>
    <row r="5" spans="1:22">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c r="S5" s="12" t="s">
        <v>101</v>
      </c>
      <c r="T5" s="11" t="s">
        <v>102</v>
      </c>
      <c r="U5" s="12" t="s">
        <v>101</v>
      </c>
      <c r="V5" s="11" t="s">
        <v>102</v>
      </c>
    </row>
    <row r="6" spans="1:22">
      <c r="A6" s="13" t="s">
        <v>103</v>
      </c>
      <c r="B6" s="14" t="n"/>
      <c r="C6" s="14" t="n"/>
      <c r="D6" s="15" t="n"/>
      <c r="E6" s="14" t="n"/>
      <c r="F6" s="15" t="n"/>
      <c r="G6" s="14" t="n"/>
      <c r="H6" s="15" t="n"/>
      <c r="I6" s="14" t="n"/>
      <c r="J6" s="15" t="n"/>
      <c r="K6" s="14" t="n"/>
      <c r="L6" s="15" t="n"/>
      <c r="M6" s="14" t="n"/>
      <c r="N6" s="15" t="n"/>
      <c r="O6" s="14" t="n"/>
      <c r="P6" s="15" t="n"/>
      <c r="Q6" s="14" t="n"/>
      <c r="R6" s="15" t="n"/>
      <c r="S6" s="14" t="n"/>
      <c r="T6" s="15" t="n"/>
      <c r="U6" s="14" t="n"/>
      <c r="V6" s="16" t="n"/>
    </row>
    <row r="7" spans="1:22">
      <c r="A7" s="15" t="s">
        <v>104</v>
      </c>
      <c r="B7" s="17" t="n">
        <v>7163</v>
      </c>
      <c r="C7" s="18">
        <f>(527.0/B7*100)</f>
        <v/>
      </c>
      <c r="D7" s="19" t="n">
        <v>6636</v>
      </c>
      <c r="E7" s="18" t="n">
        <v>29.71886702</v>
      </c>
      <c r="F7" s="20" t="n">
        <v>0.6255341</v>
      </c>
      <c r="G7" s="18" t="n">
        <v>37.78752141</v>
      </c>
      <c r="H7" s="20" t="n">
        <v>0.72776562</v>
      </c>
      <c r="I7" s="18" t="n">
        <v>8.069805430000001</v>
      </c>
      <c r="J7" s="20" t="n">
        <v>0.42390567</v>
      </c>
      <c r="K7" s="18" t="n">
        <v>11.63747495</v>
      </c>
      <c r="L7" s="20" t="n">
        <v>0.44437106</v>
      </c>
      <c r="M7" s="18" t="s">
        <v>105</v>
      </c>
      <c r="N7" s="20" t="s">
        <v>105</v>
      </c>
      <c r="O7" s="18" t="n">
        <v>1.48611389</v>
      </c>
      <c r="P7" s="20" t="n">
        <v>0.2139023</v>
      </c>
      <c r="Q7" s="18" t="n">
        <v>0.00835049</v>
      </c>
      <c r="R7" s="20" t="n">
        <v>0.00312303</v>
      </c>
      <c r="S7" s="18" t="n">
        <v>0</v>
      </c>
      <c r="T7" s="20" t="n">
        <v>0</v>
      </c>
      <c r="U7" s="18" t="n">
        <v>11.29186681</v>
      </c>
      <c r="V7" s="20" t="n">
        <v>0.46636426</v>
      </c>
    </row>
    <row r="8" spans="1:22">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c r="S8" s="21" t="s">
        <v>107</v>
      </c>
      <c r="T8" s="22" t="s">
        <v>107</v>
      </c>
      <c r="U8" s="21" t="s">
        <v>107</v>
      </c>
      <c r="V8" s="22" t="s">
        <v>107</v>
      </c>
    </row>
    <row r="9" spans="1:22">
      <c r="A9" s="15" t="s">
        <v>108</v>
      </c>
      <c r="B9" s="17" t="n">
        <v>2795</v>
      </c>
      <c r="C9" s="18">
        <f>(2166.0/B9*100)</f>
        <v/>
      </c>
      <c r="D9" s="19" t="n">
        <v>629</v>
      </c>
      <c r="E9" s="18" t="n">
        <v>24.96282123</v>
      </c>
      <c r="F9" s="20" t="n">
        <v>1.8495688</v>
      </c>
      <c r="G9" s="18" t="n">
        <v>44.92692236</v>
      </c>
      <c r="H9" s="20" t="n">
        <v>2.00141078</v>
      </c>
      <c r="I9" s="18" t="n">
        <v>1.25597771</v>
      </c>
      <c r="J9" s="20" t="n">
        <v>0.41505949</v>
      </c>
      <c r="K9" s="18" t="n">
        <v>17.00532997</v>
      </c>
      <c r="L9" s="20" t="n">
        <v>1.54691965</v>
      </c>
      <c r="M9" s="18" t="s">
        <v>105</v>
      </c>
      <c r="N9" s="20" t="s">
        <v>105</v>
      </c>
      <c r="O9" s="18" t="n">
        <v>0.94559044</v>
      </c>
      <c r="P9" s="20" t="n">
        <v>0.38173959</v>
      </c>
      <c r="Q9" s="18" t="n">
        <v>0.81458853</v>
      </c>
      <c r="R9" s="20" t="n">
        <v>0.3140051</v>
      </c>
      <c r="S9" s="18" t="n">
        <v>0</v>
      </c>
      <c r="T9" s="20" t="n">
        <v>0</v>
      </c>
      <c r="U9" s="18" t="n">
        <v>10.08876977</v>
      </c>
      <c r="V9" s="20" t="n">
        <v>1.27206556</v>
      </c>
    </row>
    <row r="10" spans="1:22">
      <c r="A10" s="15" t="s">
        <v>109</v>
      </c>
      <c r="B10" s="17" t="n">
        <v>6602</v>
      </c>
      <c r="C10" s="18">
        <f>(5017.0/B10*100)</f>
        <v/>
      </c>
      <c r="D10" s="19" t="n">
        <v>1585</v>
      </c>
      <c r="E10" s="18" t="n">
        <v>22.64573701</v>
      </c>
      <c r="F10" s="20" t="n">
        <v>1.83861393</v>
      </c>
      <c r="G10" s="18" t="n">
        <v>43.84939222</v>
      </c>
      <c r="H10" s="20" t="n">
        <v>2.18840361</v>
      </c>
      <c r="I10" s="18" t="n">
        <v>7.05286602</v>
      </c>
      <c r="J10" s="20" t="n">
        <v>1.07538035</v>
      </c>
      <c r="K10" s="18" t="n">
        <v>18.83976445</v>
      </c>
      <c r="L10" s="20" t="n">
        <v>1.61628445</v>
      </c>
      <c r="M10" s="18" t="s">
        <v>105</v>
      </c>
      <c r="N10" s="20" t="s">
        <v>105</v>
      </c>
      <c r="O10" s="18" t="n">
        <v>0.15813424</v>
      </c>
      <c r="P10" s="20" t="n">
        <v>0.05849863</v>
      </c>
      <c r="Q10" s="18" t="n">
        <v>0.22077895</v>
      </c>
      <c r="R10" s="20" t="n">
        <v>0.18729346</v>
      </c>
      <c r="S10" s="18" t="n">
        <v>0</v>
      </c>
      <c r="T10" s="20" t="n">
        <v>0</v>
      </c>
      <c r="U10" s="18" t="n">
        <v>7.23332711</v>
      </c>
      <c r="V10" s="20" t="n">
        <v>1.00298235</v>
      </c>
    </row>
    <row r="11" spans="1:22">
      <c r="A11" s="15" t="s">
        <v>110</v>
      </c>
      <c r="B11" s="17" t="n">
        <v>3500</v>
      </c>
      <c r="C11" s="18">
        <f>(2620.0/B11*100)</f>
        <v/>
      </c>
      <c r="D11" s="19" t="n">
        <v>880</v>
      </c>
      <c r="E11" s="18" t="n">
        <v>45.35594073</v>
      </c>
      <c r="F11" s="20" t="n">
        <v>2.0607589</v>
      </c>
      <c r="G11" s="18" t="n">
        <v>20.48983585</v>
      </c>
      <c r="H11" s="20" t="n">
        <v>1.66395755</v>
      </c>
      <c r="I11" s="18" t="n">
        <v>0.43121909</v>
      </c>
      <c r="J11" s="20" t="n">
        <v>0.25540807</v>
      </c>
      <c r="K11" s="18" t="n">
        <v>12.46588073</v>
      </c>
      <c r="L11" s="20" t="n">
        <v>1.16206314</v>
      </c>
      <c r="M11" s="18" t="s">
        <v>105</v>
      </c>
      <c r="N11" s="20" t="s">
        <v>105</v>
      </c>
      <c r="O11" s="18" t="n">
        <v>1.8758968</v>
      </c>
      <c r="P11" s="20" t="n">
        <v>0.60361167</v>
      </c>
      <c r="Q11" s="18" t="n">
        <v>0.04988718</v>
      </c>
      <c r="R11" s="20" t="n">
        <v>0.05480615</v>
      </c>
      <c r="S11" s="18" t="n">
        <v>0</v>
      </c>
      <c r="T11" s="20" t="n">
        <v>0</v>
      </c>
      <c r="U11" s="18" t="n">
        <v>19.33133963</v>
      </c>
      <c r="V11" s="20" t="n">
        <v>1.6194727</v>
      </c>
    </row>
    <row r="12" spans="1:22">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c r="S12" s="21" t="s">
        <v>107</v>
      </c>
      <c r="T12" s="22" t="s">
        <v>107</v>
      </c>
      <c r="U12" s="21" t="s">
        <v>107</v>
      </c>
      <c r="V12" s="22" t="s">
        <v>107</v>
      </c>
    </row>
    <row r="13" spans="1:22">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c r="S13" s="21" t="s">
        <v>107</v>
      </c>
      <c r="T13" s="22" t="s">
        <v>107</v>
      </c>
      <c r="U13" s="21" t="s">
        <v>107</v>
      </c>
      <c r="V13" s="22" t="s">
        <v>107</v>
      </c>
    </row>
    <row r="14" spans="1:22">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c r="S14" s="21" t="s">
        <v>107</v>
      </c>
      <c r="T14" s="22" t="s">
        <v>107</v>
      </c>
      <c r="U14" s="21" t="s">
        <v>107</v>
      </c>
      <c r="V14" s="22" t="s">
        <v>107</v>
      </c>
    </row>
    <row r="15" spans="1:22">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c r="S15" s="21" t="s">
        <v>107</v>
      </c>
      <c r="T15" s="22" t="s">
        <v>107</v>
      </c>
      <c r="U15" s="21" t="s">
        <v>107</v>
      </c>
      <c r="V15" s="22" t="s">
        <v>107</v>
      </c>
    </row>
    <row r="16" spans="1:22">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c r="S16" s="21" t="s">
        <v>107</v>
      </c>
      <c r="T16" s="22" t="s">
        <v>107</v>
      </c>
      <c r="U16" s="21" t="s">
        <v>107</v>
      </c>
      <c r="V16" s="22" t="s">
        <v>107</v>
      </c>
    </row>
    <row r="17" spans="1:22">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c r="S17" s="21" t="s">
        <v>107</v>
      </c>
      <c r="T17" s="22" t="s">
        <v>107</v>
      </c>
      <c r="U17" s="21" t="s">
        <v>107</v>
      </c>
      <c r="V17" s="22" t="s">
        <v>107</v>
      </c>
    </row>
    <row r="18" spans="1:22">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c r="S18" s="21" t="s">
        <v>107</v>
      </c>
      <c r="T18" s="22" t="s">
        <v>107</v>
      </c>
      <c r="U18" s="21" t="s">
        <v>107</v>
      </c>
      <c r="V18" s="22" t="s">
        <v>107</v>
      </c>
    </row>
    <row r="19" spans="1:22">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c r="S19" s="21" t="s">
        <v>107</v>
      </c>
      <c r="T19" s="22" t="s">
        <v>107</v>
      </c>
      <c r="U19" s="21" t="s">
        <v>107</v>
      </c>
      <c r="V19" s="22" t="s">
        <v>107</v>
      </c>
    </row>
    <row r="20" spans="1:22">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c r="S20" s="21" t="s">
        <v>107</v>
      </c>
      <c r="T20" s="22" t="s">
        <v>107</v>
      </c>
      <c r="U20" s="21" t="s">
        <v>107</v>
      </c>
      <c r="V20" s="22" t="s">
        <v>107</v>
      </c>
    </row>
    <row r="21" spans="1:22">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c r="S21" s="21" t="s">
        <v>107</v>
      </c>
      <c r="T21" s="22" t="s">
        <v>107</v>
      </c>
      <c r="U21" s="21" t="s">
        <v>107</v>
      </c>
      <c r="V21" s="22" t="s">
        <v>107</v>
      </c>
    </row>
    <row r="22" spans="1:22">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c r="S22" s="21" t="s">
        <v>107</v>
      </c>
      <c r="T22" s="22" t="s">
        <v>107</v>
      </c>
      <c r="U22" s="21" t="s">
        <v>107</v>
      </c>
      <c r="V22" s="22" t="s">
        <v>107</v>
      </c>
    </row>
    <row r="23" spans="1:22">
      <c r="A23" s="15" t="s">
        <v>122</v>
      </c>
      <c r="B23" s="17" t="n">
        <v>5792</v>
      </c>
      <c r="C23" s="18">
        <f>(4471.0/B23*100)</f>
        <v/>
      </c>
      <c r="D23" s="19" t="n">
        <v>1321</v>
      </c>
      <c r="E23" s="18" t="n">
        <v>38.36543069</v>
      </c>
      <c r="F23" s="20" t="n">
        <v>2.06907751</v>
      </c>
      <c r="G23" s="18" t="n">
        <v>20.17709135</v>
      </c>
      <c r="H23" s="20" t="n">
        <v>1.98772318</v>
      </c>
      <c r="I23" s="18" t="n">
        <v>10.54329549</v>
      </c>
      <c r="J23" s="20" t="n">
        <v>1.39508872</v>
      </c>
      <c r="K23" s="18" t="n">
        <v>6.37296071</v>
      </c>
      <c r="L23" s="20" t="n">
        <v>1.0540978</v>
      </c>
      <c r="M23" s="18" t="s">
        <v>105</v>
      </c>
      <c r="N23" s="20" t="s">
        <v>105</v>
      </c>
      <c r="O23" s="18" t="n">
        <v>0.77772487</v>
      </c>
      <c r="P23" s="20" t="n">
        <v>0.30348104</v>
      </c>
      <c r="Q23" s="18" t="n">
        <v>0</v>
      </c>
      <c r="R23" s="20" t="n">
        <v>0</v>
      </c>
      <c r="S23" s="18" t="n">
        <v>0</v>
      </c>
      <c r="T23" s="20" t="n">
        <v>0</v>
      </c>
      <c r="U23" s="18" t="n">
        <v>23.76349689</v>
      </c>
      <c r="V23" s="20" t="n">
        <v>1.98079281</v>
      </c>
    </row>
    <row r="24" spans="1:22">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c r="S24" s="21" t="s">
        <v>107</v>
      </c>
      <c r="T24" s="22" t="s">
        <v>107</v>
      </c>
      <c r="U24" s="21" t="s">
        <v>107</v>
      </c>
      <c r="V24" s="22" t="s">
        <v>107</v>
      </c>
    </row>
    <row r="25" spans="1:22">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c r="S25" s="21" t="s">
        <v>107</v>
      </c>
      <c r="T25" s="22" t="s">
        <v>107</v>
      </c>
      <c r="U25" s="21" t="s">
        <v>107</v>
      </c>
      <c r="V25" s="22" t="s">
        <v>107</v>
      </c>
    </row>
    <row r="26" spans="1:22">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c r="S26" s="21" t="s">
        <v>107</v>
      </c>
      <c r="T26" s="22" t="s">
        <v>107</v>
      </c>
      <c r="U26" s="21" t="s">
        <v>107</v>
      </c>
      <c r="V26" s="22" t="s">
        <v>107</v>
      </c>
    </row>
    <row r="27" spans="1:22">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c r="S27" s="21" t="s">
        <v>107</v>
      </c>
      <c r="T27" s="22" t="s">
        <v>107</v>
      </c>
      <c r="U27" s="21" t="s">
        <v>107</v>
      </c>
      <c r="V27" s="22" t="s">
        <v>107</v>
      </c>
    </row>
    <row r="28" spans="1:22">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c r="S28" s="21" t="s">
        <v>107</v>
      </c>
      <c r="T28" s="22" t="s">
        <v>107</v>
      </c>
      <c r="U28" s="21" t="s">
        <v>107</v>
      </c>
      <c r="V28" s="22" t="s">
        <v>107</v>
      </c>
    </row>
    <row r="29" spans="1:22">
      <c r="A29" s="15" t="s">
        <v>128</v>
      </c>
      <c r="B29" s="17" t="n">
        <v>2700</v>
      </c>
      <c r="C29" s="18">
        <f>(2020.0/B29*100)</f>
        <v/>
      </c>
      <c r="D29" s="19" t="n">
        <v>680</v>
      </c>
      <c r="E29" s="18" t="n">
        <v>43.83516505</v>
      </c>
      <c r="F29" s="20" t="n">
        <v>2.40374892</v>
      </c>
      <c r="G29" s="18" t="n">
        <v>27.72464829</v>
      </c>
      <c r="H29" s="20" t="n">
        <v>2.09411085</v>
      </c>
      <c r="I29" s="18" t="n">
        <v>3.54420339</v>
      </c>
      <c r="J29" s="20" t="n">
        <v>0.70097225</v>
      </c>
      <c r="K29" s="18" t="n">
        <v>17.83867384</v>
      </c>
      <c r="L29" s="20" t="n">
        <v>1.65251899</v>
      </c>
      <c r="M29" s="18" t="s">
        <v>105</v>
      </c>
      <c r="N29" s="20" t="s">
        <v>105</v>
      </c>
      <c r="O29" s="18" t="n">
        <v>0.12826646</v>
      </c>
      <c r="P29" s="20" t="n">
        <v>0.13672156</v>
      </c>
      <c r="Q29" s="18" t="n">
        <v>0</v>
      </c>
      <c r="R29" s="20" t="n">
        <v>0</v>
      </c>
      <c r="S29" s="18" t="n">
        <v>0</v>
      </c>
      <c r="T29" s="20" t="n">
        <v>0</v>
      </c>
      <c r="U29" s="18" t="n">
        <v>6.92904297</v>
      </c>
      <c r="V29" s="20" t="n">
        <v>0.86869759</v>
      </c>
    </row>
    <row r="30" spans="1:22">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c r="S30" s="21" t="s">
        <v>107</v>
      </c>
      <c r="T30" s="22" t="s">
        <v>107</v>
      </c>
      <c r="U30" s="21" t="s">
        <v>107</v>
      </c>
      <c r="V30" s="22" t="s">
        <v>107</v>
      </c>
    </row>
    <row r="31" spans="1:22">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c r="S31" s="21" t="s">
        <v>107</v>
      </c>
      <c r="T31" s="22" t="s">
        <v>107</v>
      </c>
      <c r="U31" s="21" t="s">
        <v>107</v>
      </c>
      <c r="V31" s="22" t="s">
        <v>107</v>
      </c>
    </row>
    <row r="32" spans="1:22">
      <c r="A32" s="15" t="s">
        <v>131</v>
      </c>
      <c r="B32" s="17" t="n">
        <v>2209</v>
      </c>
      <c r="C32" s="18">
        <f>(1359.0/B32*100)</f>
        <v/>
      </c>
      <c r="D32" s="19" t="n">
        <v>850</v>
      </c>
      <c r="E32" s="18" t="n">
        <v>42.2884877</v>
      </c>
      <c r="F32" s="20" t="n">
        <v>1.81360025</v>
      </c>
      <c r="G32" s="18" t="n">
        <v>25.7929798</v>
      </c>
      <c r="H32" s="20" t="n">
        <v>1.7211658</v>
      </c>
      <c r="I32" s="18" t="n">
        <v>0.48237748</v>
      </c>
      <c r="J32" s="20" t="n">
        <v>0.23230241</v>
      </c>
      <c r="K32" s="18" t="n">
        <v>9.15387421</v>
      </c>
      <c r="L32" s="20" t="n">
        <v>0.873424</v>
      </c>
      <c r="M32" s="18" t="s">
        <v>105</v>
      </c>
      <c r="N32" s="20" t="s">
        <v>105</v>
      </c>
      <c r="O32" s="18" t="n">
        <v>0.24580925</v>
      </c>
      <c r="P32" s="20" t="n">
        <v>0.18179875</v>
      </c>
      <c r="Q32" s="18" t="n">
        <v>0.499241</v>
      </c>
      <c r="R32" s="20" t="n">
        <v>0.5325894799999999</v>
      </c>
      <c r="S32" s="18" t="n">
        <v>0</v>
      </c>
      <c r="T32" s="20" t="n">
        <v>0</v>
      </c>
      <c r="U32" s="18" t="n">
        <v>21.53723055</v>
      </c>
      <c r="V32" s="20" t="n">
        <v>1.47654717</v>
      </c>
    </row>
    <row r="33" spans="1:22">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c r="S33" s="21" t="s">
        <v>107</v>
      </c>
      <c r="T33" s="22" t="s">
        <v>107</v>
      </c>
      <c r="U33" s="21" t="s">
        <v>107</v>
      </c>
      <c r="V33" s="22" t="s">
        <v>107</v>
      </c>
    </row>
    <row r="34" spans="1:22">
      <c r="A34" s="15" t="s">
        <v>133</v>
      </c>
      <c r="B34" s="17" t="n">
        <v>3035</v>
      </c>
      <c r="C34" s="18">
        <f>(2322.0/B34*100)</f>
        <v/>
      </c>
      <c r="D34" s="19" t="n">
        <v>713</v>
      </c>
      <c r="E34" s="18" t="n">
        <v>47.37468128</v>
      </c>
      <c r="F34" s="20" t="n">
        <v>2.04919636</v>
      </c>
      <c r="G34" s="18" t="n">
        <v>10.75911869</v>
      </c>
      <c r="H34" s="20" t="n">
        <v>1.45048819</v>
      </c>
      <c r="I34" s="18" t="n">
        <v>0.448397</v>
      </c>
      <c r="J34" s="20" t="n">
        <v>0.24017211</v>
      </c>
      <c r="K34" s="18" t="n">
        <v>12.0910458</v>
      </c>
      <c r="L34" s="20" t="n">
        <v>1.44589505</v>
      </c>
      <c r="M34" s="18" t="s">
        <v>105</v>
      </c>
      <c r="N34" s="20" t="s">
        <v>105</v>
      </c>
      <c r="O34" s="18" t="n">
        <v>1.12602241</v>
      </c>
      <c r="P34" s="20" t="n">
        <v>0.37658101</v>
      </c>
      <c r="Q34" s="18" t="n">
        <v>0</v>
      </c>
      <c r="R34" s="20" t="n">
        <v>0</v>
      </c>
      <c r="S34" s="18" t="n">
        <v>0</v>
      </c>
      <c r="T34" s="20" t="n">
        <v>0</v>
      </c>
      <c r="U34" s="18" t="n">
        <v>28.20073482</v>
      </c>
      <c r="V34" s="20" t="n">
        <v>1.8489338</v>
      </c>
    </row>
    <row r="35" spans="1:22">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c r="S35" s="21" t="s">
        <v>107</v>
      </c>
      <c r="T35" s="22" t="s">
        <v>107</v>
      </c>
      <c r="U35" s="21" t="s">
        <v>107</v>
      </c>
      <c r="V35" s="22" t="s">
        <v>107</v>
      </c>
    </row>
    <row r="36" spans="1:22">
      <c r="A36" s="15" t="s">
        <v>135</v>
      </c>
      <c r="B36" s="17" t="n">
        <v>3404</v>
      </c>
      <c r="C36" s="18">
        <f>(2548.0/B36*100)</f>
        <v/>
      </c>
      <c r="D36" s="19" t="n">
        <v>856</v>
      </c>
      <c r="E36" s="18" t="n">
        <v>28.10221321</v>
      </c>
      <c r="F36" s="20" t="n">
        <v>1.67902652</v>
      </c>
      <c r="G36" s="18" t="n">
        <v>25.75437079</v>
      </c>
      <c r="H36" s="20" t="n">
        <v>1.66805858</v>
      </c>
      <c r="I36" s="18" t="n">
        <v>9.664645480000001</v>
      </c>
      <c r="J36" s="20" t="n">
        <v>1.15762283</v>
      </c>
      <c r="K36" s="18" t="n">
        <v>20.50882079</v>
      </c>
      <c r="L36" s="20" t="n">
        <v>1.42451313</v>
      </c>
      <c r="M36" s="18" t="s">
        <v>105</v>
      </c>
      <c r="N36" s="20" t="s">
        <v>105</v>
      </c>
      <c r="O36" s="18" t="n">
        <v>0.55525484</v>
      </c>
      <c r="P36" s="20" t="n">
        <v>0.2653813</v>
      </c>
      <c r="Q36" s="18" t="n">
        <v>0</v>
      </c>
      <c r="R36" s="20" t="n">
        <v>0</v>
      </c>
      <c r="S36" s="18" t="n">
        <v>0</v>
      </c>
      <c r="T36" s="20" t="n">
        <v>0</v>
      </c>
      <c r="U36" s="18" t="n">
        <v>15.41469489</v>
      </c>
      <c r="V36" s="20" t="n">
        <v>1.17429243</v>
      </c>
    </row>
    <row r="37" spans="1:22">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c r="S37" s="21" t="s">
        <v>107</v>
      </c>
      <c r="T37" s="22" t="s">
        <v>107</v>
      </c>
      <c r="U37" s="21" t="s">
        <v>107</v>
      </c>
      <c r="V37" s="22" t="s">
        <v>107</v>
      </c>
    </row>
    <row r="38" spans="1:22">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c r="S38" s="21" t="s">
        <v>107</v>
      </c>
      <c r="T38" s="22" t="s">
        <v>107</v>
      </c>
      <c r="U38" s="21" t="s">
        <v>107</v>
      </c>
      <c r="V38" s="22" t="s">
        <v>107</v>
      </c>
    </row>
    <row r="39" spans="1:22">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c r="S39" s="21" t="s">
        <v>107</v>
      </c>
      <c r="T39" s="22" t="s">
        <v>107</v>
      </c>
      <c r="U39" s="21" t="s">
        <v>107</v>
      </c>
      <c r="V39" s="22" t="s">
        <v>107</v>
      </c>
    </row>
    <row r="40" spans="1:22">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c r="S40" s="21" t="s">
        <v>107</v>
      </c>
      <c r="T40" s="22" t="s">
        <v>107</v>
      </c>
      <c r="U40" s="21" t="s">
        <v>107</v>
      </c>
      <c r="V40" s="22" t="s">
        <v>107</v>
      </c>
    </row>
    <row r="41" spans="1:22">
      <c r="A41" s="15" t="s">
        <v>140</v>
      </c>
      <c r="B41" s="17" t="n">
        <v>2854</v>
      </c>
      <c r="C41" s="18">
        <f>(2142.0/B41*100)</f>
        <v/>
      </c>
      <c r="D41" s="19" t="n">
        <v>712</v>
      </c>
      <c r="E41" s="18" t="n">
        <v>28.74367666</v>
      </c>
      <c r="F41" s="20" t="n">
        <v>1.68526079</v>
      </c>
      <c r="G41" s="18" t="n">
        <v>40.31635818</v>
      </c>
      <c r="H41" s="20" t="n">
        <v>1.81463515</v>
      </c>
      <c r="I41" s="18" t="n">
        <v>3.72152397</v>
      </c>
      <c r="J41" s="20" t="n">
        <v>0.6835483</v>
      </c>
      <c r="K41" s="18" t="n">
        <v>19.54110456</v>
      </c>
      <c r="L41" s="20" t="n">
        <v>1.54272825</v>
      </c>
      <c r="M41" s="18" t="s">
        <v>105</v>
      </c>
      <c r="N41" s="20" t="s">
        <v>105</v>
      </c>
      <c r="O41" s="18" t="n">
        <v>0.31626759</v>
      </c>
      <c r="P41" s="20" t="n">
        <v>0.22632256</v>
      </c>
      <c r="Q41" s="18" t="n">
        <v>0</v>
      </c>
      <c r="R41" s="20" t="n">
        <v>0</v>
      </c>
      <c r="S41" s="18" t="n">
        <v>0</v>
      </c>
      <c r="T41" s="20" t="n">
        <v>0</v>
      </c>
      <c r="U41" s="18" t="n">
        <v>7.36106904</v>
      </c>
      <c r="V41" s="20" t="n">
        <v>1.10328327</v>
      </c>
    </row>
    <row r="42" spans="1:22">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row>
    <row r="43" spans="1:22">
      <c r="A43" s="13" t="s">
        <v>142</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6" t="n"/>
    </row>
    <row r="44" spans="1:22">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c r="S44" s="21" t="s">
        <v>107</v>
      </c>
      <c r="T44" s="22" t="s">
        <v>107</v>
      </c>
      <c r="U44" s="21" t="s">
        <v>107</v>
      </c>
      <c r="V44" s="22" t="s">
        <v>107</v>
      </c>
    </row>
    <row r="45" spans="1:22">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c r="S45" s="21" t="s">
        <v>107</v>
      </c>
      <c r="T45" s="22" t="s">
        <v>107</v>
      </c>
      <c r="U45" s="21" t="s">
        <v>107</v>
      </c>
      <c r="V45" s="22" t="s">
        <v>107</v>
      </c>
    </row>
    <row r="46" spans="1:22">
      <c r="A46" s="15" t="s">
        <v>145</v>
      </c>
      <c r="B46" s="17" t="n">
        <v>12073</v>
      </c>
      <c r="C46" s="18">
        <f>(9814.0/B46*100)</f>
        <v/>
      </c>
      <c r="D46" s="19" t="n">
        <v>2259</v>
      </c>
      <c r="E46" s="18" t="n">
        <v>29.84963155</v>
      </c>
      <c r="F46" s="20" t="n">
        <v>1.2771356</v>
      </c>
      <c r="G46" s="18" t="n">
        <v>10.09047906</v>
      </c>
      <c r="H46" s="20" t="n">
        <v>0.9561605399999999</v>
      </c>
      <c r="I46" s="18" t="n">
        <v>0.38436949</v>
      </c>
      <c r="J46" s="20" t="n">
        <v>0.16238184</v>
      </c>
      <c r="K46" s="18" t="n">
        <v>26.05273362</v>
      </c>
      <c r="L46" s="20" t="n">
        <v>1.2078551</v>
      </c>
      <c r="M46" s="18" t="s">
        <v>105</v>
      </c>
      <c r="N46" s="20" t="s">
        <v>105</v>
      </c>
      <c r="O46" s="18" t="n">
        <v>6.10898405</v>
      </c>
      <c r="P46" s="20" t="n">
        <v>0.8010095699999999</v>
      </c>
      <c r="Q46" s="18" t="n">
        <v>0</v>
      </c>
      <c r="R46" s="20" t="n">
        <v>0</v>
      </c>
      <c r="S46" s="18" t="n">
        <v>0</v>
      </c>
      <c r="T46" s="20" t="n">
        <v>0</v>
      </c>
      <c r="U46" s="18" t="n">
        <v>27.51380222</v>
      </c>
      <c r="V46" s="20" t="n">
        <v>1.26652259</v>
      </c>
    </row>
    <row r="47" spans="1:22">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c r="S47" s="21" t="s">
        <v>107</v>
      </c>
      <c r="T47" s="22" t="s">
        <v>107</v>
      </c>
      <c r="U47" s="21" t="s">
        <v>107</v>
      </c>
      <c r="V47" s="22" t="s">
        <v>107</v>
      </c>
    </row>
    <row r="48" spans="1:22">
      <c r="A48" s="15" t="s">
        <v>147</v>
      </c>
      <c r="B48" s="17" t="n">
        <v>4682</v>
      </c>
      <c r="C48" s="18">
        <f>(3498.0/B48*100)</f>
        <v/>
      </c>
      <c r="D48" s="19" t="n">
        <v>1184</v>
      </c>
      <c r="E48" s="18" t="n">
        <v>53.03327955</v>
      </c>
      <c r="F48" s="20" t="n">
        <v>2.62586309</v>
      </c>
      <c r="G48" s="18" t="n">
        <v>18.84022391</v>
      </c>
      <c r="H48" s="20" t="n">
        <v>1.94207341</v>
      </c>
      <c r="I48" s="18" t="n">
        <v>10.45694693</v>
      </c>
      <c r="J48" s="20" t="n">
        <v>1.47248241</v>
      </c>
      <c r="K48" s="18" t="n">
        <v>7.93271914</v>
      </c>
      <c r="L48" s="20" t="n">
        <v>1.32153189</v>
      </c>
      <c r="M48" s="18" t="s">
        <v>105</v>
      </c>
      <c r="N48" s="20" t="s">
        <v>105</v>
      </c>
      <c r="O48" s="18" t="n">
        <v>0.06514557</v>
      </c>
      <c r="P48" s="20" t="n">
        <v>0.0653241</v>
      </c>
      <c r="Q48" s="18" t="n">
        <v>0</v>
      </c>
      <c r="R48" s="20" t="n">
        <v>0</v>
      </c>
      <c r="S48" s="18" t="n">
        <v>0</v>
      </c>
      <c r="T48" s="20" t="n">
        <v>0</v>
      </c>
      <c r="U48" s="18" t="n">
        <v>9.671684920000001</v>
      </c>
      <c r="V48" s="20" t="n">
        <v>1.33271966</v>
      </c>
    </row>
    <row r="49" spans="1:22">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c r="S49" s="21" t="s">
        <v>107</v>
      </c>
      <c r="T49" s="22" t="s">
        <v>107</v>
      </c>
      <c r="U49" s="21" t="s">
        <v>107</v>
      </c>
      <c r="V49" s="22" t="s">
        <v>107</v>
      </c>
    </row>
    <row r="50" spans="1:22">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c r="S50" s="21" t="s">
        <v>107</v>
      </c>
      <c r="T50" s="22" t="s">
        <v>107</v>
      </c>
      <c r="U50" s="21" t="s">
        <v>107</v>
      </c>
      <c r="V50" s="22" t="s">
        <v>107</v>
      </c>
    </row>
    <row r="51" spans="1:22">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c r="S51" s="21" t="s">
        <v>107</v>
      </c>
      <c r="T51" s="22" t="s">
        <v>107</v>
      </c>
      <c r="U51" s="21" t="s">
        <v>107</v>
      </c>
      <c r="V51" s="22" t="s">
        <v>107</v>
      </c>
    </row>
    <row r="52" spans="1:22">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c r="S52" s="21" t="s">
        <v>107</v>
      </c>
      <c r="T52" s="22" t="s">
        <v>107</v>
      </c>
      <c r="U52" s="21" t="s">
        <v>107</v>
      </c>
      <c r="V52" s="22" t="s">
        <v>107</v>
      </c>
    </row>
    <row r="53" spans="1:22">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c r="S53" s="21" t="s">
        <v>107</v>
      </c>
      <c r="T53" s="22" t="s">
        <v>107</v>
      </c>
      <c r="U53" s="21" t="s">
        <v>107</v>
      </c>
      <c r="V53" s="22" t="s">
        <v>107</v>
      </c>
    </row>
    <row r="54" spans="1:22">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c r="S54" s="21" t="s">
        <v>107</v>
      </c>
      <c r="T54" s="22" t="s">
        <v>107</v>
      </c>
      <c r="U54" s="21" t="s">
        <v>107</v>
      </c>
      <c r="V54" s="22" t="s">
        <v>107</v>
      </c>
    </row>
    <row r="55" spans="1:22">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c r="S55" s="21" t="s">
        <v>107</v>
      </c>
      <c r="T55" s="22" t="s">
        <v>107</v>
      </c>
      <c r="U55" s="21" t="s">
        <v>107</v>
      </c>
      <c r="V55" s="22" t="s">
        <v>107</v>
      </c>
    </row>
    <row r="56" spans="1:22">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c r="S56" s="21" t="s">
        <v>107</v>
      </c>
      <c r="T56" s="22" t="s">
        <v>107</v>
      </c>
      <c r="U56" s="21" t="s">
        <v>107</v>
      </c>
      <c r="V56" s="22" t="s">
        <v>107</v>
      </c>
    </row>
    <row r="57" spans="1:22">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c r="S57" s="21" t="s">
        <v>107</v>
      </c>
      <c r="T57" s="22" t="s">
        <v>107</v>
      </c>
      <c r="U57" s="21" t="s">
        <v>107</v>
      </c>
      <c r="V57" s="22" t="s">
        <v>107</v>
      </c>
    </row>
    <row r="58" spans="1:22">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c r="S58" s="21" t="s">
        <v>107</v>
      </c>
      <c r="T58" s="22" t="s">
        <v>107</v>
      </c>
      <c r="U58" s="21" t="s">
        <v>107</v>
      </c>
      <c r="V58" s="22" t="s">
        <v>107</v>
      </c>
    </row>
    <row r="59" spans="1:22">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c r="S59" s="21" t="s">
        <v>107</v>
      </c>
      <c r="T59" s="22" t="s">
        <v>107</v>
      </c>
      <c r="U59" s="21" t="s">
        <v>107</v>
      </c>
      <c r="V59" s="22" t="s">
        <v>107</v>
      </c>
    </row>
    <row r="60" spans="1:22">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c r="S60" s="21" t="s">
        <v>107</v>
      </c>
      <c r="T60" s="22" t="s">
        <v>107</v>
      </c>
      <c r="U60" s="21" t="s">
        <v>107</v>
      </c>
      <c r="V60" s="22" t="s">
        <v>107</v>
      </c>
    </row>
    <row r="61" spans="1:22">
      <c r="A61" s="15" t="s">
        <v>160</v>
      </c>
      <c r="B61" s="17" t="n">
        <v>3201</v>
      </c>
      <c r="C61" s="18">
        <f>(2362.0/B61*100)</f>
        <v/>
      </c>
      <c r="D61" s="19" t="n">
        <v>839</v>
      </c>
      <c r="E61" s="18" t="n">
        <v>34.95250464</v>
      </c>
      <c r="F61" s="20" t="n">
        <v>1.67578065</v>
      </c>
      <c r="G61" s="18" t="n">
        <v>22.64704863</v>
      </c>
      <c r="H61" s="20" t="n">
        <v>1.95131294</v>
      </c>
      <c r="I61" s="18" t="n">
        <v>1.77617882</v>
      </c>
      <c r="J61" s="20" t="n">
        <v>0.45293861</v>
      </c>
      <c r="K61" s="18" t="n">
        <v>4.25792849</v>
      </c>
      <c r="L61" s="20" t="n">
        <v>0.67820384</v>
      </c>
      <c r="M61" s="18" t="s">
        <v>105</v>
      </c>
      <c r="N61" s="20" t="s">
        <v>105</v>
      </c>
      <c r="O61" s="18" t="n">
        <v>0.61670498</v>
      </c>
      <c r="P61" s="20" t="n">
        <v>0.27701784</v>
      </c>
      <c r="Q61" s="18" t="n">
        <v>0</v>
      </c>
      <c r="R61" s="20" t="n">
        <v>0</v>
      </c>
      <c r="S61" s="18" t="n">
        <v>0</v>
      </c>
      <c r="T61" s="20" t="n">
        <v>0</v>
      </c>
      <c r="U61" s="18" t="n">
        <v>35.74963444</v>
      </c>
      <c r="V61" s="20" t="n">
        <v>1.66304709</v>
      </c>
    </row>
    <row r="62" spans="1:22">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c r="S62" s="21" t="s">
        <v>107</v>
      </c>
      <c r="T62" s="22" t="s">
        <v>107</v>
      </c>
      <c r="U62" s="21" t="s">
        <v>107</v>
      </c>
      <c r="V62" s="22" t="s">
        <v>107</v>
      </c>
    </row>
    <row r="63" spans="1:22">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c r="S63" s="21" t="s">
        <v>107</v>
      </c>
      <c r="T63" s="22" t="s">
        <v>107</v>
      </c>
      <c r="U63" s="21" t="s">
        <v>107</v>
      </c>
      <c r="V63" s="22" t="s">
        <v>107</v>
      </c>
    </row>
    <row r="64" spans="1:22">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c r="S64" s="21" t="s">
        <v>107</v>
      </c>
      <c r="T64" s="22" t="s">
        <v>107</v>
      </c>
      <c r="U64" s="21" t="s">
        <v>107</v>
      </c>
      <c r="V64" s="22" t="s">
        <v>107</v>
      </c>
    </row>
    <row r="65" spans="1:22">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c r="S65" s="21" t="s">
        <v>107</v>
      </c>
      <c r="T65" s="22" t="s">
        <v>107</v>
      </c>
      <c r="U65" s="21" t="s">
        <v>107</v>
      </c>
      <c r="V65" s="22" t="s">
        <v>107</v>
      </c>
    </row>
    <row r="66" spans="1:22">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c r="S66" s="21" t="s">
        <v>107</v>
      </c>
      <c r="T66" s="22" t="s">
        <v>107</v>
      </c>
      <c r="U66" s="21" t="s">
        <v>107</v>
      </c>
      <c r="V66" s="22" t="s">
        <v>107</v>
      </c>
    </row>
    <row r="67" spans="1:22">
      <c r="A67" s="15" t="s">
        <v>166</v>
      </c>
      <c r="B67" s="17" t="n">
        <v>3460</v>
      </c>
      <c r="C67" s="18">
        <f>(2700.0/B67*100)</f>
        <v/>
      </c>
      <c r="D67" s="19" t="n">
        <v>760</v>
      </c>
      <c r="E67" s="18" t="n">
        <v>66.25147844</v>
      </c>
      <c r="F67" s="20" t="n">
        <v>1.9137921</v>
      </c>
      <c r="G67" s="18" t="n">
        <v>9.645692370000001</v>
      </c>
      <c r="H67" s="20" t="n">
        <v>1.25756926</v>
      </c>
      <c r="I67" s="18" t="n">
        <v>0.34357209</v>
      </c>
      <c r="J67" s="20" t="n">
        <v>0.19300716</v>
      </c>
      <c r="K67" s="18" t="n">
        <v>12.28425211</v>
      </c>
      <c r="L67" s="20" t="n">
        <v>1.19841693</v>
      </c>
      <c r="M67" s="18" t="s">
        <v>105</v>
      </c>
      <c r="N67" s="20" t="s">
        <v>105</v>
      </c>
      <c r="O67" s="18" t="n">
        <v>0.25097361</v>
      </c>
      <c r="P67" s="20" t="n">
        <v>0.2482913</v>
      </c>
      <c r="Q67" s="18" t="n">
        <v>0</v>
      </c>
      <c r="R67" s="20" t="n">
        <v>0</v>
      </c>
      <c r="S67" s="18" t="n">
        <v>0</v>
      </c>
      <c r="T67" s="20" t="n">
        <v>0</v>
      </c>
      <c r="U67" s="18" t="n">
        <v>11.22403139</v>
      </c>
      <c r="V67" s="20" t="n">
        <v>1.23937995</v>
      </c>
    </row>
    <row r="68" spans="1:22">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c r="S68" s="21" t="s">
        <v>107</v>
      </c>
      <c r="T68" s="22" t="s">
        <v>107</v>
      </c>
      <c r="U68" s="21" t="s">
        <v>107</v>
      </c>
      <c r="V68" s="22" t="s">
        <v>107</v>
      </c>
    </row>
    <row r="69" spans="1:22">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c r="S69" s="21" t="s">
        <v>107</v>
      </c>
      <c r="T69" s="22" t="s">
        <v>107</v>
      </c>
      <c r="U69" s="21" t="s">
        <v>107</v>
      </c>
      <c r="V69" s="22" t="s">
        <v>107</v>
      </c>
    </row>
    <row r="70" spans="1:22">
      <c r="A70" s="15" t="s">
        <v>169</v>
      </c>
      <c r="B70" s="17" t="n">
        <v>3107</v>
      </c>
      <c r="C70" s="18">
        <f>(2372.0/B70*100)</f>
        <v/>
      </c>
      <c r="D70" s="19" t="n">
        <v>735</v>
      </c>
      <c r="E70" s="18" t="n">
        <v>37.46708484</v>
      </c>
      <c r="F70" s="20" t="n">
        <v>1.96792482</v>
      </c>
      <c r="G70" s="18" t="n">
        <v>13.49649003</v>
      </c>
      <c r="H70" s="20" t="n">
        <v>1.28842841</v>
      </c>
      <c r="I70" s="18" t="n">
        <v>6.1971151</v>
      </c>
      <c r="J70" s="20" t="n">
        <v>1.18290663</v>
      </c>
      <c r="K70" s="18" t="n">
        <v>15.07899703</v>
      </c>
      <c r="L70" s="20" t="n">
        <v>1.63213994</v>
      </c>
      <c r="M70" s="18" t="s">
        <v>105</v>
      </c>
      <c r="N70" s="20" t="s">
        <v>105</v>
      </c>
      <c r="O70" s="18" t="n">
        <v>2.42856766</v>
      </c>
      <c r="P70" s="20" t="n">
        <v>1.04915728</v>
      </c>
      <c r="Q70" s="18" t="n">
        <v>0</v>
      </c>
      <c r="R70" s="20" t="n">
        <v>0</v>
      </c>
      <c r="S70" s="18" t="n">
        <v>0</v>
      </c>
      <c r="T70" s="20" t="n">
        <v>0</v>
      </c>
      <c r="U70" s="18" t="n">
        <v>25.33174534</v>
      </c>
      <c r="V70" s="20" t="n">
        <v>1.72186513</v>
      </c>
    </row>
    <row r="71" spans="1:22">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c r="S71" s="21" t="s">
        <v>107</v>
      </c>
      <c r="T71" s="22" t="s">
        <v>107</v>
      </c>
      <c r="U71" s="21" t="s">
        <v>107</v>
      </c>
      <c r="V71" s="22" t="s">
        <v>107</v>
      </c>
    </row>
    <row r="72" spans="1:22">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c r="S72" s="21" t="s">
        <v>107</v>
      </c>
      <c r="T72" s="22" t="s">
        <v>107</v>
      </c>
      <c r="U72" s="21" t="s">
        <v>107</v>
      </c>
      <c r="V72" s="22" t="s">
        <v>107</v>
      </c>
    </row>
    <row r="73" spans="1:22">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c r="S73" s="21" t="s">
        <v>107</v>
      </c>
      <c r="T73" s="22" t="s">
        <v>107</v>
      </c>
      <c r="U73" s="21" t="s">
        <v>107</v>
      </c>
      <c r="V73" s="22" t="s">
        <v>107</v>
      </c>
    </row>
    <row r="74" spans="1:22">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c r="S74" s="21" t="s">
        <v>107</v>
      </c>
      <c r="T74" s="22" t="s">
        <v>107</v>
      </c>
      <c r="U74" s="21" t="s">
        <v>107</v>
      </c>
      <c r="V74" s="22" t="s">
        <v>107</v>
      </c>
    </row>
    <row r="75" spans="1:22">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c r="S75" s="21" t="s">
        <v>107</v>
      </c>
      <c r="T75" s="22" t="s">
        <v>107</v>
      </c>
      <c r="U75" s="21" t="s">
        <v>107</v>
      </c>
      <c r="V75" s="22" t="s">
        <v>107</v>
      </c>
    </row>
    <row r="76" spans="1:22">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c r="S76" s="21" t="s">
        <v>107</v>
      </c>
      <c r="T76" s="22" t="s">
        <v>107</v>
      </c>
      <c r="U76" s="21" t="s">
        <v>107</v>
      </c>
      <c r="V76" s="22" t="s">
        <v>107</v>
      </c>
    </row>
    <row r="77" spans="1:22">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c r="S77" s="21" t="s">
        <v>107</v>
      </c>
      <c r="T77" s="22" t="s">
        <v>107</v>
      </c>
      <c r="U77" s="21" t="s">
        <v>107</v>
      </c>
      <c r="V77" s="22" t="s">
        <v>107</v>
      </c>
    </row>
    <row r="78" spans="1:22">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c r="S78" s="21" t="s">
        <v>107</v>
      </c>
      <c r="T78" s="22" t="s">
        <v>107</v>
      </c>
      <c r="U78" s="21" t="s">
        <v>107</v>
      </c>
      <c r="V78" s="22" t="s">
        <v>107</v>
      </c>
    </row>
    <row customHeight="1" ht="25" r="79" spans="1:22">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c r="S79" s="21" t="s">
        <v>107</v>
      </c>
      <c r="T79" s="22" t="s">
        <v>107</v>
      </c>
      <c r="U79" s="21" t="s">
        <v>107</v>
      </c>
      <c r="V79" s="22" t="s">
        <v>107</v>
      </c>
    </row>
    <row r="80" spans="1:22">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c r="S80" s="21" t="s">
        <v>107</v>
      </c>
      <c r="T80" s="22" t="s">
        <v>107</v>
      </c>
      <c r="U80" s="21" t="s">
        <v>107</v>
      </c>
      <c r="V80" s="22" t="s">
        <v>107</v>
      </c>
    </row>
    <row r="81" spans="1:22">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c r="S81" s="21" t="s">
        <v>107</v>
      </c>
      <c r="T81" s="22" t="s">
        <v>107</v>
      </c>
      <c r="U81" s="21" t="s">
        <v>107</v>
      </c>
      <c r="V81" s="22" t="s">
        <v>107</v>
      </c>
    </row>
    <row r="82" spans="1:22">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c r="S82" s="24" t="s">
        <v>181</v>
      </c>
      <c r="T82" s="24" t="s">
        <v>181</v>
      </c>
      <c r="U82" s="24" t="s">
        <v>181</v>
      </c>
      <c r="V82" s="24" t="s">
        <v>181</v>
      </c>
    </row>
    <row r="83" spans="1:22">
      <c r="A83" s="3" t="s">
        <v>182</v>
      </c>
    </row>
    <row r="84" spans="1:22">
      <c r="A84" s="25" t="s">
        <v>183</v>
      </c>
    </row>
    <row r="85" spans="1:22">
      <c r="A85" s="25" t="s">
        <v>184</v>
      </c>
    </row>
    <row customHeight="1" ht="30" r="86" spans="1:22">
      <c r="A86" s="25" t="s">
        <v>185</v>
      </c>
    </row>
    <row customHeight="1" ht="30" r="87" spans="1:22">
      <c r="A87" s="25" t="s">
        <v>181</v>
      </c>
    </row>
    <row customHeight="1" ht="30" r="88" spans="1:22">
      <c r="A88" s="25" t="s">
        <v>186</v>
      </c>
    </row>
    <row customHeight="1" ht="30" r="89" spans="1:22">
      <c r="A89" s="25" t="s">
        <v>187</v>
      </c>
    </row>
    <row customHeight="1" ht="30" r="90" spans="1:22">
      <c r="A90" s="25" t="s">
        <v>188</v>
      </c>
    </row>
    <row customHeight="1" ht="30" r="91" spans="1:22">
      <c r="A91" s="25" t="s">
        <v>189</v>
      </c>
    </row>
    <row customHeight="1" ht="30" r="92" spans="1:22">
      <c r="A92" s="25" t="s">
        <v>190</v>
      </c>
    </row>
    <row customHeight="1" ht="30" r="93" spans="1:22">
      <c r="A93" s="25" t="s">
        <v>191</v>
      </c>
    </row>
    <row customHeight="1" ht="30" r="94" spans="1:22">
      <c r="A94" s="25" t="s">
        <v>192</v>
      </c>
    </row>
    <row customHeight="1" ht="30" r="95" spans="1:22">
      <c r="A95" s="25" t="s">
        <v>193</v>
      </c>
    </row>
    <row customHeight="1" ht="30" r="96" spans="1:22">
      <c r="A96" s="25" t="s">
        <v>194</v>
      </c>
    </row>
    <row customHeight="1" ht="30" r="97" spans="1:22">
      <c r="A97" s="25" t="s">
        <v>195</v>
      </c>
    </row>
  </sheetData>
  <mergeCells count="25">
    <mergeCell ref="E4:F4"/>
    <mergeCell ref="G4:H4"/>
    <mergeCell ref="I4:J4"/>
    <mergeCell ref="K4:L4"/>
    <mergeCell ref="M4:N4"/>
    <mergeCell ref="O4:P4"/>
    <mergeCell ref="Q4:R4"/>
    <mergeCell ref="S4:T4"/>
    <mergeCell ref="U4:V4"/>
    <mergeCell ref="A1:V1"/>
    <mergeCell ref="A2:V2"/>
    <mergeCell ref="A84:V84"/>
    <mergeCell ref="A85:V85"/>
    <mergeCell ref="A86:V86"/>
    <mergeCell ref="A87:V87"/>
    <mergeCell ref="A88:V88"/>
    <mergeCell ref="A89:V89"/>
    <mergeCell ref="A90:V90"/>
    <mergeCell ref="A91:V91"/>
    <mergeCell ref="A92:V92"/>
    <mergeCell ref="A93:V93"/>
    <mergeCell ref="A94:V94"/>
    <mergeCell ref="A95:V95"/>
    <mergeCell ref="A96:V96"/>
    <mergeCell ref="A97:V97"/>
  </mergeCells>
  <pageMargins bottom="1" footer="0.5" header="0.5" left="0.75" right="0.75" top="1"/>
</worksheet>
</file>

<file path=xl/worksheets/sheet19.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224</v>
      </c>
    </row>
    <row customHeight="1" ht="30" r="4" spans="1:18">
      <c r="A4" s="6" t="n"/>
      <c r="B4" s="7" t="s">
        <v>89</v>
      </c>
      <c r="C4" s="7" t="s">
        <v>90</v>
      </c>
      <c r="D4" s="8" t="s">
        <v>89</v>
      </c>
      <c r="E4" s="9" t="s">
        <v>199</v>
      </c>
      <c r="F4" s="10" t="n"/>
      <c r="G4" s="9" t="s">
        <v>200</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7163</v>
      </c>
      <c r="C7" s="18">
        <f>(586.0/B7*100)</f>
        <v/>
      </c>
      <c r="D7" s="19" t="n">
        <v>6577</v>
      </c>
      <c r="E7" s="18" t="n">
        <v>55.80510387</v>
      </c>
      <c r="F7" s="20" t="n">
        <v>0.79735944</v>
      </c>
      <c r="G7" s="18" t="n">
        <v>26.31979953</v>
      </c>
      <c r="H7" s="20" t="n">
        <v>0.67145002</v>
      </c>
      <c r="I7" s="18" t="s">
        <v>105</v>
      </c>
      <c r="J7" s="20" t="s">
        <v>105</v>
      </c>
      <c r="K7" s="18" t="n">
        <v>1.67573586</v>
      </c>
      <c r="L7" s="20" t="n">
        <v>0.22146032</v>
      </c>
      <c r="M7" s="18" t="n">
        <v>0.00841418</v>
      </c>
      <c r="N7" s="20" t="n">
        <v>0.00314714</v>
      </c>
      <c r="O7" s="18" t="n">
        <v>0</v>
      </c>
      <c r="P7" s="20" t="n">
        <v>0</v>
      </c>
      <c r="Q7" s="18" t="n">
        <v>16.19094655</v>
      </c>
      <c r="R7" s="20" t="n">
        <v>0.5176096</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2795</v>
      </c>
      <c r="C9" s="18">
        <f>(2170.0/B9*100)</f>
        <v/>
      </c>
      <c r="D9" s="19" t="n">
        <v>625</v>
      </c>
      <c r="E9" s="18" t="n">
        <v>47.05154649</v>
      </c>
      <c r="F9" s="20" t="n">
        <v>2.0734995</v>
      </c>
      <c r="G9" s="18" t="n">
        <v>40.07206883</v>
      </c>
      <c r="H9" s="20" t="n">
        <v>2.10565407</v>
      </c>
      <c r="I9" s="18" t="s">
        <v>105</v>
      </c>
      <c r="J9" s="20" t="s">
        <v>105</v>
      </c>
      <c r="K9" s="18" t="n">
        <v>1.32381007</v>
      </c>
      <c r="L9" s="20" t="n">
        <v>0.46452217</v>
      </c>
      <c r="M9" s="18" t="n">
        <v>0.82017048</v>
      </c>
      <c r="N9" s="20" t="n">
        <v>0.31603143</v>
      </c>
      <c r="O9" s="18" t="n">
        <v>0</v>
      </c>
      <c r="P9" s="20" t="n">
        <v>0</v>
      </c>
      <c r="Q9" s="18" t="n">
        <v>10.73240413</v>
      </c>
      <c r="R9" s="20" t="n">
        <v>1.30340639</v>
      </c>
    </row>
    <row r="10" spans="1:18">
      <c r="A10" s="15" t="s">
        <v>109</v>
      </c>
      <c r="B10" s="17" t="n">
        <v>6602</v>
      </c>
      <c r="C10" s="18">
        <f>(5017.0/B10*100)</f>
        <v/>
      </c>
      <c r="D10" s="19" t="n">
        <v>1585</v>
      </c>
      <c r="E10" s="18" t="n">
        <v>50.63531819</v>
      </c>
      <c r="F10" s="20" t="n">
        <v>1.61580165</v>
      </c>
      <c r="G10" s="18" t="n">
        <v>38.20732123</v>
      </c>
      <c r="H10" s="20" t="n">
        <v>1.58104871</v>
      </c>
      <c r="I10" s="18" t="s">
        <v>105</v>
      </c>
      <c r="J10" s="20" t="s">
        <v>105</v>
      </c>
      <c r="K10" s="18" t="n">
        <v>0.16479405</v>
      </c>
      <c r="L10" s="20" t="n">
        <v>0.05882711</v>
      </c>
      <c r="M10" s="18" t="n">
        <v>0.22077895</v>
      </c>
      <c r="N10" s="20" t="n">
        <v>0.18729346</v>
      </c>
      <c r="O10" s="18" t="n">
        <v>0</v>
      </c>
      <c r="P10" s="20" t="n">
        <v>0</v>
      </c>
      <c r="Q10" s="18" t="n">
        <v>10.77178758</v>
      </c>
      <c r="R10" s="20" t="n">
        <v>1.10020818</v>
      </c>
    </row>
    <row r="11" spans="1:18">
      <c r="A11" s="15" t="s">
        <v>110</v>
      </c>
      <c r="B11" s="17" t="n">
        <v>3500</v>
      </c>
      <c r="C11" s="18">
        <f>(2625.0/B11*100)</f>
        <v/>
      </c>
      <c r="D11" s="19" t="n">
        <v>875</v>
      </c>
      <c r="E11" s="18" t="n">
        <v>57.84508396</v>
      </c>
      <c r="F11" s="20" t="n">
        <v>1.90321148</v>
      </c>
      <c r="G11" s="18" t="n">
        <v>12.35747236</v>
      </c>
      <c r="H11" s="20" t="n">
        <v>1.20934057</v>
      </c>
      <c r="I11" s="18" t="s">
        <v>105</v>
      </c>
      <c r="J11" s="20" t="s">
        <v>105</v>
      </c>
      <c r="K11" s="18" t="n">
        <v>2.37433947</v>
      </c>
      <c r="L11" s="20" t="n">
        <v>0.66371239</v>
      </c>
      <c r="M11" s="18" t="n">
        <v>0.05020639</v>
      </c>
      <c r="N11" s="20" t="n">
        <v>0.05516165</v>
      </c>
      <c r="O11" s="18" t="n">
        <v>0</v>
      </c>
      <c r="P11" s="20" t="n">
        <v>0</v>
      </c>
      <c r="Q11" s="18" t="n">
        <v>27.37289781</v>
      </c>
      <c r="R11" s="20" t="n">
        <v>2.05077818</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5792</v>
      </c>
      <c r="C23" s="18">
        <f>(4475.0/B23*100)</f>
        <v/>
      </c>
      <c r="D23" s="19" t="n">
        <v>1317</v>
      </c>
      <c r="E23" s="18" t="n">
        <v>50.27151478</v>
      </c>
      <c r="F23" s="20" t="n">
        <v>1.70069494</v>
      </c>
      <c r="G23" s="18" t="n">
        <v>14.5279808</v>
      </c>
      <c r="H23" s="20" t="n">
        <v>1.19884001</v>
      </c>
      <c r="I23" s="18" t="s">
        <v>105</v>
      </c>
      <c r="J23" s="20" t="s">
        <v>105</v>
      </c>
      <c r="K23" s="18" t="n">
        <v>1.05483476</v>
      </c>
      <c r="L23" s="20" t="n">
        <v>0.36329521</v>
      </c>
      <c r="M23" s="18" t="n">
        <v>0</v>
      </c>
      <c r="N23" s="20" t="n">
        <v>0</v>
      </c>
      <c r="O23" s="18" t="n">
        <v>0</v>
      </c>
      <c r="P23" s="20" t="n">
        <v>0</v>
      </c>
      <c r="Q23" s="18" t="n">
        <v>34.14566967</v>
      </c>
      <c r="R23" s="20" t="n">
        <v>1.90509767</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2700</v>
      </c>
      <c r="C29" s="18">
        <f>(2020.0/B29*100)</f>
        <v/>
      </c>
      <c r="D29" s="19" t="n">
        <v>680</v>
      </c>
      <c r="E29" s="18" t="n">
        <v>55.44964718</v>
      </c>
      <c r="F29" s="20" t="n">
        <v>1.94698381</v>
      </c>
      <c r="G29" s="18" t="n">
        <v>37.36130969</v>
      </c>
      <c r="H29" s="20" t="n">
        <v>1.65723284</v>
      </c>
      <c r="I29" s="18" t="s">
        <v>105</v>
      </c>
      <c r="J29" s="20" t="s">
        <v>105</v>
      </c>
      <c r="K29" s="18" t="n">
        <v>0.12826646</v>
      </c>
      <c r="L29" s="20" t="n">
        <v>0.13672156</v>
      </c>
      <c r="M29" s="18" t="n">
        <v>0</v>
      </c>
      <c r="N29" s="20" t="n">
        <v>0</v>
      </c>
      <c r="O29" s="18" t="n">
        <v>0</v>
      </c>
      <c r="P29" s="20" t="n">
        <v>0</v>
      </c>
      <c r="Q29" s="18" t="n">
        <v>7.06077667</v>
      </c>
      <c r="R29" s="20" t="n">
        <v>0.94253093</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2209</v>
      </c>
      <c r="C32" s="18">
        <f>(1358.0/B32*100)</f>
        <v/>
      </c>
      <c r="D32" s="19" t="n">
        <v>851</v>
      </c>
      <c r="E32" s="18" t="n">
        <v>54.57240818</v>
      </c>
      <c r="F32" s="20" t="n">
        <v>1.83368006</v>
      </c>
      <c r="G32" s="18" t="n">
        <v>19.02359039</v>
      </c>
      <c r="H32" s="20" t="n">
        <v>1.50307047</v>
      </c>
      <c r="I32" s="18" t="s">
        <v>105</v>
      </c>
      <c r="J32" s="20" t="s">
        <v>105</v>
      </c>
      <c r="K32" s="18" t="n">
        <v>0.48998554</v>
      </c>
      <c r="L32" s="20" t="n">
        <v>0.25287015</v>
      </c>
      <c r="M32" s="18" t="n">
        <v>0.49865881</v>
      </c>
      <c r="N32" s="20" t="n">
        <v>0.53197593</v>
      </c>
      <c r="O32" s="18" t="n">
        <v>0</v>
      </c>
      <c r="P32" s="20" t="n">
        <v>0</v>
      </c>
      <c r="Q32" s="18" t="n">
        <v>25.41535708</v>
      </c>
      <c r="R32" s="20" t="n">
        <v>1.41726868</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3035</v>
      </c>
      <c r="C34" s="18">
        <f>(2325.0/B34*100)</f>
        <v/>
      </c>
      <c r="D34" s="19" t="n">
        <v>710</v>
      </c>
      <c r="E34" s="18" t="n">
        <v>46.93745638</v>
      </c>
      <c r="F34" s="20" t="n">
        <v>2.01045186</v>
      </c>
      <c r="G34" s="18" t="n">
        <v>17.79374026</v>
      </c>
      <c r="H34" s="20" t="n">
        <v>1.29281767</v>
      </c>
      <c r="I34" s="18" t="s">
        <v>105</v>
      </c>
      <c r="J34" s="20" t="s">
        <v>105</v>
      </c>
      <c r="K34" s="18" t="n">
        <v>1.25519832</v>
      </c>
      <c r="L34" s="20" t="n">
        <v>0.39763189</v>
      </c>
      <c r="M34" s="18" t="n">
        <v>0</v>
      </c>
      <c r="N34" s="20" t="n">
        <v>0</v>
      </c>
      <c r="O34" s="18" t="n">
        <v>0</v>
      </c>
      <c r="P34" s="20" t="n">
        <v>0</v>
      </c>
      <c r="Q34" s="18" t="n">
        <v>34.01360503</v>
      </c>
      <c r="R34" s="20" t="n">
        <v>1.92378277</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3404</v>
      </c>
      <c r="C36" s="18">
        <f>(2551.0/B36*100)</f>
        <v/>
      </c>
      <c r="D36" s="19" t="n">
        <v>853</v>
      </c>
      <c r="E36" s="18" t="n">
        <v>50.56532123</v>
      </c>
      <c r="F36" s="20" t="n">
        <v>1.78116649</v>
      </c>
      <c r="G36" s="18" t="n">
        <v>27.50736428</v>
      </c>
      <c r="H36" s="20" t="n">
        <v>1.69977251</v>
      </c>
      <c r="I36" s="18" t="s">
        <v>105</v>
      </c>
      <c r="J36" s="20" t="s">
        <v>105</v>
      </c>
      <c r="K36" s="18" t="n">
        <v>0.71308259</v>
      </c>
      <c r="L36" s="20" t="n">
        <v>0.29145663</v>
      </c>
      <c r="M36" s="18" t="n">
        <v>0</v>
      </c>
      <c r="N36" s="20" t="n">
        <v>0</v>
      </c>
      <c r="O36" s="18" t="n">
        <v>0</v>
      </c>
      <c r="P36" s="20" t="n">
        <v>0</v>
      </c>
      <c r="Q36" s="18" t="n">
        <v>21.2142319</v>
      </c>
      <c r="R36" s="20" t="n">
        <v>1.26996981</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2854</v>
      </c>
      <c r="C41" s="18">
        <f>(2148.0/B41*100)</f>
        <v/>
      </c>
      <c r="D41" s="19" t="n">
        <v>706</v>
      </c>
      <c r="E41" s="18" t="n">
        <v>63.11062927</v>
      </c>
      <c r="F41" s="20" t="n">
        <v>1.96412293</v>
      </c>
      <c r="G41" s="18" t="n">
        <v>27.15770391</v>
      </c>
      <c r="H41" s="20" t="n">
        <v>1.83680377</v>
      </c>
      <c r="I41" s="18" t="s">
        <v>105</v>
      </c>
      <c r="J41" s="20" t="s">
        <v>105</v>
      </c>
      <c r="K41" s="18" t="n">
        <v>0.31874267</v>
      </c>
      <c r="L41" s="20" t="n">
        <v>0.22796586</v>
      </c>
      <c r="M41" s="18" t="n">
        <v>0</v>
      </c>
      <c r="N41" s="20" t="n">
        <v>0</v>
      </c>
      <c r="O41" s="18" t="n">
        <v>0</v>
      </c>
      <c r="P41" s="20" t="n">
        <v>0</v>
      </c>
      <c r="Q41" s="18" t="n">
        <v>9.412924159999999</v>
      </c>
      <c r="R41" s="20" t="n">
        <v>1.36245201</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12073</v>
      </c>
      <c r="C46" s="18">
        <f>(9868.0/B46*100)</f>
        <v/>
      </c>
      <c r="D46" s="19" t="n">
        <v>2205</v>
      </c>
      <c r="E46" s="18" t="n">
        <v>51.17394964</v>
      </c>
      <c r="F46" s="20" t="n">
        <v>1.61312187</v>
      </c>
      <c r="G46" s="18" t="n">
        <v>10.11674396</v>
      </c>
      <c r="H46" s="20" t="n">
        <v>1.08439462</v>
      </c>
      <c r="I46" s="18" t="s">
        <v>105</v>
      </c>
      <c r="J46" s="20" t="s">
        <v>105</v>
      </c>
      <c r="K46" s="18" t="n">
        <v>6.59967913</v>
      </c>
      <c r="L46" s="20" t="n">
        <v>0.83623197</v>
      </c>
      <c r="M46" s="18" t="n">
        <v>0</v>
      </c>
      <c r="N46" s="20" t="n">
        <v>0</v>
      </c>
      <c r="O46" s="18" t="n">
        <v>0</v>
      </c>
      <c r="P46" s="20" t="n">
        <v>0</v>
      </c>
      <c r="Q46" s="18" t="n">
        <v>32.10962727</v>
      </c>
      <c r="R46" s="20" t="n">
        <v>1.30681697</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4682</v>
      </c>
      <c r="C48" s="18">
        <f>(3500.0/B48*100)</f>
        <v/>
      </c>
      <c r="D48" s="19" t="n">
        <v>1182</v>
      </c>
      <c r="E48" s="18" t="n">
        <v>52.6944931</v>
      </c>
      <c r="F48" s="20" t="n">
        <v>2.05646439</v>
      </c>
      <c r="G48" s="18" t="n">
        <v>41.73391136</v>
      </c>
      <c r="H48" s="20" t="n">
        <v>2.34673687</v>
      </c>
      <c r="I48" s="18" t="s">
        <v>105</v>
      </c>
      <c r="J48" s="20" t="s">
        <v>105</v>
      </c>
      <c r="K48" s="18" t="n">
        <v>0.06533533</v>
      </c>
      <c r="L48" s="20" t="n">
        <v>0.0655173</v>
      </c>
      <c r="M48" s="18" t="n">
        <v>0</v>
      </c>
      <c r="N48" s="20" t="n">
        <v>0</v>
      </c>
      <c r="O48" s="18" t="n">
        <v>0</v>
      </c>
      <c r="P48" s="20" t="n">
        <v>0</v>
      </c>
      <c r="Q48" s="18" t="n">
        <v>5.50626021</v>
      </c>
      <c r="R48" s="20" t="n">
        <v>0.9550376699999999</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3201</v>
      </c>
      <c r="C61" s="18">
        <f>(2363.0/B61*100)</f>
        <v/>
      </c>
      <c r="D61" s="19" t="n">
        <v>838</v>
      </c>
      <c r="E61" s="18" t="n">
        <v>37.73477554</v>
      </c>
      <c r="F61" s="20" t="n">
        <v>1.85180352</v>
      </c>
      <c r="G61" s="18" t="n">
        <v>31.95897071</v>
      </c>
      <c r="H61" s="20" t="n">
        <v>2.03592039</v>
      </c>
      <c r="I61" s="18" t="s">
        <v>105</v>
      </c>
      <c r="J61" s="20" t="s">
        <v>105</v>
      </c>
      <c r="K61" s="18" t="n">
        <v>0.76044699</v>
      </c>
      <c r="L61" s="20" t="n">
        <v>0.317761</v>
      </c>
      <c r="M61" s="18" t="n">
        <v>0.13972249</v>
      </c>
      <c r="N61" s="20" t="n">
        <v>0.12580088</v>
      </c>
      <c r="O61" s="18" t="n">
        <v>0</v>
      </c>
      <c r="P61" s="20" t="n">
        <v>0</v>
      </c>
      <c r="Q61" s="18" t="n">
        <v>29.40608428</v>
      </c>
      <c r="R61" s="20" t="n">
        <v>1.7318662</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3460</v>
      </c>
      <c r="C67" s="18">
        <f>(2716.0/B67*100)</f>
        <v/>
      </c>
      <c r="D67" s="19" t="n">
        <v>744</v>
      </c>
      <c r="E67" s="18" t="n">
        <v>84.0800728</v>
      </c>
      <c r="F67" s="20" t="n">
        <v>1.46917567</v>
      </c>
      <c r="G67" s="18" t="n">
        <v>5.19814307</v>
      </c>
      <c r="H67" s="20" t="n">
        <v>0.90344935</v>
      </c>
      <c r="I67" s="18" t="s">
        <v>105</v>
      </c>
      <c r="J67" s="20" t="s">
        <v>105</v>
      </c>
      <c r="K67" s="18" t="n">
        <v>0.25580366</v>
      </c>
      <c r="L67" s="20" t="n">
        <v>0.25304312</v>
      </c>
      <c r="M67" s="18" t="n">
        <v>0</v>
      </c>
      <c r="N67" s="20" t="n">
        <v>0</v>
      </c>
      <c r="O67" s="18" t="n">
        <v>0</v>
      </c>
      <c r="P67" s="20" t="n">
        <v>0</v>
      </c>
      <c r="Q67" s="18" t="n">
        <v>10.46598046</v>
      </c>
      <c r="R67" s="20" t="n">
        <v>1.24362718</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3107</v>
      </c>
      <c r="C70" s="18">
        <f>(2376.0/B70*100)</f>
        <v/>
      </c>
      <c r="D70" s="19" t="n">
        <v>731</v>
      </c>
      <c r="E70" s="18" t="n">
        <v>55.53078453</v>
      </c>
      <c r="F70" s="20" t="n">
        <v>2.26783636</v>
      </c>
      <c r="G70" s="18" t="n">
        <v>19.39670492</v>
      </c>
      <c r="H70" s="20" t="n">
        <v>1.67797968</v>
      </c>
      <c r="I70" s="18" t="s">
        <v>105</v>
      </c>
      <c r="J70" s="20" t="s">
        <v>105</v>
      </c>
      <c r="K70" s="18" t="n">
        <v>2.57932623</v>
      </c>
      <c r="L70" s="20" t="n">
        <v>1.06250809</v>
      </c>
      <c r="M70" s="18" t="n">
        <v>0</v>
      </c>
      <c r="N70" s="20" t="n">
        <v>0</v>
      </c>
      <c r="O70" s="18" t="n">
        <v>0</v>
      </c>
      <c r="P70" s="20" t="n">
        <v>0</v>
      </c>
      <c r="Q70" s="18" t="n">
        <v>22.49318432</v>
      </c>
      <c r="R70" s="20" t="n">
        <v>2.08035825</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2.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88</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7163</v>
      </c>
      <c r="C7" s="18">
        <f>(276.0/B7*100)</f>
        <v/>
      </c>
      <c r="D7" s="19" t="n">
        <v>6887</v>
      </c>
      <c r="E7" s="18" t="n">
        <v>7.51359714</v>
      </c>
      <c r="F7" s="20" t="n">
        <v>0.39146222</v>
      </c>
      <c r="G7" s="18" t="n">
        <v>90.85696835</v>
      </c>
      <c r="H7" s="20" t="n">
        <v>0.45907419</v>
      </c>
      <c r="I7" s="18" t="s">
        <v>105</v>
      </c>
      <c r="J7" s="20" t="s">
        <v>105</v>
      </c>
      <c r="K7" s="18" t="n">
        <v>0.28971825</v>
      </c>
      <c r="L7" s="20" t="n">
        <v>0.08277615000000001</v>
      </c>
      <c r="M7" s="18" t="n">
        <v>0</v>
      </c>
      <c r="N7" s="20" t="n">
        <v>0</v>
      </c>
      <c r="O7" s="18" t="n">
        <v>0</v>
      </c>
      <c r="P7" s="20" t="n">
        <v>0</v>
      </c>
      <c r="Q7" s="18" t="n">
        <v>1.33971625</v>
      </c>
      <c r="R7" s="20" t="n">
        <v>0.18229392</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2795</v>
      </c>
      <c r="C9" s="18">
        <f>(2143.0/B9*100)</f>
        <v/>
      </c>
      <c r="D9" s="19" t="n">
        <v>652</v>
      </c>
      <c r="E9" s="18" t="n">
        <v>4.09397741</v>
      </c>
      <c r="F9" s="20" t="n">
        <v>0.88054675</v>
      </c>
      <c r="G9" s="18" t="n">
        <v>95.39369859999999</v>
      </c>
      <c r="H9" s="20" t="n">
        <v>1.05468549</v>
      </c>
      <c r="I9" s="18" t="s">
        <v>105</v>
      </c>
      <c r="J9" s="20" t="s">
        <v>105</v>
      </c>
      <c r="K9" s="18" t="n">
        <v>0</v>
      </c>
      <c r="L9" s="20" t="n">
        <v>0</v>
      </c>
      <c r="M9" s="18" t="n">
        <v>0</v>
      </c>
      <c r="N9" s="20" t="n">
        <v>0</v>
      </c>
      <c r="O9" s="18" t="n">
        <v>0</v>
      </c>
      <c r="P9" s="20" t="n">
        <v>0</v>
      </c>
      <c r="Q9" s="18" t="n">
        <v>0.51232398</v>
      </c>
      <c r="R9" s="20" t="n">
        <v>0.45880193</v>
      </c>
    </row>
    <row r="10" spans="1:18">
      <c r="A10" s="15" t="s">
        <v>109</v>
      </c>
      <c r="B10" s="17" t="n">
        <v>6602</v>
      </c>
      <c r="C10" s="18">
        <f>(5012.0/B10*100)</f>
        <v/>
      </c>
      <c r="D10" s="19" t="n">
        <v>1590</v>
      </c>
      <c r="E10" s="18" t="n">
        <v>7.56942887</v>
      </c>
      <c r="F10" s="20" t="n">
        <v>1.06156804</v>
      </c>
      <c r="G10" s="18" t="n">
        <v>91.54369556</v>
      </c>
      <c r="H10" s="20" t="n">
        <v>1.13844898</v>
      </c>
      <c r="I10" s="18" t="s">
        <v>105</v>
      </c>
      <c r="J10" s="20" t="s">
        <v>105</v>
      </c>
      <c r="K10" s="18" t="n">
        <v>0.02403624</v>
      </c>
      <c r="L10" s="20" t="n">
        <v>0.02538196</v>
      </c>
      <c r="M10" s="18" t="n">
        <v>0</v>
      </c>
      <c r="N10" s="20" t="n">
        <v>0</v>
      </c>
      <c r="O10" s="18" t="n">
        <v>0</v>
      </c>
      <c r="P10" s="20" t="n">
        <v>0</v>
      </c>
      <c r="Q10" s="18" t="n">
        <v>0.86283932</v>
      </c>
      <c r="R10" s="20" t="n">
        <v>0.34412235</v>
      </c>
    </row>
    <row r="11" spans="1:18">
      <c r="A11" s="15" t="s">
        <v>110</v>
      </c>
      <c r="B11" s="17" t="n">
        <v>3500</v>
      </c>
      <c r="C11" s="18">
        <f>(2606.0/B11*100)</f>
        <v/>
      </c>
      <c r="D11" s="19" t="n">
        <v>894</v>
      </c>
      <c r="E11" s="18" t="n">
        <v>16.80268001</v>
      </c>
      <c r="F11" s="20" t="n">
        <v>1.49128164</v>
      </c>
      <c r="G11" s="18" t="n">
        <v>81.74306258</v>
      </c>
      <c r="H11" s="20" t="n">
        <v>1.45393114</v>
      </c>
      <c r="I11" s="18" t="s">
        <v>105</v>
      </c>
      <c r="J11" s="20" t="s">
        <v>105</v>
      </c>
      <c r="K11" s="18" t="n">
        <v>0.10787437</v>
      </c>
      <c r="L11" s="20" t="n">
        <v>0.09787289</v>
      </c>
      <c r="M11" s="18" t="n">
        <v>0</v>
      </c>
      <c r="N11" s="20" t="n">
        <v>0</v>
      </c>
      <c r="O11" s="18" t="n">
        <v>0</v>
      </c>
      <c r="P11" s="20" t="n">
        <v>0</v>
      </c>
      <c r="Q11" s="18" t="n">
        <v>1.34638304</v>
      </c>
      <c r="R11" s="20" t="n">
        <v>0.44137728</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5792</v>
      </c>
      <c r="C23" s="18">
        <f>(4448.0/B23*100)</f>
        <v/>
      </c>
      <c r="D23" s="19" t="n">
        <v>1344</v>
      </c>
      <c r="E23" s="18" t="n">
        <v>5.37256963</v>
      </c>
      <c r="F23" s="20" t="n">
        <v>0.75657311</v>
      </c>
      <c r="G23" s="18" t="n">
        <v>93.46715153</v>
      </c>
      <c r="H23" s="20" t="n">
        <v>0.85201511</v>
      </c>
      <c r="I23" s="18" t="s">
        <v>105</v>
      </c>
      <c r="J23" s="20" t="s">
        <v>105</v>
      </c>
      <c r="K23" s="18" t="n">
        <v>0.22913622</v>
      </c>
      <c r="L23" s="20" t="n">
        <v>0.1661516</v>
      </c>
      <c r="M23" s="18" t="n">
        <v>0</v>
      </c>
      <c r="N23" s="20" t="n">
        <v>0</v>
      </c>
      <c r="O23" s="18" t="n">
        <v>0</v>
      </c>
      <c r="P23" s="20" t="n">
        <v>0</v>
      </c>
      <c r="Q23" s="18" t="n">
        <v>0.93114261</v>
      </c>
      <c r="R23" s="20" t="n">
        <v>0.39087824</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2700</v>
      </c>
      <c r="C29" s="18">
        <f>(2020.0/B29*100)</f>
        <v/>
      </c>
      <c r="D29" s="19" t="n">
        <v>680</v>
      </c>
      <c r="E29" s="18" t="n">
        <v>9.35629192</v>
      </c>
      <c r="F29" s="20" t="n">
        <v>1.0076077</v>
      </c>
      <c r="G29" s="18" t="n">
        <v>90.51544162</v>
      </c>
      <c r="H29" s="20" t="n">
        <v>1.05036001</v>
      </c>
      <c r="I29" s="18" t="s">
        <v>105</v>
      </c>
      <c r="J29" s="20" t="s">
        <v>105</v>
      </c>
      <c r="K29" s="18" t="n">
        <v>0.12826646</v>
      </c>
      <c r="L29" s="20" t="n">
        <v>0.13672156</v>
      </c>
      <c r="M29" s="18" t="n">
        <v>0</v>
      </c>
      <c r="N29" s="20" t="n">
        <v>0</v>
      </c>
      <c r="O29" s="18" t="n">
        <v>0</v>
      </c>
      <c r="P29" s="20" t="n">
        <v>0</v>
      </c>
      <c r="Q29" s="18" t="n">
        <v>0</v>
      </c>
      <c r="R29" s="20" t="n">
        <v>0</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2209</v>
      </c>
      <c r="C32" s="18">
        <f>(1354.0/B32*100)</f>
        <v/>
      </c>
      <c r="D32" s="19" t="n">
        <v>855</v>
      </c>
      <c r="E32" s="18" t="n">
        <v>8.43242863</v>
      </c>
      <c r="F32" s="20" t="n">
        <v>0.8737362</v>
      </c>
      <c r="G32" s="18" t="n">
        <v>90.89414284</v>
      </c>
      <c r="H32" s="20" t="n">
        <v>0.89268023</v>
      </c>
      <c r="I32" s="18" t="s">
        <v>105</v>
      </c>
      <c r="J32" s="20" t="s">
        <v>105</v>
      </c>
      <c r="K32" s="18" t="n">
        <v>0.13832888</v>
      </c>
      <c r="L32" s="20" t="n">
        <v>0.14600267</v>
      </c>
      <c r="M32" s="18" t="n">
        <v>0</v>
      </c>
      <c r="N32" s="20" t="n">
        <v>0</v>
      </c>
      <c r="O32" s="18" t="n">
        <v>0</v>
      </c>
      <c r="P32" s="20" t="n">
        <v>0</v>
      </c>
      <c r="Q32" s="18" t="n">
        <v>0.53509965</v>
      </c>
      <c r="R32" s="20" t="n">
        <v>0.24022624</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3035</v>
      </c>
      <c r="C34" s="18">
        <f>(2300.0/B34*100)</f>
        <v/>
      </c>
      <c r="D34" s="19" t="n">
        <v>735</v>
      </c>
      <c r="E34" s="18" t="n">
        <v>14.2859009</v>
      </c>
      <c r="F34" s="20" t="n">
        <v>1.19960187</v>
      </c>
      <c r="G34" s="18" t="n">
        <v>84.2668115</v>
      </c>
      <c r="H34" s="20" t="n">
        <v>1.23298814</v>
      </c>
      <c r="I34" s="18" t="s">
        <v>105</v>
      </c>
      <c r="J34" s="20" t="s">
        <v>105</v>
      </c>
      <c r="K34" s="18" t="n">
        <v>0.10041724</v>
      </c>
      <c r="L34" s="20" t="n">
        <v>0.09961396</v>
      </c>
      <c r="M34" s="18" t="n">
        <v>0</v>
      </c>
      <c r="N34" s="20" t="n">
        <v>0</v>
      </c>
      <c r="O34" s="18" t="n">
        <v>0</v>
      </c>
      <c r="P34" s="20" t="n">
        <v>0</v>
      </c>
      <c r="Q34" s="18" t="n">
        <v>1.34687036</v>
      </c>
      <c r="R34" s="20" t="n">
        <v>0.43450549</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3404</v>
      </c>
      <c r="C36" s="18">
        <f>(2529.0/B36*100)</f>
        <v/>
      </c>
      <c r="D36" s="19" t="n">
        <v>875</v>
      </c>
      <c r="E36" s="18" t="n">
        <v>9.6026139</v>
      </c>
      <c r="F36" s="20" t="n">
        <v>1.0954931</v>
      </c>
      <c r="G36" s="18" t="n">
        <v>89.77631223</v>
      </c>
      <c r="H36" s="20" t="n">
        <v>1.14644787</v>
      </c>
      <c r="I36" s="18" t="s">
        <v>105</v>
      </c>
      <c r="J36" s="20" t="s">
        <v>105</v>
      </c>
      <c r="K36" s="18" t="n">
        <v>0</v>
      </c>
      <c r="L36" s="20" t="n">
        <v>0</v>
      </c>
      <c r="M36" s="18" t="n">
        <v>0</v>
      </c>
      <c r="N36" s="20" t="n">
        <v>0</v>
      </c>
      <c r="O36" s="18" t="n">
        <v>0</v>
      </c>
      <c r="P36" s="20" t="n">
        <v>0</v>
      </c>
      <c r="Q36" s="18" t="n">
        <v>0.62107387</v>
      </c>
      <c r="R36" s="20" t="n">
        <v>0.25665206</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2854</v>
      </c>
      <c r="C41" s="18">
        <f>(2131.0/B41*100)</f>
        <v/>
      </c>
      <c r="D41" s="19" t="n">
        <v>723</v>
      </c>
      <c r="E41" s="18" t="n">
        <v>10.11797156</v>
      </c>
      <c r="F41" s="20" t="n">
        <v>1.05071543</v>
      </c>
      <c r="G41" s="18" t="n">
        <v>89.22586559</v>
      </c>
      <c r="H41" s="20" t="n">
        <v>1.12807715</v>
      </c>
      <c r="I41" s="18" t="s">
        <v>105</v>
      </c>
      <c r="J41" s="20" t="s">
        <v>105</v>
      </c>
      <c r="K41" s="18" t="n">
        <v>0</v>
      </c>
      <c r="L41" s="20" t="n">
        <v>0</v>
      </c>
      <c r="M41" s="18" t="n">
        <v>0</v>
      </c>
      <c r="N41" s="20" t="n">
        <v>0</v>
      </c>
      <c r="O41" s="18" t="n">
        <v>0</v>
      </c>
      <c r="P41" s="20" t="n">
        <v>0</v>
      </c>
      <c r="Q41" s="18" t="n">
        <v>0.65616284</v>
      </c>
      <c r="R41" s="20" t="n">
        <v>0.29105382</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12073</v>
      </c>
      <c r="C46" s="18">
        <f>(9315.0/B46*100)</f>
        <v/>
      </c>
      <c r="D46" s="19" t="n">
        <v>2758</v>
      </c>
      <c r="E46" s="18" t="n">
        <v>19.71325571</v>
      </c>
      <c r="F46" s="20" t="n">
        <v>1.0133361</v>
      </c>
      <c r="G46" s="18" t="n">
        <v>75.93736496</v>
      </c>
      <c r="H46" s="20" t="n">
        <v>1.11957659</v>
      </c>
      <c r="I46" s="18" t="s">
        <v>105</v>
      </c>
      <c r="J46" s="20" t="s">
        <v>105</v>
      </c>
      <c r="K46" s="18" t="n">
        <v>0.70353115</v>
      </c>
      <c r="L46" s="20" t="n">
        <v>0.21248667</v>
      </c>
      <c r="M46" s="18" t="n">
        <v>0</v>
      </c>
      <c r="N46" s="20" t="n">
        <v>0</v>
      </c>
      <c r="O46" s="18" t="n">
        <v>0</v>
      </c>
      <c r="P46" s="20" t="n">
        <v>0</v>
      </c>
      <c r="Q46" s="18" t="n">
        <v>3.64584817</v>
      </c>
      <c r="R46" s="20" t="n">
        <v>0.60956935</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4682</v>
      </c>
      <c r="C48" s="18">
        <f>(3490.0/B48*100)</f>
        <v/>
      </c>
      <c r="D48" s="19" t="n">
        <v>1192</v>
      </c>
      <c r="E48" s="18" t="n">
        <v>6.74805507</v>
      </c>
      <c r="F48" s="20" t="n">
        <v>0.92287153</v>
      </c>
      <c r="G48" s="18" t="n">
        <v>92.77654628000001</v>
      </c>
      <c r="H48" s="20" t="n">
        <v>0.92982752</v>
      </c>
      <c r="I48" s="18" t="s">
        <v>105</v>
      </c>
      <c r="J48" s="20" t="s">
        <v>105</v>
      </c>
      <c r="K48" s="18" t="n">
        <v>0.06434436</v>
      </c>
      <c r="L48" s="20" t="n">
        <v>0.06451257000000001</v>
      </c>
      <c r="M48" s="18" t="n">
        <v>0</v>
      </c>
      <c r="N48" s="20" t="n">
        <v>0</v>
      </c>
      <c r="O48" s="18" t="n">
        <v>0</v>
      </c>
      <c r="P48" s="20" t="n">
        <v>0</v>
      </c>
      <c r="Q48" s="18" t="n">
        <v>0.41105428</v>
      </c>
      <c r="R48" s="20" t="n">
        <v>0.24621396</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3201</v>
      </c>
      <c r="C61" s="18">
        <f>(2357.0/B61*100)</f>
        <v/>
      </c>
      <c r="D61" s="19" t="n">
        <v>844</v>
      </c>
      <c r="E61" s="18" t="n">
        <v>8.96169796</v>
      </c>
      <c r="F61" s="20" t="n">
        <v>1.17033394</v>
      </c>
      <c r="G61" s="18" t="n">
        <v>90.16180912999999</v>
      </c>
      <c r="H61" s="20" t="n">
        <v>1.1552627</v>
      </c>
      <c r="I61" s="18" t="s">
        <v>105</v>
      </c>
      <c r="J61" s="20" t="s">
        <v>105</v>
      </c>
      <c r="K61" s="18" t="n">
        <v>0.15209773</v>
      </c>
      <c r="L61" s="20" t="n">
        <v>0.1584732</v>
      </c>
      <c r="M61" s="18" t="n">
        <v>0</v>
      </c>
      <c r="N61" s="20" t="n">
        <v>0</v>
      </c>
      <c r="O61" s="18" t="n">
        <v>0</v>
      </c>
      <c r="P61" s="20" t="n">
        <v>0</v>
      </c>
      <c r="Q61" s="18" t="n">
        <v>0.72439518</v>
      </c>
      <c r="R61" s="20" t="n">
        <v>0.31429718</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3460</v>
      </c>
      <c r="C67" s="18">
        <f>(2570.0/B67*100)</f>
        <v/>
      </c>
      <c r="D67" s="19" t="n">
        <v>890</v>
      </c>
      <c r="E67" s="18" t="n">
        <v>20.75441653</v>
      </c>
      <c r="F67" s="20" t="n">
        <v>1.59814729</v>
      </c>
      <c r="G67" s="18" t="n">
        <v>78.22055389000001</v>
      </c>
      <c r="H67" s="20" t="n">
        <v>1.65693233</v>
      </c>
      <c r="I67" s="18" t="s">
        <v>105</v>
      </c>
      <c r="J67" s="20" t="s">
        <v>105</v>
      </c>
      <c r="K67" s="18" t="n">
        <v>0</v>
      </c>
      <c r="L67" s="20" t="n">
        <v>0</v>
      </c>
      <c r="M67" s="18" t="n">
        <v>0</v>
      </c>
      <c r="N67" s="20" t="n">
        <v>0</v>
      </c>
      <c r="O67" s="18" t="n">
        <v>0</v>
      </c>
      <c r="P67" s="20" t="n">
        <v>0</v>
      </c>
      <c r="Q67" s="18" t="n">
        <v>1.02502958</v>
      </c>
      <c r="R67" s="20" t="n">
        <v>0.38034288</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3107</v>
      </c>
      <c r="C70" s="18">
        <f>(2314.0/B70*100)</f>
        <v/>
      </c>
      <c r="D70" s="19" t="n">
        <v>793</v>
      </c>
      <c r="E70" s="18" t="n">
        <v>7.87427586</v>
      </c>
      <c r="F70" s="20" t="n">
        <v>1.05829018</v>
      </c>
      <c r="G70" s="18" t="n">
        <v>91.40628805999999</v>
      </c>
      <c r="H70" s="20" t="n">
        <v>1.11152958</v>
      </c>
      <c r="I70" s="18" t="s">
        <v>105</v>
      </c>
      <c r="J70" s="20" t="s">
        <v>105</v>
      </c>
      <c r="K70" s="18" t="n">
        <v>0</v>
      </c>
      <c r="L70" s="20" t="n">
        <v>0</v>
      </c>
      <c r="M70" s="18" t="n">
        <v>0</v>
      </c>
      <c r="N70" s="20" t="n">
        <v>0</v>
      </c>
      <c r="O70" s="18" t="n">
        <v>0</v>
      </c>
      <c r="P70" s="20" t="n">
        <v>0</v>
      </c>
      <c r="Q70" s="18" t="n">
        <v>0.71943607</v>
      </c>
      <c r="R70" s="20" t="n">
        <v>0.21946404</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20.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225</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7163</v>
      </c>
      <c r="C7" s="18">
        <f>(659.0/B7*100)</f>
        <v/>
      </c>
      <c r="D7" s="19" t="n">
        <v>6504</v>
      </c>
      <c r="E7" s="18" t="n">
        <v>89.40987877000001</v>
      </c>
      <c r="F7" s="20" t="n">
        <v>0.47868062</v>
      </c>
      <c r="G7" s="18" t="n">
        <v>6.6585068</v>
      </c>
      <c r="H7" s="20" t="n">
        <v>0.4066842</v>
      </c>
      <c r="I7" s="18" t="s">
        <v>105</v>
      </c>
      <c r="J7" s="20" t="s">
        <v>105</v>
      </c>
      <c r="K7" s="18" t="n">
        <v>1.84375279</v>
      </c>
      <c r="L7" s="20" t="n">
        <v>0.22633192</v>
      </c>
      <c r="M7" s="18" t="n">
        <v>0</v>
      </c>
      <c r="N7" s="20" t="n">
        <v>0</v>
      </c>
      <c r="O7" s="18" t="n">
        <v>0</v>
      </c>
      <c r="P7" s="20" t="n">
        <v>0</v>
      </c>
      <c r="Q7" s="18" t="n">
        <v>2.08786164</v>
      </c>
      <c r="R7" s="20" t="n">
        <v>0.21557287</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2795</v>
      </c>
      <c r="C9" s="18">
        <f>(2176.0/B9*100)</f>
        <v/>
      </c>
      <c r="D9" s="19" t="n">
        <v>619</v>
      </c>
      <c r="E9" s="18" t="n">
        <v>86.51070896</v>
      </c>
      <c r="F9" s="20" t="n">
        <v>1.54193271</v>
      </c>
      <c r="G9" s="18" t="n">
        <v>11.0056937</v>
      </c>
      <c r="H9" s="20" t="n">
        <v>1.45934365</v>
      </c>
      <c r="I9" s="18" t="s">
        <v>105</v>
      </c>
      <c r="J9" s="20" t="s">
        <v>105</v>
      </c>
      <c r="K9" s="18" t="n">
        <v>1.55809154</v>
      </c>
      <c r="L9" s="20" t="n">
        <v>0.57106656</v>
      </c>
      <c r="M9" s="18" t="n">
        <v>0</v>
      </c>
      <c r="N9" s="20" t="n">
        <v>0</v>
      </c>
      <c r="O9" s="18" t="n">
        <v>0</v>
      </c>
      <c r="P9" s="20" t="n">
        <v>0</v>
      </c>
      <c r="Q9" s="18" t="n">
        <v>0.9255058</v>
      </c>
      <c r="R9" s="20" t="n">
        <v>0.42872921</v>
      </c>
    </row>
    <row r="10" spans="1:18">
      <c r="A10" s="15" t="s">
        <v>109</v>
      </c>
      <c r="B10" s="17" t="n">
        <v>6602</v>
      </c>
      <c r="C10" s="18">
        <f>(5020.0/B10*100)</f>
        <v/>
      </c>
      <c r="D10" s="19" t="n">
        <v>1582</v>
      </c>
      <c r="E10" s="18" t="n">
        <v>93.61732608</v>
      </c>
      <c r="F10" s="20" t="n">
        <v>0.83667061</v>
      </c>
      <c r="G10" s="18" t="n">
        <v>5.77134721</v>
      </c>
      <c r="H10" s="20" t="n">
        <v>0.78793602</v>
      </c>
      <c r="I10" s="18" t="s">
        <v>105</v>
      </c>
      <c r="J10" s="20" t="s">
        <v>105</v>
      </c>
      <c r="K10" s="18" t="n">
        <v>0.18702598</v>
      </c>
      <c r="L10" s="20" t="n">
        <v>0.06255595999999999</v>
      </c>
      <c r="M10" s="18" t="n">
        <v>0</v>
      </c>
      <c r="N10" s="20" t="n">
        <v>0</v>
      </c>
      <c r="O10" s="18" t="n">
        <v>0</v>
      </c>
      <c r="P10" s="20" t="n">
        <v>0</v>
      </c>
      <c r="Q10" s="18" t="n">
        <v>0.42430073</v>
      </c>
      <c r="R10" s="20" t="n">
        <v>0.23712425</v>
      </c>
    </row>
    <row r="11" spans="1:18">
      <c r="A11" s="15" t="s">
        <v>110</v>
      </c>
      <c r="B11" s="17" t="n">
        <v>3500</v>
      </c>
      <c r="C11" s="18">
        <f>(2627.0/B11*100)</f>
        <v/>
      </c>
      <c r="D11" s="19" t="n">
        <v>873</v>
      </c>
      <c r="E11" s="18" t="n">
        <v>93.44313755</v>
      </c>
      <c r="F11" s="20" t="n">
        <v>0.83904041</v>
      </c>
      <c r="G11" s="18" t="n">
        <v>2.35951349</v>
      </c>
      <c r="H11" s="20" t="n">
        <v>0.68131946</v>
      </c>
      <c r="I11" s="18" t="s">
        <v>105</v>
      </c>
      <c r="J11" s="20" t="s">
        <v>105</v>
      </c>
      <c r="K11" s="18" t="n">
        <v>2.51344223</v>
      </c>
      <c r="L11" s="20" t="n">
        <v>0.67736564</v>
      </c>
      <c r="M11" s="18" t="n">
        <v>0</v>
      </c>
      <c r="N11" s="20" t="n">
        <v>0</v>
      </c>
      <c r="O11" s="18" t="n">
        <v>0</v>
      </c>
      <c r="P11" s="20" t="n">
        <v>0</v>
      </c>
      <c r="Q11" s="18" t="n">
        <v>1.68390673</v>
      </c>
      <c r="R11" s="20" t="n">
        <v>0.54911903</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5792</v>
      </c>
      <c r="C23" s="18">
        <f>(4480.0/B23*100)</f>
        <v/>
      </c>
      <c r="D23" s="19" t="n">
        <v>1312</v>
      </c>
      <c r="E23" s="18" t="n">
        <v>92.63372929000001</v>
      </c>
      <c r="F23" s="20" t="n">
        <v>0.84262696</v>
      </c>
      <c r="G23" s="18" t="n">
        <v>5.00730538</v>
      </c>
      <c r="H23" s="20" t="n">
        <v>0.80396828</v>
      </c>
      <c r="I23" s="18" t="s">
        <v>105</v>
      </c>
      <c r="J23" s="20" t="s">
        <v>105</v>
      </c>
      <c r="K23" s="18" t="n">
        <v>1.29915248</v>
      </c>
      <c r="L23" s="20" t="n">
        <v>0.43364337</v>
      </c>
      <c r="M23" s="18" t="n">
        <v>0</v>
      </c>
      <c r="N23" s="20" t="n">
        <v>0</v>
      </c>
      <c r="O23" s="18" t="n">
        <v>0</v>
      </c>
      <c r="P23" s="20" t="n">
        <v>0</v>
      </c>
      <c r="Q23" s="18" t="n">
        <v>1.05981285</v>
      </c>
      <c r="R23" s="20" t="n">
        <v>0.36306801</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2700</v>
      </c>
      <c r="C29" s="18">
        <f>(2020.0/B29*100)</f>
        <v/>
      </c>
      <c r="D29" s="19" t="n">
        <v>680</v>
      </c>
      <c r="E29" s="18" t="n">
        <v>87.68387505</v>
      </c>
      <c r="F29" s="20" t="n">
        <v>1.36978186</v>
      </c>
      <c r="G29" s="18" t="n">
        <v>11.61705274</v>
      </c>
      <c r="H29" s="20" t="n">
        <v>1.36055267</v>
      </c>
      <c r="I29" s="18" t="s">
        <v>105</v>
      </c>
      <c r="J29" s="20" t="s">
        <v>105</v>
      </c>
      <c r="K29" s="18" t="n">
        <v>0.12826646</v>
      </c>
      <c r="L29" s="20" t="n">
        <v>0.13672156</v>
      </c>
      <c r="M29" s="18" t="n">
        <v>0</v>
      </c>
      <c r="N29" s="20" t="n">
        <v>0</v>
      </c>
      <c r="O29" s="18" t="n">
        <v>0</v>
      </c>
      <c r="P29" s="20" t="n">
        <v>0</v>
      </c>
      <c r="Q29" s="18" t="n">
        <v>0.57080574</v>
      </c>
      <c r="R29" s="20" t="n">
        <v>0.27956446</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2209</v>
      </c>
      <c r="C32" s="18">
        <f>(1359.0/B32*100)</f>
        <v/>
      </c>
      <c r="D32" s="19" t="n">
        <v>850</v>
      </c>
      <c r="E32" s="18" t="n">
        <v>95.55330103999999</v>
      </c>
      <c r="F32" s="20" t="n">
        <v>0.70574123</v>
      </c>
      <c r="G32" s="18" t="n">
        <v>3.40597207</v>
      </c>
      <c r="H32" s="20" t="n">
        <v>0.61481402</v>
      </c>
      <c r="I32" s="18" t="s">
        <v>105</v>
      </c>
      <c r="J32" s="20" t="s">
        <v>105</v>
      </c>
      <c r="K32" s="18" t="n">
        <v>0.49103843</v>
      </c>
      <c r="L32" s="20" t="n">
        <v>0.25328118</v>
      </c>
      <c r="M32" s="18" t="n">
        <v>0</v>
      </c>
      <c r="N32" s="20" t="n">
        <v>0</v>
      </c>
      <c r="O32" s="18" t="n">
        <v>0</v>
      </c>
      <c r="P32" s="20" t="n">
        <v>0</v>
      </c>
      <c r="Q32" s="18" t="n">
        <v>0.54968845</v>
      </c>
      <c r="R32" s="20" t="n">
        <v>0.29236465</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3035</v>
      </c>
      <c r="C34" s="18">
        <f>(2329.0/B34*100)</f>
        <v/>
      </c>
      <c r="D34" s="19" t="n">
        <v>706</v>
      </c>
      <c r="E34" s="18" t="n">
        <v>93.19872467</v>
      </c>
      <c r="F34" s="20" t="n">
        <v>1.0029566</v>
      </c>
      <c r="G34" s="18" t="n">
        <v>3.85963569</v>
      </c>
      <c r="H34" s="20" t="n">
        <v>0.78788867</v>
      </c>
      <c r="I34" s="18" t="s">
        <v>105</v>
      </c>
      <c r="J34" s="20" t="s">
        <v>105</v>
      </c>
      <c r="K34" s="18" t="n">
        <v>1.26238914</v>
      </c>
      <c r="L34" s="20" t="n">
        <v>0.39988325</v>
      </c>
      <c r="M34" s="18" t="n">
        <v>0</v>
      </c>
      <c r="N34" s="20" t="n">
        <v>0</v>
      </c>
      <c r="O34" s="18" t="n">
        <v>0</v>
      </c>
      <c r="P34" s="20" t="n">
        <v>0</v>
      </c>
      <c r="Q34" s="18" t="n">
        <v>1.6792505</v>
      </c>
      <c r="R34" s="20" t="n">
        <v>0.4570971</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3404</v>
      </c>
      <c r="C36" s="18">
        <f>(2554.0/B36*100)</f>
        <v/>
      </c>
      <c r="D36" s="19" t="n">
        <v>850</v>
      </c>
      <c r="E36" s="18" t="n">
        <v>94.55872288</v>
      </c>
      <c r="F36" s="20" t="n">
        <v>0.78534289</v>
      </c>
      <c r="G36" s="18" t="n">
        <v>3.71650609</v>
      </c>
      <c r="H36" s="20" t="n">
        <v>0.6890629</v>
      </c>
      <c r="I36" s="18" t="s">
        <v>105</v>
      </c>
      <c r="J36" s="20" t="s">
        <v>105</v>
      </c>
      <c r="K36" s="18" t="n">
        <v>0.83709778</v>
      </c>
      <c r="L36" s="20" t="n">
        <v>0.31244507</v>
      </c>
      <c r="M36" s="18" t="n">
        <v>0</v>
      </c>
      <c r="N36" s="20" t="n">
        <v>0</v>
      </c>
      <c r="O36" s="18" t="n">
        <v>0</v>
      </c>
      <c r="P36" s="20" t="n">
        <v>0</v>
      </c>
      <c r="Q36" s="18" t="n">
        <v>0.88767326</v>
      </c>
      <c r="R36" s="20" t="n">
        <v>0.3054231</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2854</v>
      </c>
      <c r="C41" s="18">
        <f>(2150.0/B41*100)</f>
        <v/>
      </c>
      <c r="D41" s="19" t="n">
        <v>704</v>
      </c>
      <c r="E41" s="18" t="n">
        <v>95.80389848</v>
      </c>
      <c r="F41" s="20" t="n">
        <v>0.81064361</v>
      </c>
      <c r="G41" s="18" t="n">
        <v>3.28684799</v>
      </c>
      <c r="H41" s="20" t="n">
        <v>0.77883761</v>
      </c>
      <c r="I41" s="18" t="s">
        <v>105</v>
      </c>
      <c r="J41" s="20" t="s">
        <v>105</v>
      </c>
      <c r="K41" s="18" t="n">
        <v>0.44753534</v>
      </c>
      <c r="L41" s="20" t="n">
        <v>0.26293818</v>
      </c>
      <c r="M41" s="18" t="n">
        <v>0</v>
      </c>
      <c r="N41" s="20" t="n">
        <v>0</v>
      </c>
      <c r="O41" s="18" t="n">
        <v>0</v>
      </c>
      <c r="P41" s="20" t="n">
        <v>0</v>
      </c>
      <c r="Q41" s="18" t="n">
        <v>0.4617182</v>
      </c>
      <c r="R41" s="20" t="n">
        <v>0.2522976</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12073</v>
      </c>
      <c r="C46" s="18">
        <f>(9900.0/B46*100)</f>
        <v/>
      </c>
      <c r="D46" s="19" t="n">
        <v>2173</v>
      </c>
      <c r="E46" s="18" t="n">
        <v>85.73248239999999</v>
      </c>
      <c r="F46" s="20" t="n">
        <v>1.27420224</v>
      </c>
      <c r="G46" s="18" t="n">
        <v>1.47583692</v>
      </c>
      <c r="H46" s="20" t="n">
        <v>0.32542224</v>
      </c>
      <c r="I46" s="18" t="s">
        <v>105</v>
      </c>
      <c r="J46" s="20" t="s">
        <v>105</v>
      </c>
      <c r="K46" s="18" t="n">
        <v>6.88681756</v>
      </c>
      <c r="L46" s="20" t="n">
        <v>0.83430771</v>
      </c>
      <c r="M46" s="18" t="n">
        <v>0</v>
      </c>
      <c r="N46" s="20" t="n">
        <v>0</v>
      </c>
      <c r="O46" s="18" t="n">
        <v>0</v>
      </c>
      <c r="P46" s="20" t="n">
        <v>0</v>
      </c>
      <c r="Q46" s="18" t="n">
        <v>5.90486312</v>
      </c>
      <c r="R46" s="20" t="n">
        <v>0.88162676</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4682</v>
      </c>
      <c r="C48" s="18">
        <f>(3503.0/B48*100)</f>
        <v/>
      </c>
      <c r="D48" s="19" t="n">
        <v>1179</v>
      </c>
      <c r="E48" s="18" t="n">
        <v>80.62246933</v>
      </c>
      <c r="F48" s="20" t="n">
        <v>1.33566311</v>
      </c>
      <c r="G48" s="18" t="n">
        <v>19.31190812</v>
      </c>
      <c r="H48" s="20" t="n">
        <v>1.32575408</v>
      </c>
      <c r="I48" s="18" t="s">
        <v>105</v>
      </c>
      <c r="J48" s="20" t="s">
        <v>105</v>
      </c>
      <c r="K48" s="18" t="n">
        <v>0.06562255</v>
      </c>
      <c r="L48" s="20" t="n">
        <v>0.06580513</v>
      </c>
      <c r="M48" s="18" t="n">
        <v>0</v>
      </c>
      <c r="N48" s="20" t="n">
        <v>0</v>
      </c>
      <c r="O48" s="18" t="n">
        <v>0</v>
      </c>
      <c r="P48" s="20" t="n">
        <v>0</v>
      </c>
      <c r="Q48" s="18" t="n">
        <v>0</v>
      </c>
      <c r="R48" s="20" t="n">
        <v>0</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3201</v>
      </c>
      <c r="C61" s="18">
        <f>(2363.0/B61*100)</f>
        <v/>
      </c>
      <c r="D61" s="19" t="n">
        <v>838</v>
      </c>
      <c r="E61" s="18" t="n">
        <v>94.94402952</v>
      </c>
      <c r="F61" s="20" t="n">
        <v>0.82427431</v>
      </c>
      <c r="G61" s="18" t="n">
        <v>3.0067882</v>
      </c>
      <c r="H61" s="20" t="n">
        <v>0.66544192</v>
      </c>
      <c r="I61" s="18" t="s">
        <v>105</v>
      </c>
      <c r="J61" s="20" t="s">
        <v>105</v>
      </c>
      <c r="K61" s="18" t="n">
        <v>0.76044699</v>
      </c>
      <c r="L61" s="20" t="n">
        <v>0.317761</v>
      </c>
      <c r="M61" s="18" t="n">
        <v>0</v>
      </c>
      <c r="N61" s="20" t="n">
        <v>0</v>
      </c>
      <c r="O61" s="18" t="n">
        <v>0</v>
      </c>
      <c r="P61" s="20" t="n">
        <v>0</v>
      </c>
      <c r="Q61" s="18" t="n">
        <v>1.2887353</v>
      </c>
      <c r="R61" s="20" t="n">
        <v>0.37833229</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3460</v>
      </c>
      <c r="C67" s="18">
        <f>(2729.0/B67*100)</f>
        <v/>
      </c>
      <c r="D67" s="19" t="n">
        <v>731</v>
      </c>
      <c r="E67" s="18" t="n">
        <v>96.811375</v>
      </c>
      <c r="F67" s="20" t="n">
        <v>0.72266588</v>
      </c>
      <c r="G67" s="18" t="n">
        <v>2.8024686</v>
      </c>
      <c r="H67" s="20" t="n">
        <v>0.65601068</v>
      </c>
      <c r="I67" s="18" t="s">
        <v>105</v>
      </c>
      <c r="J67" s="20" t="s">
        <v>105</v>
      </c>
      <c r="K67" s="18" t="n">
        <v>0.3861564</v>
      </c>
      <c r="L67" s="20" t="n">
        <v>0.28298753</v>
      </c>
      <c r="M67" s="18" t="n">
        <v>0</v>
      </c>
      <c r="N67" s="20" t="n">
        <v>0</v>
      </c>
      <c r="O67" s="18" t="n">
        <v>0</v>
      </c>
      <c r="P67" s="20" t="n">
        <v>0</v>
      </c>
      <c r="Q67" s="18" t="n">
        <v>0</v>
      </c>
      <c r="R67" s="20" t="n">
        <v>0</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3107</v>
      </c>
      <c r="C70" s="18">
        <f>(2382.0/B70*100)</f>
        <v/>
      </c>
      <c r="D70" s="19" t="n">
        <v>725</v>
      </c>
      <c r="E70" s="18" t="n">
        <v>90.33789252</v>
      </c>
      <c r="F70" s="20" t="n">
        <v>1.51475322</v>
      </c>
      <c r="G70" s="18" t="n">
        <v>6.09201505</v>
      </c>
      <c r="H70" s="20" t="n">
        <v>1.15181388</v>
      </c>
      <c r="I70" s="18" t="s">
        <v>105</v>
      </c>
      <c r="J70" s="20" t="s">
        <v>105</v>
      </c>
      <c r="K70" s="18" t="n">
        <v>2.59903114</v>
      </c>
      <c r="L70" s="20" t="n">
        <v>1.06813284</v>
      </c>
      <c r="M70" s="18" t="n">
        <v>0</v>
      </c>
      <c r="N70" s="20" t="n">
        <v>0</v>
      </c>
      <c r="O70" s="18" t="n">
        <v>0</v>
      </c>
      <c r="P70" s="20" t="n">
        <v>0</v>
      </c>
      <c r="Q70" s="18" t="n">
        <v>0.97106129</v>
      </c>
      <c r="R70" s="20" t="n">
        <v>0.29718353</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21.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226</v>
      </c>
    </row>
    <row customHeight="1" ht="30" r="4" spans="1:18">
      <c r="A4" s="6" t="n"/>
      <c r="B4" s="7" t="s">
        <v>89</v>
      </c>
      <c r="C4" s="7" t="s">
        <v>90</v>
      </c>
      <c r="D4" s="8" t="s">
        <v>89</v>
      </c>
      <c r="E4" s="9" t="s">
        <v>199</v>
      </c>
      <c r="F4" s="10" t="n"/>
      <c r="G4" s="9" t="s">
        <v>200</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7163</v>
      </c>
      <c r="C7" s="18">
        <f>(682.0/B7*100)</f>
        <v/>
      </c>
      <c r="D7" s="19" t="n">
        <v>6481</v>
      </c>
      <c r="E7" s="18" t="n">
        <v>18.96578591</v>
      </c>
      <c r="F7" s="20" t="n">
        <v>0.57745951</v>
      </c>
      <c r="G7" s="18" t="n">
        <v>73.14405272</v>
      </c>
      <c r="H7" s="20" t="n">
        <v>0.77069713</v>
      </c>
      <c r="I7" s="18" t="s">
        <v>105</v>
      </c>
      <c r="J7" s="20" t="s">
        <v>105</v>
      </c>
      <c r="K7" s="18" t="n">
        <v>2.41430393</v>
      </c>
      <c r="L7" s="20" t="n">
        <v>0.27245317</v>
      </c>
      <c r="M7" s="18" t="n">
        <v>0.00664561</v>
      </c>
      <c r="N7" s="20" t="n">
        <v>0.00256825</v>
      </c>
      <c r="O7" s="18" t="n">
        <v>0</v>
      </c>
      <c r="P7" s="20" t="n">
        <v>0</v>
      </c>
      <c r="Q7" s="18" t="n">
        <v>5.46921183</v>
      </c>
      <c r="R7" s="20" t="n">
        <v>0.37099602</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2795</v>
      </c>
      <c r="C9" s="18">
        <f>(2181.0/B9*100)</f>
        <v/>
      </c>
      <c r="D9" s="19" t="n">
        <v>614</v>
      </c>
      <c r="E9" s="18" t="n">
        <v>18.18426278</v>
      </c>
      <c r="F9" s="20" t="n">
        <v>1.44736341</v>
      </c>
      <c r="G9" s="18" t="n">
        <v>76.69151578</v>
      </c>
      <c r="H9" s="20" t="n">
        <v>1.64386719</v>
      </c>
      <c r="I9" s="18" t="s">
        <v>105</v>
      </c>
      <c r="J9" s="20" t="s">
        <v>105</v>
      </c>
      <c r="K9" s="18" t="n">
        <v>2.03795856</v>
      </c>
      <c r="L9" s="20" t="n">
        <v>0.62987666</v>
      </c>
      <c r="M9" s="18" t="n">
        <v>0.83685341</v>
      </c>
      <c r="N9" s="20" t="n">
        <v>0.32185339</v>
      </c>
      <c r="O9" s="18" t="n">
        <v>0</v>
      </c>
      <c r="P9" s="20" t="n">
        <v>0</v>
      </c>
      <c r="Q9" s="18" t="n">
        <v>2.24940947</v>
      </c>
      <c r="R9" s="20" t="n">
        <v>0.6242268399999999</v>
      </c>
    </row>
    <row r="10" spans="1:18">
      <c r="A10" s="15" t="s">
        <v>109</v>
      </c>
      <c r="B10" s="17" t="n">
        <v>6602</v>
      </c>
      <c r="C10" s="18">
        <f>(5018.0/B10*100)</f>
        <v/>
      </c>
      <c r="D10" s="19" t="n">
        <v>1584</v>
      </c>
      <c r="E10" s="18" t="n">
        <v>6.30602905</v>
      </c>
      <c r="F10" s="20" t="n">
        <v>1.11803374</v>
      </c>
      <c r="G10" s="18" t="n">
        <v>91.38051471</v>
      </c>
      <c r="H10" s="20" t="n">
        <v>1.25624719</v>
      </c>
      <c r="I10" s="18" t="s">
        <v>105</v>
      </c>
      <c r="J10" s="20" t="s">
        <v>105</v>
      </c>
      <c r="K10" s="18" t="n">
        <v>0.19401235</v>
      </c>
      <c r="L10" s="20" t="n">
        <v>0.06273247</v>
      </c>
      <c r="M10" s="18" t="n">
        <v>0.22083733</v>
      </c>
      <c r="N10" s="20" t="n">
        <v>0.18728598</v>
      </c>
      <c r="O10" s="18" t="n">
        <v>0</v>
      </c>
      <c r="P10" s="20" t="n">
        <v>0</v>
      </c>
      <c r="Q10" s="18" t="n">
        <v>1.89860655</v>
      </c>
      <c r="R10" s="20" t="n">
        <v>0.47444392</v>
      </c>
    </row>
    <row r="11" spans="1:18">
      <c r="A11" s="15" t="s">
        <v>110</v>
      </c>
      <c r="B11" s="17" t="n">
        <v>3500</v>
      </c>
      <c r="C11" s="18">
        <f>(2629.0/B11*100)</f>
        <v/>
      </c>
      <c r="D11" s="19" t="n">
        <v>871</v>
      </c>
      <c r="E11" s="18" t="n">
        <v>21.84242459</v>
      </c>
      <c r="F11" s="20" t="n">
        <v>1.69793126</v>
      </c>
      <c r="G11" s="18" t="n">
        <v>69.06518869999999</v>
      </c>
      <c r="H11" s="20" t="n">
        <v>1.98677298</v>
      </c>
      <c r="I11" s="18" t="s">
        <v>105</v>
      </c>
      <c r="J11" s="20" t="s">
        <v>105</v>
      </c>
      <c r="K11" s="18" t="n">
        <v>2.71368554</v>
      </c>
      <c r="L11" s="20" t="n">
        <v>0.69847165</v>
      </c>
      <c r="M11" s="18" t="n">
        <v>0.05030962</v>
      </c>
      <c r="N11" s="20" t="n">
        <v>0.0552773</v>
      </c>
      <c r="O11" s="18" t="n">
        <v>0</v>
      </c>
      <c r="P11" s="20" t="n">
        <v>0</v>
      </c>
      <c r="Q11" s="18" t="n">
        <v>6.32839155</v>
      </c>
      <c r="R11" s="20" t="n">
        <v>0.96976769</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5792</v>
      </c>
      <c r="C23" s="18">
        <f>(4486.0/B23*100)</f>
        <v/>
      </c>
      <c r="D23" s="19" t="n">
        <v>1306</v>
      </c>
      <c r="E23" s="18" t="n">
        <v>26.92918707</v>
      </c>
      <c r="F23" s="20" t="n">
        <v>1.87554562</v>
      </c>
      <c r="G23" s="18" t="n">
        <v>62.61556296</v>
      </c>
      <c r="H23" s="20" t="n">
        <v>2.14892252</v>
      </c>
      <c r="I23" s="18" t="s">
        <v>105</v>
      </c>
      <c r="J23" s="20" t="s">
        <v>105</v>
      </c>
      <c r="K23" s="18" t="n">
        <v>1.55814031</v>
      </c>
      <c r="L23" s="20" t="n">
        <v>0.48462717</v>
      </c>
      <c r="M23" s="18" t="n">
        <v>0</v>
      </c>
      <c r="N23" s="20" t="n">
        <v>0</v>
      </c>
      <c r="O23" s="18" t="n">
        <v>0</v>
      </c>
      <c r="P23" s="20" t="n">
        <v>0</v>
      </c>
      <c r="Q23" s="18" t="n">
        <v>8.89710966</v>
      </c>
      <c r="R23" s="20" t="n">
        <v>1.31594204</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2700</v>
      </c>
      <c r="C29" s="18">
        <f>(2020.0/B29*100)</f>
        <v/>
      </c>
      <c r="D29" s="19" t="n">
        <v>680</v>
      </c>
      <c r="E29" s="18" t="n">
        <v>36.76150865</v>
      </c>
      <c r="F29" s="20" t="n">
        <v>1.95853611</v>
      </c>
      <c r="G29" s="18" t="n">
        <v>59.28597985</v>
      </c>
      <c r="H29" s="20" t="n">
        <v>1.88869083</v>
      </c>
      <c r="I29" s="18" t="s">
        <v>105</v>
      </c>
      <c r="J29" s="20" t="s">
        <v>105</v>
      </c>
      <c r="K29" s="18" t="n">
        <v>0.12826646</v>
      </c>
      <c r="L29" s="20" t="n">
        <v>0.13672156</v>
      </c>
      <c r="M29" s="18" t="n">
        <v>0</v>
      </c>
      <c r="N29" s="20" t="n">
        <v>0</v>
      </c>
      <c r="O29" s="18" t="n">
        <v>0</v>
      </c>
      <c r="P29" s="20" t="n">
        <v>0</v>
      </c>
      <c r="Q29" s="18" t="n">
        <v>3.82424503</v>
      </c>
      <c r="R29" s="20" t="n">
        <v>0.7525288</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2209</v>
      </c>
      <c r="C32" s="18">
        <f>(1359.0/B32*100)</f>
        <v/>
      </c>
      <c r="D32" s="19" t="n">
        <v>850</v>
      </c>
      <c r="E32" s="18" t="n">
        <v>51.5630065</v>
      </c>
      <c r="F32" s="20" t="n">
        <v>1.76164518</v>
      </c>
      <c r="G32" s="18" t="n">
        <v>37.90743349</v>
      </c>
      <c r="H32" s="20" t="n">
        <v>1.83251404</v>
      </c>
      <c r="I32" s="18" t="s">
        <v>105</v>
      </c>
      <c r="J32" s="20" t="s">
        <v>105</v>
      </c>
      <c r="K32" s="18" t="n">
        <v>0.59770622</v>
      </c>
      <c r="L32" s="20" t="n">
        <v>0.31359147</v>
      </c>
      <c r="M32" s="18" t="n">
        <v>0.49973034</v>
      </c>
      <c r="N32" s="20" t="n">
        <v>0.5331216600000001</v>
      </c>
      <c r="O32" s="18" t="n">
        <v>0</v>
      </c>
      <c r="P32" s="20" t="n">
        <v>0</v>
      </c>
      <c r="Q32" s="18" t="n">
        <v>9.43212344</v>
      </c>
      <c r="R32" s="20" t="n">
        <v>1.16792842</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3035</v>
      </c>
      <c r="C34" s="18">
        <f>(2333.0/B34*100)</f>
        <v/>
      </c>
      <c r="D34" s="19" t="n">
        <v>702</v>
      </c>
      <c r="E34" s="18" t="n">
        <v>46.70361293</v>
      </c>
      <c r="F34" s="20" t="n">
        <v>2.0911924</v>
      </c>
      <c r="G34" s="18" t="n">
        <v>38.69548877</v>
      </c>
      <c r="H34" s="20" t="n">
        <v>2.14400753</v>
      </c>
      <c r="I34" s="18" t="s">
        <v>105</v>
      </c>
      <c r="J34" s="20" t="s">
        <v>105</v>
      </c>
      <c r="K34" s="18" t="n">
        <v>1.40563894</v>
      </c>
      <c r="L34" s="20" t="n">
        <v>0.42033413</v>
      </c>
      <c r="M34" s="18" t="n">
        <v>0</v>
      </c>
      <c r="N34" s="20" t="n">
        <v>0</v>
      </c>
      <c r="O34" s="18" t="n">
        <v>0</v>
      </c>
      <c r="P34" s="20" t="n">
        <v>0</v>
      </c>
      <c r="Q34" s="18" t="n">
        <v>13.19525936</v>
      </c>
      <c r="R34" s="20" t="n">
        <v>1.4690173</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3404</v>
      </c>
      <c r="C36" s="18">
        <f>(2555.0/B36*100)</f>
        <v/>
      </c>
      <c r="D36" s="19" t="n">
        <v>849</v>
      </c>
      <c r="E36" s="18" t="n">
        <v>17.31801773</v>
      </c>
      <c r="F36" s="20" t="n">
        <v>1.51524747</v>
      </c>
      <c r="G36" s="18" t="n">
        <v>76.06297954999999</v>
      </c>
      <c r="H36" s="20" t="n">
        <v>1.71632582</v>
      </c>
      <c r="I36" s="18" t="s">
        <v>105</v>
      </c>
      <c r="J36" s="20" t="s">
        <v>105</v>
      </c>
      <c r="K36" s="18" t="n">
        <v>0.83792507</v>
      </c>
      <c r="L36" s="20" t="n">
        <v>0.31280653</v>
      </c>
      <c r="M36" s="18" t="n">
        <v>0</v>
      </c>
      <c r="N36" s="20" t="n">
        <v>0</v>
      </c>
      <c r="O36" s="18" t="n">
        <v>0</v>
      </c>
      <c r="P36" s="20" t="n">
        <v>0</v>
      </c>
      <c r="Q36" s="18" t="n">
        <v>5.78107765</v>
      </c>
      <c r="R36" s="20" t="n">
        <v>0.87799967</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2854</v>
      </c>
      <c r="C41" s="18">
        <f>(2155.0/B41*100)</f>
        <v/>
      </c>
      <c r="D41" s="19" t="n">
        <v>699</v>
      </c>
      <c r="E41" s="18" t="n">
        <v>24.67740404</v>
      </c>
      <c r="F41" s="20" t="n">
        <v>1.75606024</v>
      </c>
      <c r="G41" s="18" t="n">
        <v>71.18561934</v>
      </c>
      <c r="H41" s="20" t="n">
        <v>1.9605192</v>
      </c>
      <c r="I41" s="18" t="s">
        <v>105</v>
      </c>
      <c r="J41" s="20" t="s">
        <v>105</v>
      </c>
      <c r="K41" s="18" t="n">
        <v>0.71576851</v>
      </c>
      <c r="L41" s="20" t="n">
        <v>0.33782685</v>
      </c>
      <c r="M41" s="18" t="n">
        <v>0</v>
      </c>
      <c r="N41" s="20" t="n">
        <v>0</v>
      </c>
      <c r="O41" s="18" t="n">
        <v>0</v>
      </c>
      <c r="P41" s="20" t="n">
        <v>0</v>
      </c>
      <c r="Q41" s="18" t="n">
        <v>3.42120812</v>
      </c>
      <c r="R41" s="20" t="n">
        <v>0.82008251</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12073</v>
      </c>
      <c r="C46" s="18">
        <f>(9950.0/B46*100)</f>
        <v/>
      </c>
      <c r="D46" s="19" t="n">
        <v>2123</v>
      </c>
      <c r="E46" s="18" t="n">
        <v>29.42798722</v>
      </c>
      <c r="F46" s="20" t="n">
        <v>1.55711928</v>
      </c>
      <c r="G46" s="18" t="n">
        <v>44.00525645</v>
      </c>
      <c r="H46" s="20" t="n">
        <v>1.59535498</v>
      </c>
      <c r="I46" s="18" t="s">
        <v>105</v>
      </c>
      <c r="J46" s="20" t="s">
        <v>105</v>
      </c>
      <c r="K46" s="18" t="n">
        <v>8.261912880000001</v>
      </c>
      <c r="L46" s="20" t="n">
        <v>0.90817384</v>
      </c>
      <c r="M46" s="18" t="n">
        <v>0</v>
      </c>
      <c r="N46" s="20" t="n">
        <v>0</v>
      </c>
      <c r="O46" s="18" t="n">
        <v>0</v>
      </c>
      <c r="P46" s="20" t="n">
        <v>0</v>
      </c>
      <c r="Q46" s="18" t="n">
        <v>18.30484344</v>
      </c>
      <c r="R46" s="20" t="n">
        <v>1.20998855</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4682</v>
      </c>
      <c r="C48" s="18">
        <f>(3503.0/B48*100)</f>
        <v/>
      </c>
      <c r="D48" s="19" t="n">
        <v>1179</v>
      </c>
      <c r="E48" s="18" t="n">
        <v>84.68317281</v>
      </c>
      <c r="F48" s="20" t="n">
        <v>1.3681907</v>
      </c>
      <c r="G48" s="18" t="n">
        <v>7.63207936</v>
      </c>
      <c r="H48" s="20" t="n">
        <v>1.1280399</v>
      </c>
      <c r="I48" s="18" t="s">
        <v>105</v>
      </c>
      <c r="J48" s="20" t="s">
        <v>105</v>
      </c>
      <c r="K48" s="18" t="n">
        <v>0.06555264</v>
      </c>
      <c r="L48" s="20" t="n">
        <v>0.06573568</v>
      </c>
      <c r="M48" s="18" t="n">
        <v>0</v>
      </c>
      <c r="N48" s="20" t="n">
        <v>0</v>
      </c>
      <c r="O48" s="18" t="n">
        <v>0</v>
      </c>
      <c r="P48" s="20" t="n">
        <v>0</v>
      </c>
      <c r="Q48" s="18" t="n">
        <v>7.61919519</v>
      </c>
      <c r="R48" s="20" t="n">
        <v>1.13687855</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3201</v>
      </c>
      <c r="C61" s="18">
        <f>(2363.0/B61*100)</f>
        <v/>
      </c>
      <c r="D61" s="19" t="n">
        <v>838</v>
      </c>
      <c r="E61" s="18" t="n">
        <v>28.78525504</v>
      </c>
      <c r="F61" s="20" t="n">
        <v>1.69389312</v>
      </c>
      <c r="G61" s="18" t="n">
        <v>61.268022</v>
      </c>
      <c r="H61" s="20" t="n">
        <v>1.70651846</v>
      </c>
      <c r="I61" s="18" t="s">
        <v>105</v>
      </c>
      <c r="J61" s="20" t="s">
        <v>105</v>
      </c>
      <c r="K61" s="18" t="n">
        <v>1.56554505</v>
      </c>
      <c r="L61" s="20" t="n">
        <v>0.52785313</v>
      </c>
      <c r="M61" s="18" t="n">
        <v>0.13972249</v>
      </c>
      <c r="N61" s="20" t="n">
        <v>0.12580088</v>
      </c>
      <c r="O61" s="18" t="n">
        <v>0</v>
      </c>
      <c r="P61" s="20" t="n">
        <v>0</v>
      </c>
      <c r="Q61" s="18" t="n">
        <v>8.241455419999999</v>
      </c>
      <c r="R61" s="20" t="n">
        <v>1.0481907</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3460</v>
      </c>
      <c r="C67" s="18">
        <f>(2743.0/B67*100)</f>
        <v/>
      </c>
      <c r="D67" s="19" t="n">
        <v>717</v>
      </c>
      <c r="E67" s="18" t="n">
        <v>50.50319027</v>
      </c>
      <c r="F67" s="20" t="n">
        <v>1.90798385</v>
      </c>
      <c r="G67" s="18" t="n">
        <v>45.25082721</v>
      </c>
      <c r="H67" s="20" t="n">
        <v>2.07981039</v>
      </c>
      <c r="I67" s="18" t="s">
        <v>105</v>
      </c>
      <c r="J67" s="20" t="s">
        <v>105</v>
      </c>
      <c r="K67" s="18" t="n">
        <v>0.52814116</v>
      </c>
      <c r="L67" s="20" t="n">
        <v>0.31549548</v>
      </c>
      <c r="M67" s="18" t="n">
        <v>0</v>
      </c>
      <c r="N67" s="20" t="n">
        <v>0</v>
      </c>
      <c r="O67" s="18" t="n">
        <v>0</v>
      </c>
      <c r="P67" s="20" t="n">
        <v>0</v>
      </c>
      <c r="Q67" s="18" t="n">
        <v>3.71784136</v>
      </c>
      <c r="R67" s="20" t="n">
        <v>0.75947126</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3107</v>
      </c>
      <c r="C70" s="18">
        <f>(2392.0/B70*100)</f>
        <v/>
      </c>
      <c r="D70" s="19" t="n">
        <v>715</v>
      </c>
      <c r="E70" s="18" t="n">
        <v>9.357480389999999</v>
      </c>
      <c r="F70" s="20" t="n">
        <v>1.22421405</v>
      </c>
      <c r="G70" s="18" t="n">
        <v>82.72381448</v>
      </c>
      <c r="H70" s="20" t="n">
        <v>1.82215975</v>
      </c>
      <c r="I70" s="18" t="s">
        <v>105</v>
      </c>
      <c r="J70" s="20" t="s">
        <v>105</v>
      </c>
      <c r="K70" s="18" t="n">
        <v>2.94732725</v>
      </c>
      <c r="L70" s="20" t="n">
        <v>1.07895629</v>
      </c>
      <c r="M70" s="18" t="n">
        <v>0</v>
      </c>
      <c r="N70" s="20" t="n">
        <v>0</v>
      </c>
      <c r="O70" s="18" t="n">
        <v>0</v>
      </c>
      <c r="P70" s="20" t="n">
        <v>0</v>
      </c>
      <c r="Q70" s="18" t="n">
        <v>4.97137788</v>
      </c>
      <c r="R70" s="20" t="n">
        <v>0.96275774</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22.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227</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7163</v>
      </c>
      <c r="C7" s="18">
        <f>(788.0/B7*100)</f>
        <v/>
      </c>
      <c r="D7" s="19" t="n">
        <v>6375</v>
      </c>
      <c r="E7" s="18" t="n">
        <v>66.12629724</v>
      </c>
      <c r="F7" s="20" t="n">
        <v>0.70430486</v>
      </c>
      <c r="G7" s="18" t="n">
        <v>28.97644212</v>
      </c>
      <c r="H7" s="20" t="n">
        <v>0.72271706</v>
      </c>
      <c r="I7" s="18" t="s">
        <v>105</v>
      </c>
      <c r="J7" s="20" t="s">
        <v>105</v>
      </c>
      <c r="K7" s="18" t="n">
        <v>3.61047901</v>
      </c>
      <c r="L7" s="20" t="n">
        <v>0.32906417</v>
      </c>
      <c r="M7" s="18" t="n">
        <v>0</v>
      </c>
      <c r="N7" s="20" t="n">
        <v>0</v>
      </c>
      <c r="O7" s="18" t="n">
        <v>0</v>
      </c>
      <c r="P7" s="20" t="n">
        <v>0</v>
      </c>
      <c r="Q7" s="18" t="n">
        <v>1.28678163</v>
      </c>
      <c r="R7" s="20" t="n">
        <v>0.17082384</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2795</v>
      </c>
      <c r="C9" s="18">
        <f>(2188.0/B9*100)</f>
        <v/>
      </c>
      <c r="D9" s="19" t="n">
        <v>607</v>
      </c>
      <c r="E9" s="18" t="n">
        <v>62.7736888</v>
      </c>
      <c r="F9" s="20" t="n">
        <v>1.67352749</v>
      </c>
      <c r="G9" s="18" t="n">
        <v>34.62600382</v>
      </c>
      <c r="H9" s="20" t="n">
        <v>1.74150377</v>
      </c>
      <c r="I9" s="18" t="s">
        <v>105</v>
      </c>
      <c r="J9" s="20" t="s">
        <v>105</v>
      </c>
      <c r="K9" s="18" t="n">
        <v>2.24224947</v>
      </c>
      <c r="L9" s="20" t="n">
        <v>0.70113465</v>
      </c>
      <c r="M9" s="18" t="n">
        <v>0</v>
      </c>
      <c r="N9" s="20" t="n">
        <v>0</v>
      </c>
      <c r="O9" s="18" t="n">
        <v>0</v>
      </c>
      <c r="P9" s="20" t="n">
        <v>0</v>
      </c>
      <c r="Q9" s="18" t="n">
        <v>0.3580579</v>
      </c>
      <c r="R9" s="20" t="n">
        <v>0.25742227</v>
      </c>
    </row>
    <row r="10" spans="1:18">
      <c r="A10" s="15" t="s">
        <v>109</v>
      </c>
      <c r="B10" s="17" t="n">
        <v>6602</v>
      </c>
      <c r="C10" s="18">
        <f>(5026.0/B10*100)</f>
        <v/>
      </c>
      <c r="D10" s="19" t="n">
        <v>1576</v>
      </c>
      <c r="E10" s="18" t="n">
        <v>69.91124019</v>
      </c>
      <c r="F10" s="20" t="n">
        <v>1.72238207</v>
      </c>
      <c r="G10" s="18" t="n">
        <v>29.30294628</v>
      </c>
      <c r="H10" s="20" t="n">
        <v>1.68946806</v>
      </c>
      <c r="I10" s="18" t="s">
        <v>105</v>
      </c>
      <c r="J10" s="20" t="s">
        <v>105</v>
      </c>
      <c r="K10" s="18" t="n">
        <v>0.40955303</v>
      </c>
      <c r="L10" s="20" t="n">
        <v>0.09684126999999999</v>
      </c>
      <c r="M10" s="18" t="n">
        <v>0</v>
      </c>
      <c r="N10" s="20" t="n">
        <v>0</v>
      </c>
      <c r="O10" s="18" t="n">
        <v>0</v>
      </c>
      <c r="P10" s="20" t="n">
        <v>0</v>
      </c>
      <c r="Q10" s="18" t="n">
        <v>0.3762605</v>
      </c>
      <c r="R10" s="20" t="n">
        <v>0.17317582</v>
      </c>
    </row>
    <row r="11" spans="1:18">
      <c r="A11" s="15" t="s">
        <v>110</v>
      </c>
      <c r="B11" s="17" t="n">
        <v>3500</v>
      </c>
      <c r="C11" s="18">
        <f>(2629.0/B11*100)</f>
        <v/>
      </c>
      <c r="D11" s="19" t="n">
        <v>871</v>
      </c>
      <c r="E11" s="18" t="n">
        <v>78.32313406</v>
      </c>
      <c r="F11" s="20" t="n">
        <v>1.60641774</v>
      </c>
      <c r="G11" s="18" t="n">
        <v>14.0894502</v>
      </c>
      <c r="H11" s="20" t="n">
        <v>1.27139403</v>
      </c>
      <c r="I11" s="18" t="s">
        <v>105</v>
      </c>
      <c r="J11" s="20" t="s">
        <v>105</v>
      </c>
      <c r="K11" s="18" t="n">
        <v>4.72058712</v>
      </c>
      <c r="L11" s="20" t="n">
        <v>0.95876599</v>
      </c>
      <c r="M11" s="18" t="n">
        <v>0</v>
      </c>
      <c r="N11" s="20" t="n">
        <v>0</v>
      </c>
      <c r="O11" s="18" t="n">
        <v>0</v>
      </c>
      <c r="P11" s="20" t="n">
        <v>0</v>
      </c>
      <c r="Q11" s="18" t="n">
        <v>2.86682862</v>
      </c>
      <c r="R11" s="20" t="n">
        <v>0.63224983</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5792</v>
      </c>
      <c r="C23" s="18">
        <f>(4489.0/B23*100)</f>
        <v/>
      </c>
      <c r="D23" s="19" t="n">
        <v>1303</v>
      </c>
      <c r="E23" s="18" t="n">
        <v>76.13857664</v>
      </c>
      <c r="F23" s="20" t="n">
        <v>1.50663057</v>
      </c>
      <c r="G23" s="18" t="n">
        <v>20.01699799</v>
      </c>
      <c r="H23" s="20" t="n">
        <v>1.55855274</v>
      </c>
      <c r="I23" s="18" t="s">
        <v>105</v>
      </c>
      <c r="J23" s="20" t="s">
        <v>105</v>
      </c>
      <c r="K23" s="18" t="n">
        <v>2.64617111</v>
      </c>
      <c r="L23" s="20" t="n">
        <v>0.61265787</v>
      </c>
      <c r="M23" s="18" t="n">
        <v>0</v>
      </c>
      <c r="N23" s="20" t="n">
        <v>0</v>
      </c>
      <c r="O23" s="18" t="n">
        <v>0</v>
      </c>
      <c r="P23" s="20" t="n">
        <v>0</v>
      </c>
      <c r="Q23" s="18" t="n">
        <v>1.19825425</v>
      </c>
      <c r="R23" s="20" t="n">
        <v>0.41454763</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2700</v>
      </c>
      <c r="C29" s="18">
        <f>(2020.0/B29*100)</f>
        <v/>
      </c>
      <c r="D29" s="19" t="n">
        <v>680</v>
      </c>
      <c r="E29" s="18" t="n">
        <v>61.65230084</v>
      </c>
      <c r="F29" s="20" t="n">
        <v>1.94455363</v>
      </c>
      <c r="G29" s="18" t="n">
        <v>36.9845862</v>
      </c>
      <c r="H29" s="20" t="n">
        <v>1.93828082</v>
      </c>
      <c r="I29" s="18" t="s">
        <v>105</v>
      </c>
      <c r="J29" s="20" t="s">
        <v>105</v>
      </c>
      <c r="K29" s="18" t="n">
        <v>0.42925035</v>
      </c>
      <c r="L29" s="20" t="n">
        <v>0.1681614</v>
      </c>
      <c r="M29" s="18" t="n">
        <v>0</v>
      </c>
      <c r="N29" s="20" t="n">
        <v>0</v>
      </c>
      <c r="O29" s="18" t="n">
        <v>0</v>
      </c>
      <c r="P29" s="20" t="n">
        <v>0</v>
      </c>
      <c r="Q29" s="18" t="n">
        <v>0.93386262</v>
      </c>
      <c r="R29" s="20" t="n">
        <v>0.38537509</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2209</v>
      </c>
      <c r="C32" s="18">
        <f>(1359.0/B32*100)</f>
        <v/>
      </c>
      <c r="D32" s="19" t="n">
        <v>850</v>
      </c>
      <c r="E32" s="18" t="n">
        <v>71.88459429</v>
      </c>
      <c r="F32" s="20" t="n">
        <v>1.58031304</v>
      </c>
      <c r="G32" s="18" t="n">
        <v>26.30104443</v>
      </c>
      <c r="H32" s="20" t="n">
        <v>1.53280518</v>
      </c>
      <c r="I32" s="18" t="s">
        <v>105</v>
      </c>
      <c r="J32" s="20" t="s">
        <v>105</v>
      </c>
      <c r="K32" s="18" t="n">
        <v>1.10839646</v>
      </c>
      <c r="L32" s="20" t="n">
        <v>0.4028543</v>
      </c>
      <c r="M32" s="18" t="n">
        <v>0</v>
      </c>
      <c r="N32" s="20" t="n">
        <v>0</v>
      </c>
      <c r="O32" s="18" t="n">
        <v>0</v>
      </c>
      <c r="P32" s="20" t="n">
        <v>0</v>
      </c>
      <c r="Q32" s="18" t="n">
        <v>0.70596482</v>
      </c>
      <c r="R32" s="20" t="n">
        <v>0.30466715</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3035</v>
      </c>
      <c r="C34" s="18">
        <f>(2340.0/B34*100)</f>
        <v/>
      </c>
      <c r="D34" s="19" t="n">
        <v>695</v>
      </c>
      <c r="E34" s="18" t="n">
        <v>78.90882444</v>
      </c>
      <c r="F34" s="20" t="n">
        <v>1.49527504</v>
      </c>
      <c r="G34" s="18" t="n">
        <v>17.97050233</v>
      </c>
      <c r="H34" s="20" t="n">
        <v>1.32622505</v>
      </c>
      <c r="I34" s="18" t="s">
        <v>105</v>
      </c>
      <c r="J34" s="20" t="s">
        <v>105</v>
      </c>
      <c r="K34" s="18" t="n">
        <v>1.78374509</v>
      </c>
      <c r="L34" s="20" t="n">
        <v>0.5229149</v>
      </c>
      <c r="M34" s="18" t="n">
        <v>0</v>
      </c>
      <c r="N34" s="20" t="n">
        <v>0</v>
      </c>
      <c r="O34" s="18" t="n">
        <v>0</v>
      </c>
      <c r="P34" s="20" t="n">
        <v>0</v>
      </c>
      <c r="Q34" s="18" t="n">
        <v>1.33692814</v>
      </c>
      <c r="R34" s="20" t="n">
        <v>0.50420288</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3404</v>
      </c>
      <c r="C36" s="18">
        <f>(2557.0/B36*100)</f>
        <v/>
      </c>
      <c r="D36" s="19" t="n">
        <v>847</v>
      </c>
      <c r="E36" s="18" t="n">
        <v>76.21384328000001</v>
      </c>
      <c r="F36" s="20" t="n">
        <v>1.61213573</v>
      </c>
      <c r="G36" s="18" t="n">
        <v>20.39634044</v>
      </c>
      <c r="H36" s="20" t="n">
        <v>1.51923962</v>
      </c>
      <c r="I36" s="18" t="s">
        <v>105</v>
      </c>
      <c r="J36" s="20" t="s">
        <v>105</v>
      </c>
      <c r="K36" s="18" t="n">
        <v>1.98288922</v>
      </c>
      <c r="L36" s="20" t="n">
        <v>0.50681104</v>
      </c>
      <c r="M36" s="18" t="n">
        <v>0</v>
      </c>
      <c r="N36" s="20" t="n">
        <v>0</v>
      </c>
      <c r="O36" s="18" t="n">
        <v>0</v>
      </c>
      <c r="P36" s="20" t="n">
        <v>0</v>
      </c>
      <c r="Q36" s="18" t="n">
        <v>1.40692706</v>
      </c>
      <c r="R36" s="20" t="n">
        <v>0.48074093</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2854</v>
      </c>
      <c r="C41" s="18">
        <f>(2157.0/B41*100)</f>
        <v/>
      </c>
      <c r="D41" s="19" t="n">
        <v>697</v>
      </c>
      <c r="E41" s="18" t="n">
        <v>74.27572041000001</v>
      </c>
      <c r="F41" s="20" t="n">
        <v>2.07351371</v>
      </c>
      <c r="G41" s="18" t="n">
        <v>23.78883378</v>
      </c>
      <c r="H41" s="20" t="n">
        <v>1.97247958</v>
      </c>
      <c r="I41" s="18" t="s">
        <v>105</v>
      </c>
      <c r="J41" s="20" t="s">
        <v>105</v>
      </c>
      <c r="K41" s="18" t="n">
        <v>1.39236617</v>
      </c>
      <c r="L41" s="20" t="n">
        <v>0.45541639</v>
      </c>
      <c r="M41" s="18" t="n">
        <v>0</v>
      </c>
      <c r="N41" s="20" t="n">
        <v>0</v>
      </c>
      <c r="O41" s="18" t="n">
        <v>0</v>
      </c>
      <c r="P41" s="20" t="n">
        <v>0</v>
      </c>
      <c r="Q41" s="18" t="n">
        <v>0.54307963</v>
      </c>
      <c r="R41" s="20" t="n">
        <v>0.26361132</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12073</v>
      </c>
      <c r="C46" s="18">
        <f>(10022.0/B46*100)</f>
        <v/>
      </c>
      <c r="D46" s="19" t="n">
        <v>2051</v>
      </c>
      <c r="E46" s="18" t="n">
        <v>73.84267352000001</v>
      </c>
      <c r="F46" s="20" t="n">
        <v>1.31912019</v>
      </c>
      <c r="G46" s="18" t="n">
        <v>13.66892569</v>
      </c>
      <c r="H46" s="20" t="n">
        <v>1.04826832</v>
      </c>
      <c r="I46" s="18" t="s">
        <v>105</v>
      </c>
      <c r="J46" s="20" t="s">
        <v>105</v>
      </c>
      <c r="K46" s="18" t="n">
        <v>9.55855292</v>
      </c>
      <c r="L46" s="20" t="n">
        <v>0.96825585</v>
      </c>
      <c r="M46" s="18" t="n">
        <v>0</v>
      </c>
      <c r="N46" s="20" t="n">
        <v>0</v>
      </c>
      <c r="O46" s="18" t="n">
        <v>0</v>
      </c>
      <c r="P46" s="20" t="n">
        <v>0</v>
      </c>
      <c r="Q46" s="18" t="n">
        <v>2.92984788</v>
      </c>
      <c r="R46" s="20" t="n">
        <v>0.51773948</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4682</v>
      </c>
      <c r="C48" s="18">
        <f>(3505.0/B48*100)</f>
        <v/>
      </c>
      <c r="D48" s="19" t="n">
        <v>1177</v>
      </c>
      <c r="E48" s="18" t="n">
        <v>71.61961037</v>
      </c>
      <c r="F48" s="20" t="n">
        <v>1.84217156</v>
      </c>
      <c r="G48" s="18" t="n">
        <v>27.59662417</v>
      </c>
      <c r="H48" s="20" t="n">
        <v>1.87319756</v>
      </c>
      <c r="I48" s="18" t="s">
        <v>105</v>
      </c>
      <c r="J48" s="20" t="s">
        <v>105</v>
      </c>
      <c r="K48" s="18" t="n">
        <v>0.06572578</v>
      </c>
      <c r="L48" s="20" t="n">
        <v>0.06590811000000001</v>
      </c>
      <c r="M48" s="18" t="n">
        <v>0</v>
      </c>
      <c r="N48" s="20" t="n">
        <v>0</v>
      </c>
      <c r="O48" s="18" t="n">
        <v>0</v>
      </c>
      <c r="P48" s="20" t="n">
        <v>0</v>
      </c>
      <c r="Q48" s="18" t="n">
        <v>0.71803969</v>
      </c>
      <c r="R48" s="20" t="n">
        <v>0.32551766</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3201</v>
      </c>
      <c r="C61" s="18">
        <f>(2364.0/B61*100)</f>
        <v/>
      </c>
      <c r="D61" s="19" t="n">
        <v>837</v>
      </c>
      <c r="E61" s="18" t="n">
        <v>83.06523236</v>
      </c>
      <c r="F61" s="20" t="n">
        <v>1.19923994</v>
      </c>
      <c r="G61" s="18" t="n">
        <v>13.69645084</v>
      </c>
      <c r="H61" s="20" t="n">
        <v>1.2303923</v>
      </c>
      <c r="I61" s="18" t="s">
        <v>105</v>
      </c>
      <c r="J61" s="20" t="s">
        <v>105</v>
      </c>
      <c r="K61" s="18" t="n">
        <v>2.05728959</v>
      </c>
      <c r="L61" s="20" t="n">
        <v>0.56756781</v>
      </c>
      <c r="M61" s="18" t="n">
        <v>0</v>
      </c>
      <c r="N61" s="20" t="n">
        <v>0</v>
      </c>
      <c r="O61" s="18" t="n">
        <v>0</v>
      </c>
      <c r="P61" s="20" t="n">
        <v>0</v>
      </c>
      <c r="Q61" s="18" t="n">
        <v>1.18102721</v>
      </c>
      <c r="R61" s="20" t="n">
        <v>0.38624813</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3460</v>
      </c>
      <c r="C67" s="18">
        <f>(2750.0/B67*100)</f>
        <v/>
      </c>
      <c r="D67" s="19" t="n">
        <v>710</v>
      </c>
      <c r="E67" s="18" t="n">
        <v>87.50299586</v>
      </c>
      <c r="F67" s="20" t="n">
        <v>1.17089681</v>
      </c>
      <c r="G67" s="18" t="n">
        <v>10.63894478</v>
      </c>
      <c r="H67" s="20" t="n">
        <v>1.01900028</v>
      </c>
      <c r="I67" s="18" t="s">
        <v>105</v>
      </c>
      <c r="J67" s="20" t="s">
        <v>105</v>
      </c>
      <c r="K67" s="18" t="n">
        <v>1.17956472</v>
      </c>
      <c r="L67" s="20" t="n">
        <v>0.50201023</v>
      </c>
      <c r="M67" s="18" t="n">
        <v>0</v>
      </c>
      <c r="N67" s="20" t="n">
        <v>0</v>
      </c>
      <c r="O67" s="18" t="n">
        <v>0</v>
      </c>
      <c r="P67" s="20" t="n">
        <v>0</v>
      </c>
      <c r="Q67" s="18" t="n">
        <v>0.67849463</v>
      </c>
      <c r="R67" s="20" t="n">
        <v>0.36655488</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3107</v>
      </c>
      <c r="C70" s="18">
        <f>(2398.0/B70*100)</f>
        <v/>
      </c>
      <c r="D70" s="19" t="n">
        <v>709</v>
      </c>
      <c r="E70" s="18" t="n">
        <v>69.69248788</v>
      </c>
      <c r="F70" s="20" t="n">
        <v>2.16584965</v>
      </c>
      <c r="G70" s="18" t="n">
        <v>25.07869418</v>
      </c>
      <c r="H70" s="20" t="n">
        <v>2.06558404</v>
      </c>
      <c r="I70" s="18" t="s">
        <v>105</v>
      </c>
      <c r="J70" s="20" t="s">
        <v>105</v>
      </c>
      <c r="K70" s="18" t="n">
        <v>3.67202394</v>
      </c>
      <c r="L70" s="20" t="n">
        <v>1.11784749</v>
      </c>
      <c r="M70" s="18" t="n">
        <v>0</v>
      </c>
      <c r="N70" s="20" t="n">
        <v>0</v>
      </c>
      <c r="O70" s="18" t="n">
        <v>0</v>
      </c>
      <c r="P70" s="20" t="n">
        <v>0</v>
      </c>
      <c r="Q70" s="18" t="n">
        <v>1.55679399</v>
      </c>
      <c r="R70" s="20" t="n">
        <v>0.71583668</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23.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228</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7163</v>
      </c>
      <c r="C7" s="18">
        <f>(764.0/B7*100)</f>
        <v/>
      </c>
      <c r="D7" s="19" t="n">
        <v>6399</v>
      </c>
      <c r="E7" s="18" t="n">
        <v>55.6922567</v>
      </c>
      <c r="F7" s="20" t="n">
        <v>0.70291965</v>
      </c>
      <c r="G7" s="18" t="n">
        <v>38.74969302</v>
      </c>
      <c r="H7" s="20" t="n">
        <v>0.75169502</v>
      </c>
      <c r="I7" s="18" t="s">
        <v>105</v>
      </c>
      <c r="J7" s="20" t="s">
        <v>105</v>
      </c>
      <c r="K7" s="18" t="n">
        <v>5.55805028</v>
      </c>
      <c r="L7" s="20" t="n">
        <v>0.39993406</v>
      </c>
      <c r="M7" s="18" t="n">
        <v>0</v>
      </c>
      <c r="N7" s="20" t="n">
        <v>0</v>
      </c>
      <c r="O7" s="18" t="n">
        <v>0</v>
      </c>
      <c r="P7" s="20" t="n">
        <v>0</v>
      </c>
      <c r="Q7" s="18" t="n">
        <v>0</v>
      </c>
      <c r="R7" s="20" t="n">
        <v>0</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2795</v>
      </c>
      <c r="C9" s="18">
        <f>(2189.0/B9*100)</f>
        <v/>
      </c>
      <c r="D9" s="19" t="n">
        <v>606</v>
      </c>
      <c r="E9" s="18" t="n">
        <v>56.90422687</v>
      </c>
      <c r="F9" s="20" t="n">
        <v>1.74823081</v>
      </c>
      <c r="G9" s="18" t="n">
        <v>39.46334276</v>
      </c>
      <c r="H9" s="20" t="n">
        <v>1.78680738</v>
      </c>
      <c r="I9" s="18" t="s">
        <v>105</v>
      </c>
      <c r="J9" s="20" t="s">
        <v>105</v>
      </c>
      <c r="K9" s="18" t="n">
        <v>3.63243037</v>
      </c>
      <c r="L9" s="20" t="n">
        <v>0.70034465</v>
      </c>
      <c r="M9" s="18" t="n">
        <v>0</v>
      </c>
      <c r="N9" s="20" t="n">
        <v>0</v>
      </c>
      <c r="O9" s="18" t="n">
        <v>0</v>
      </c>
      <c r="P9" s="20" t="n">
        <v>0</v>
      </c>
      <c r="Q9" s="18" t="n">
        <v>0</v>
      </c>
      <c r="R9" s="20" t="n">
        <v>0</v>
      </c>
    </row>
    <row r="10" spans="1:18">
      <c r="A10" s="15" t="s">
        <v>109</v>
      </c>
      <c r="B10" s="17" t="n">
        <v>6602</v>
      </c>
      <c r="C10" s="18">
        <f>(5027.0/B10*100)</f>
        <v/>
      </c>
      <c r="D10" s="19" t="n">
        <v>1575</v>
      </c>
      <c r="E10" s="18" t="n">
        <v>58.88980956</v>
      </c>
      <c r="F10" s="20" t="n">
        <v>1.99841622</v>
      </c>
      <c r="G10" s="18" t="n">
        <v>39.44429645</v>
      </c>
      <c r="H10" s="20" t="n">
        <v>1.91282548</v>
      </c>
      <c r="I10" s="18" t="s">
        <v>105</v>
      </c>
      <c r="J10" s="20" t="s">
        <v>105</v>
      </c>
      <c r="K10" s="18" t="n">
        <v>1.66589398</v>
      </c>
      <c r="L10" s="20" t="n">
        <v>0.38310324</v>
      </c>
      <c r="M10" s="18" t="n">
        <v>0</v>
      </c>
      <c r="N10" s="20" t="n">
        <v>0</v>
      </c>
      <c r="O10" s="18" t="n">
        <v>0</v>
      </c>
      <c r="P10" s="20" t="n">
        <v>0</v>
      </c>
      <c r="Q10" s="18" t="n">
        <v>0</v>
      </c>
      <c r="R10" s="20" t="n">
        <v>0</v>
      </c>
    </row>
    <row r="11" spans="1:18">
      <c r="A11" s="15" t="s">
        <v>110</v>
      </c>
      <c r="B11" s="17" t="n">
        <v>3500</v>
      </c>
      <c r="C11" s="18">
        <f>(2630.0/B11*100)</f>
        <v/>
      </c>
      <c r="D11" s="19" t="n">
        <v>870</v>
      </c>
      <c r="E11" s="18" t="n">
        <v>75.79892088</v>
      </c>
      <c r="F11" s="20" t="n">
        <v>1.85570556</v>
      </c>
      <c r="G11" s="18" t="n">
        <v>17.75965727</v>
      </c>
      <c r="H11" s="20" t="n">
        <v>1.58784196</v>
      </c>
      <c r="I11" s="18" t="s">
        <v>105</v>
      </c>
      <c r="J11" s="20" t="s">
        <v>105</v>
      </c>
      <c r="K11" s="18" t="n">
        <v>6.44142184</v>
      </c>
      <c r="L11" s="20" t="n">
        <v>1.04378399</v>
      </c>
      <c r="M11" s="18" t="n">
        <v>0</v>
      </c>
      <c r="N11" s="20" t="n">
        <v>0</v>
      </c>
      <c r="O11" s="18" t="n">
        <v>0</v>
      </c>
      <c r="P11" s="20" t="n">
        <v>0</v>
      </c>
      <c r="Q11" s="18" t="n">
        <v>0</v>
      </c>
      <c r="R11" s="20" t="n">
        <v>0</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5792</v>
      </c>
      <c r="C23" s="18">
        <f>(4489.0/B23*100)</f>
        <v/>
      </c>
      <c r="D23" s="19" t="n">
        <v>1303</v>
      </c>
      <c r="E23" s="18" t="n">
        <v>65.24127151</v>
      </c>
      <c r="F23" s="20" t="n">
        <v>2.05231418</v>
      </c>
      <c r="G23" s="18" t="n">
        <v>29.65667952</v>
      </c>
      <c r="H23" s="20" t="n">
        <v>2.01273095</v>
      </c>
      <c r="I23" s="18" t="s">
        <v>105</v>
      </c>
      <c r="J23" s="20" t="s">
        <v>105</v>
      </c>
      <c r="K23" s="18" t="n">
        <v>5.10204897</v>
      </c>
      <c r="L23" s="20" t="n">
        <v>0.86607156</v>
      </c>
      <c r="M23" s="18" t="n">
        <v>0</v>
      </c>
      <c r="N23" s="20" t="n">
        <v>0</v>
      </c>
      <c r="O23" s="18" t="n">
        <v>0</v>
      </c>
      <c r="P23" s="20" t="n">
        <v>0</v>
      </c>
      <c r="Q23" s="18" t="n">
        <v>0</v>
      </c>
      <c r="R23" s="20" t="n">
        <v>0</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2700</v>
      </c>
      <c r="C29" s="18">
        <f>(2020.0/B29*100)</f>
        <v/>
      </c>
      <c r="D29" s="19" t="n">
        <v>680</v>
      </c>
      <c r="E29" s="18" t="n">
        <v>58.36934767</v>
      </c>
      <c r="F29" s="20" t="n">
        <v>1.92197095</v>
      </c>
      <c r="G29" s="18" t="n">
        <v>40.78031423</v>
      </c>
      <c r="H29" s="20" t="n">
        <v>1.89614256</v>
      </c>
      <c r="I29" s="18" t="s">
        <v>105</v>
      </c>
      <c r="J29" s="20" t="s">
        <v>105</v>
      </c>
      <c r="K29" s="18" t="n">
        <v>0.85033809</v>
      </c>
      <c r="L29" s="20" t="n">
        <v>0.30760198</v>
      </c>
      <c r="M29" s="18" t="n">
        <v>0</v>
      </c>
      <c r="N29" s="20" t="n">
        <v>0</v>
      </c>
      <c r="O29" s="18" t="n">
        <v>0</v>
      </c>
      <c r="P29" s="20" t="n">
        <v>0</v>
      </c>
      <c r="Q29" s="18" t="n">
        <v>0</v>
      </c>
      <c r="R29" s="20" t="n">
        <v>0</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2209</v>
      </c>
      <c r="C32" s="18">
        <f>(1360.0/B32*100)</f>
        <v/>
      </c>
      <c r="D32" s="19" t="n">
        <v>849</v>
      </c>
      <c r="E32" s="18" t="n">
        <v>68.89942892000001</v>
      </c>
      <c r="F32" s="20" t="n">
        <v>1.68445723</v>
      </c>
      <c r="G32" s="18" t="n">
        <v>29.52462451</v>
      </c>
      <c r="H32" s="20" t="n">
        <v>1.66660596</v>
      </c>
      <c r="I32" s="18" t="s">
        <v>105</v>
      </c>
      <c r="J32" s="20" t="s">
        <v>105</v>
      </c>
      <c r="K32" s="18" t="n">
        <v>1.57594656</v>
      </c>
      <c r="L32" s="20" t="n">
        <v>0.46005818</v>
      </c>
      <c r="M32" s="18" t="n">
        <v>0</v>
      </c>
      <c r="N32" s="20" t="n">
        <v>0</v>
      </c>
      <c r="O32" s="18" t="n">
        <v>0</v>
      </c>
      <c r="P32" s="20" t="n">
        <v>0</v>
      </c>
      <c r="Q32" s="18" t="n">
        <v>0</v>
      </c>
      <c r="R32" s="20" t="n">
        <v>0</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3035</v>
      </c>
      <c r="C34" s="18">
        <f>(2339.0/B34*100)</f>
        <v/>
      </c>
      <c r="D34" s="19" t="n">
        <v>696</v>
      </c>
      <c r="E34" s="18" t="n">
        <v>65.02372348</v>
      </c>
      <c r="F34" s="20" t="n">
        <v>2.12477568</v>
      </c>
      <c r="G34" s="18" t="n">
        <v>31.5712272</v>
      </c>
      <c r="H34" s="20" t="n">
        <v>2.06656452</v>
      </c>
      <c r="I34" s="18" t="s">
        <v>105</v>
      </c>
      <c r="J34" s="20" t="s">
        <v>105</v>
      </c>
      <c r="K34" s="18" t="n">
        <v>3.40504933</v>
      </c>
      <c r="L34" s="20" t="n">
        <v>0.78789799</v>
      </c>
      <c r="M34" s="18" t="n">
        <v>0</v>
      </c>
      <c r="N34" s="20" t="n">
        <v>0</v>
      </c>
      <c r="O34" s="18" t="n">
        <v>0</v>
      </c>
      <c r="P34" s="20" t="n">
        <v>0</v>
      </c>
      <c r="Q34" s="18" t="n">
        <v>0</v>
      </c>
      <c r="R34" s="20" t="n">
        <v>0</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3404</v>
      </c>
      <c r="C36" s="18">
        <f>(2561.0/B36*100)</f>
        <v/>
      </c>
      <c r="D36" s="19" t="n">
        <v>843</v>
      </c>
      <c r="E36" s="18" t="n">
        <v>64.9303934</v>
      </c>
      <c r="F36" s="20" t="n">
        <v>2.00642789</v>
      </c>
      <c r="G36" s="18" t="n">
        <v>30.41675472</v>
      </c>
      <c r="H36" s="20" t="n">
        <v>1.91691368</v>
      </c>
      <c r="I36" s="18" t="s">
        <v>105</v>
      </c>
      <c r="J36" s="20" t="s">
        <v>105</v>
      </c>
      <c r="K36" s="18" t="n">
        <v>4.65285188</v>
      </c>
      <c r="L36" s="20" t="n">
        <v>0.85675822</v>
      </c>
      <c r="M36" s="18" t="n">
        <v>0</v>
      </c>
      <c r="N36" s="20" t="n">
        <v>0</v>
      </c>
      <c r="O36" s="18" t="n">
        <v>0</v>
      </c>
      <c r="P36" s="20" t="n">
        <v>0</v>
      </c>
      <c r="Q36" s="18" t="n">
        <v>0</v>
      </c>
      <c r="R36" s="20" t="n">
        <v>0</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2854</v>
      </c>
      <c r="C41" s="18">
        <f>(2158.0/B41*100)</f>
        <v/>
      </c>
      <c r="D41" s="19" t="n">
        <v>696</v>
      </c>
      <c r="E41" s="18" t="n">
        <v>65.48542954</v>
      </c>
      <c r="F41" s="20" t="n">
        <v>2.0903596</v>
      </c>
      <c r="G41" s="18" t="n">
        <v>32.23785495</v>
      </c>
      <c r="H41" s="20" t="n">
        <v>2.04147013</v>
      </c>
      <c r="I41" s="18" t="s">
        <v>105</v>
      </c>
      <c r="J41" s="20" t="s">
        <v>105</v>
      </c>
      <c r="K41" s="18" t="n">
        <v>2.27671551</v>
      </c>
      <c r="L41" s="20" t="n">
        <v>0.6647146</v>
      </c>
      <c r="M41" s="18" t="n">
        <v>0</v>
      </c>
      <c r="N41" s="20" t="n">
        <v>0</v>
      </c>
      <c r="O41" s="18" t="n">
        <v>0</v>
      </c>
      <c r="P41" s="20" t="n">
        <v>0</v>
      </c>
      <c r="Q41" s="18" t="n">
        <v>0</v>
      </c>
      <c r="R41" s="20" t="n">
        <v>0</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12073</v>
      </c>
      <c r="C46" s="18">
        <f>(10013.0/B46*100)</f>
        <v/>
      </c>
      <c r="D46" s="19" t="n">
        <v>2060</v>
      </c>
      <c r="E46" s="18" t="n">
        <v>71.56405830999999</v>
      </c>
      <c r="F46" s="20" t="n">
        <v>1.4120853</v>
      </c>
      <c r="G46" s="18" t="n">
        <v>15.19308089</v>
      </c>
      <c r="H46" s="20" t="n">
        <v>1.09814268</v>
      </c>
      <c r="I46" s="18" t="s">
        <v>105</v>
      </c>
      <c r="J46" s="20" t="s">
        <v>105</v>
      </c>
      <c r="K46" s="18" t="n">
        <v>13.2428608</v>
      </c>
      <c r="L46" s="20" t="n">
        <v>1.19768949</v>
      </c>
      <c r="M46" s="18" t="n">
        <v>0</v>
      </c>
      <c r="N46" s="20" t="n">
        <v>0</v>
      </c>
      <c r="O46" s="18" t="n">
        <v>0</v>
      </c>
      <c r="P46" s="20" t="n">
        <v>0</v>
      </c>
      <c r="Q46" s="18" t="n">
        <v>0</v>
      </c>
      <c r="R46" s="20" t="n">
        <v>0</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4682</v>
      </c>
      <c r="C48" s="18">
        <f>(3505.0/B48*100)</f>
        <v/>
      </c>
      <c r="D48" s="19" t="n">
        <v>1177</v>
      </c>
      <c r="E48" s="18" t="n">
        <v>42.36875055</v>
      </c>
      <c r="F48" s="20" t="n">
        <v>2.1941026</v>
      </c>
      <c r="G48" s="18" t="n">
        <v>57.41795812</v>
      </c>
      <c r="H48" s="20" t="n">
        <v>2.1740487</v>
      </c>
      <c r="I48" s="18" t="s">
        <v>105</v>
      </c>
      <c r="J48" s="20" t="s">
        <v>105</v>
      </c>
      <c r="K48" s="18" t="n">
        <v>0.21329133</v>
      </c>
      <c r="L48" s="20" t="n">
        <v>0.16113384</v>
      </c>
      <c r="M48" s="18" t="n">
        <v>0</v>
      </c>
      <c r="N48" s="20" t="n">
        <v>0</v>
      </c>
      <c r="O48" s="18" t="n">
        <v>0</v>
      </c>
      <c r="P48" s="20" t="n">
        <v>0</v>
      </c>
      <c r="Q48" s="18" t="n">
        <v>0</v>
      </c>
      <c r="R48" s="20" t="n">
        <v>0</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3201</v>
      </c>
      <c r="C61" s="18">
        <f>(2365.0/B61*100)</f>
        <v/>
      </c>
      <c r="D61" s="19" t="n">
        <v>836</v>
      </c>
      <c r="E61" s="18" t="n">
        <v>62.79166371</v>
      </c>
      <c r="F61" s="20" t="n">
        <v>1.92328245</v>
      </c>
      <c r="G61" s="18" t="n">
        <v>33.83728002</v>
      </c>
      <c r="H61" s="20" t="n">
        <v>2.0210387</v>
      </c>
      <c r="I61" s="18" t="s">
        <v>105</v>
      </c>
      <c r="J61" s="20" t="s">
        <v>105</v>
      </c>
      <c r="K61" s="18" t="n">
        <v>3.37105626</v>
      </c>
      <c r="L61" s="20" t="n">
        <v>0.796513</v>
      </c>
      <c r="M61" s="18" t="n">
        <v>0</v>
      </c>
      <c r="N61" s="20" t="n">
        <v>0</v>
      </c>
      <c r="O61" s="18" t="n">
        <v>0</v>
      </c>
      <c r="P61" s="20" t="n">
        <v>0</v>
      </c>
      <c r="Q61" s="18" t="n">
        <v>0</v>
      </c>
      <c r="R61" s="20" t="n">
        <v>0</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3460</v>
      </c>
      <c r="C67" s="18">
        <f>(2761.0/B67*100)</f>
        <v/>
      </c>
      <c r="D67" s="19" t="n">
        <v>699</v>
      </c>
      <c r="E67" s="18" t="n">
        <v>79.78854459</v>
      </c>
      <c r="F67" s="20" t="n">
        <v>1.5535472</v>
      </c>
      <c r="G67" s="18" t="n">
        <v>17.31949889</v>
      </c>
      <c r="H67" s="20" t="n">
        <v>1.45644193</v>
      </c>
      <c r="I67" s="18" t="s">
        <v>105</v>
      </c>
      <c r="J67" s="20" t="s">
        <v>105</v>
      </c>
      <c r="K67" s="18" t="n">
        <v>2.89195653</v>
      </c>
      <c r="L67" s="20" t="n">
        <v>0.84601923</v>
      </c>
      <c r="M67" s="18" t="n">
        <v>0</v>
      </c>
      <c r="N67" s="20" t="n">
        <v>0</v>
      </c>
      <c r="O67" s="18" t="n">
        <v>0</v>
      </c>
      <c r="P67" s="20" t="n">
        <v>0</v>
      </c>
      <c r="Q67" s="18" t="n">
        <v>0</v>
      </c>
      <c r="R67" s="20" t="n">
        <v>0</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3107</v>
      </c>
      <c r="C70" s="18">
        <f>(2401.0/B70*100)</f>
        <v/>
      </c>
      <c r="D70" s="19" t="n">
        <v>706</v>
      </c>
      <c r="E70" s="18" t="n">
        <v>58.88718391</v>
      </c>
      <c r="F70" s="20" t="n">
        <v>2.47242973</v>
      </c>
      <c r="G70" s="18" t="n">
        <v>36.69249425</v>
      </c>
      <c r="H70" s="20" t="n">
        <v>2.43563428</v>
      </c>
      <c r="I70" s="18" t="s">
        <v>105</v>
      </c>
      <c r="J70" s="20" t="s">
        <v>105</v>
      </c>
      <c r="K70" s="18" t="n">
        <v>4.42032184</v>
      </c>
      <c r="L70" s="20" t="n">
        <v>1.17609816</v>
      </c>
      <c r="M70" s="18" t="n">
        <v>0</v>
      </c>
      <c r="N70" s="20" t="n">
        <v>0</v>
      </c>
      <c r="O70" s="18" t="n">
        <v>0</v>
      </c>
      <c r="P70" s="20" t="n">
        <v>0</v>
      </c>
      <c r="Q70" s="18" t="n">
        <v>0</v>
      </c>
      <c r="R70" s="20" t="n">
        <v>0</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24.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229</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7163</v>
      </c>
      <c r="C7" s="18">
        <f>(292.0/B7*100)</f>
        <v/>
      </c>
      <c r="D7" s="19" t="n">
        <v>6871</v>
      </c>
      <c r="E7" s="18" t="n">
        <v>17.90964437</v>
      </c>
      <c r="F7" s="20" t="n">
        <v>0.59780892</v>
      </c>
      <c r="G7" s="18" t="n">
        <v>77.46885072000001</v>
      </c>
      <c r="H7" s="20" t="n">
        <v>0.70885426</v>
      </c>
      <c r="I7" s="18" t="s">
        <v>105</v>
      </c>
      <c r="J7" s="20" t="s">
        <v>105</v>
      </c>
      <c r="K7" s="18" t="n">
        <v>0.25513442</v>
      </c>
      <c r="L7" s="20" t="n">
        <v>0.07046507</v>
      </c>
      <c r="M7" s="18" t="n">
        <v>0</v>
      </c>
      <c r="N7" s="20" t="n">
        <v>0</v>
      </c>
      <c r="O7" s="18" t="n">
        <v>0</v>
      </c>
      <c r="P7" s="20" t="n">
        <v>0</v>
      </c>
      <c r="Q7" s="18" t="n">
        <v>4.36637049</v>
      </c>
      <c r="R7" s="20" t="n">
        <v>0.3172092</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2795</v>
      </c>
      <c r="C9" s="18">
        <f>(2143.0/B9*100)</f>
        <v/>
      </c>
      <c r="D9" s="19" t="n">
        <v>652</v>
      </c>
      <c r="E9" s="18" t="n">
        <v>7.41171129</v>
      </c>
      <c r="F9" s="20" t="n">
        <v>0.9914268000000001</v>
      </c>
      <c r="G9" s="18" t="n">
        <v>89.96536278000001</v>
      </c>
      <c r="H9" s="20" t="n">
        <v>1.32988801</v>
      </c>
      <c r="I9" s="18" t="s">
        <v>105</v>
      </c>
      <c r="J9" s="20" t="s">
        <v>105</v>
      </c>
      <c r="K9" s="18" t="n">
        <v>0</v>
      </c>
      <c r="L9" s="20" t="n">
        <v>0</v>
      </c>
      <c r="M9" s="18" t="n">
        <v>0</v>
      </c>
      <c r="N9" s="20" t="n">
        <v>0</v>
      </c>
      <c r="O9" s="18" t="n">
        <v>0</v>
      </c>
      <c r="P9" s="20" t="n">
        <v>0</v>
      </c>
      <c r="Q9" s="18" t="n">
        <v>2.62292593</v>
      </c>
      <c r="R9" s="20" t="n">
        <v>0.67121478</v>
      </c>
    </row>
    <row r="10" spans="1:18">
      <c r="A10" s="15" t="s">
        <v>109</v>
      </c>
      <c r="B10" s="17" t="n">
        <v>6602</v>
      </c>
      <c r="C10" s="18">
        <f>(5011.0/B10*100)</f>
        <v/>
      </c>
      <c r="D10" s="19" t="n">
        <v>1591</v>
      </c>
      <c r="E10" s="18" t="n">
        <v>12.41546147</v>
      </c>
      <c r="F10" s="20" t="n">
        <v>1.36257754</v>
      </c>
      <c r="G10" s="18" t="n">
        <v>85.76154701</v>
      </c>
      <c r="H10" s="20" t="n">
        <v>1.4448082</v>
      </c>
      <c r="I10" s="18" t="s">
        <v>105</v>
      </c>
      <c r="J10" s="20" t="s">
        <v>105</v>
      </c>
      <c r="K10" s="18" t="n">
        <v>0.19862739</v>
      </c>
      <c r="L10" s="20" t="n">
        <v>0.1986073</v>
      </c>
      <c r="M10" s="18" t="n">
        <v>0</v>
      </c>
      <c r="N10" s="20" t="n">
        <v>0</v>
      </c>
      <c r="O10" s="18" t="n">
        <v>0</v>
      </c>
      <c r="P10" s="20" t="n">
        <v>0</v>
      </c>
      <c r="Q10" s="18" t="n">
        <v>1.62436413</v>
      </c>
      <c r="R10" s="20" t="n">
        <v>0.47083781</v>
      </c>
    </row>
    <row r="11" spans="1:18">
      <c r="A11" s="15" t="s">
        <v>110</v>
      </c>
      <c r="B11" s="17" t="n">
        <v>3500</v>
      </c>
      <c r="C11" s="18">
        <f>(2606.0/B11*100)</f>
        <v/>
      </c>
      <c r="D11" s="19" t="n">
        <v>894</v>
      </c>
      <c r="E11" s="18" t="n">
        <v>26.89599304</v>
      </c>
      <c r="F11" s="20" t="n">
        <v>1.8401222</v>
      </c>
      <c r="G11" s="18" t="n">
        <v>61.50457661</v>
      </c>
      <c r="H11" s="20" t="n">
        <v>2.28572429</v>
      </c>
      <c r="I11" s="18" t="s">
        <v>105</v>
      </c>
      <c r="J11" s="20" t="s">
        <v>105</v>
      </c>
      <c r="K11" s="18" t="n">
        <v>0.30624056</v>
      </c>
      <c r="L11" s="20" t="n">
        <v>0.23496188</v>
      </c>
      <c r="M11" s="18" t="n">
        <v>0</v>
      </c>
      <c r="N11" s="20" t="n">
        <v>0</v>
      </c>
      <c r="O11" s="18" t="n">
        <v>0</v>
      </c>
      <c r="P11" s="20" t="n">
        <v>0</v>
      </c>
      <c r="Q11" s="18" t="n">
        <v>11.29318978</v>
      </c>
      <c r="R11" s="20" t="n">
        <v>1.444214</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5792</v>
      </c>
      <c r="C23" s="18">
        <f>(4446.0/B23*100)</f>
        <v/>
      </c>
      <c r="D23" s="19" t="n">
        <v>1346</v>
      </c>
      <c r="E23" s="18" t="n">
        <v>14.28329837</v>
      </c>
      <c r="F23" s="20" t="n">
        <v>1.47317068</v>
      </c>
      <c r="G23" s="18" t="n">
        <v>77.87193537</v>
      </c>
      <c r="H23" s="20" t="n">
        <v>1.83706273</v>
      </c>
      <c r="I23" s="18" t="s">
        <v>105</v>
      </c>
      <c r="J23" s="20" t="s">
        <v>105</v>
      </c>
      <c r="K23" s="18" t="n">
        <v>0.16024996</v>
      </c>
      <c r="L23" s="20" t="n">
        <v>0.14687286</v>
      </c>
      <c r="M23" s="18" t="n">
        <v>0</v>
      </c>
      <c r="N23" s="20" t="n">
        <v>0</v>
      </c>
      <c r="O23" s="18" t="n">
        <v>0</v>
      </c>
      <c r="P23" s="20" t="n">
        <v>0</v>
      </c>
      <c r="Q23" s="18" t="n">
        <v>7.68451631</v>
      </c>
      <c r="R23" s="20" t="n">
        <v>1.48982965</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2700</v>
      </c>
      <c r="C29" s="18">
        <f>(2020.0/B29*100)</f>
        <v/>
      </c>
      <c r="D29" s="19" t="n">
        <v>680</v>
      </c>
      <c r="E29" s="18" t="n">
        <v>11.32206391</v>
      </c>
      <c r="F29" s="20" t="n">
        <v>1.31206455</v>
      </c>
      <c r="G29" s="18" t="n">
        <v>86.47919695</v>
      </c>
      <c r="H29" s="20" t="n">
        <v>1.45526761</v>
      </c>
      <c r="I29" s="18" t="s">
        <v>105</v>
      </c>
      <c r="J29" s="20" t="s">
        <v>105</v>
      </c>
      <c r="K29" s="18" t="n">
        <v>0</v>
      </c>
      <c r="L29" s="20" t="n">
        <v>0</v>
      </c>
      <c r="M29" s="18" t="n">
        <v>0</v>
      </c>
      <c r="N29" s="20" t="n">
        <v>0</v>
      </c>
      <c r="O29" s="18" t="n">
        <v>0</v>
      </c>
      <c r="P29" s="20" t="n">
        <v>0</v>
      </c>
      <c r="Q29" s="18" t="n">
        <v>2.19873914</v>
      </c>
      <c r="R29" s="20" t="n">
        <v>0.61020558</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2209</v>
      </c>
      <c r="C32" s="18">
        <f>(1356.0/B32*100)</f>
        <v/>
      </c>
      <c r="D32" s="19" t="n">
        <v>853</v>
      </c>
      <c r="E32" s="18" t="n">
        <v>12.21504769</v>
      </c>
      <c r="F32" s="20" t="n">
        <v>1.23918062</v>
      </c>
      <c r="G32" s="18" t="n">
        <v>84.33445585</v>
      </c>
      <c r="H32" s="20" t="n">
        <v>1.40707034</v>
      </c>
      <c r="I32" s="18" t="s">
        <v>105</v>
      </c>
      <c r="J32" s="20" t="s">
        <v>105</v>
      </c>
      <c r="K32" s="18" t="n">
        <v>0.24469358</v>
      </c>
      <c r="L32" s="20" t="n">
        <v>0.18098644</v>
      </c>
      <c r="M32" s="18" t="n">
        <v>0</v>
      </c>
      <c r="N32" s="20" t="n">
        <v>0</v>
      </c>
      <c r="O32" s="18" t="n">
        <v>0</v>
      </c>
      <c r="P32" s="20" t="n">
        <v>0</v>
      </c>
      <c r="Q32" s="18" t="n">
        <v>3.20580287</v>
      </c>
      <c r="R32" s="20" t="n">
        <v>0.67480958</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3035</v>
      </c>
      <c r="C34" s="18">
        <f>(2300.0/B34*100)</f>
        <v/>
      </c>
      <c r="D34" s="19" t="n">
        <v>735</v>
      </c>
      <c r="E34" s="18" t="n">
        <v>20.73402991</v>
      </c>
      <c r="F34" s="20" t="n">
        <v>1.82075961</v>
      </c>
      <c r="G34" s="18" t="n">
        <v>75.57548764000001</v>
      </c>
      <c r="H34" s="20" t="n">
        <v>1.92954407</v>
      </c>
      <c r="I34" s="18" t="s">
        <v>105</v>
      </c>
      <c r="J34" s="20" t="s">
        <v>105</v>
      </c>
      <c r="K34" s="18" t="n">
        <v>0.27014948</v>
      </c>
      <c r="L34" s="20" t="n">
        <v>0.19955529</v>
      </c>
      <c r="M34" s="18" t="n">
        <v>0</v>
      </c>
      <c r="N34" s="20" t="n">
        <v>0</v>
      </c>
      <c r="O34" s="18" t="n">
        <v>0</v>
      </c>
      <c r="P34" s="20" t="n">
        <v>0</v>
      </c>
      <c r="Q34" s="18" t="n">
        <v>3.42033297</v>
      </c>
      <c r="R34" s="20" t="n">
        <v>0.63603803</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3404</v>
      </c>
      <c r="C36" s="18">
        <f>(2529.0/B36*100)</f>
        <v/>
      </c>
      <c r="D36" s="19" t="n">
        <v>875</v>
      </c>
      <c r="E36" s="18" t="n">
        <v>18.73203696</v>
      </c>
      <c r="F36" s="20" t="n">
        <v>1.5646871</v>
      </c>
      <c r="G36" s="18" t="n">
        <v>74.07400908</v>
      </c>
      <c r="H36" s="20" t="n">
        <v>1.77063297</v>
      </c>
      <c r="I36" s="18" t="s">
        <v>105</v>
      </c>
      <c r="J36" s="20" t="s">
        <v>105</v>
      </c>
      <c r="K36" s="18" t="n">
        <v>0.23791046</v>
      </c>
      <c r="L36" s="20" t="n">
        <v>0.16888708</v>
      </c>
      <c r="M36" s="18" t="n">
        <v>0</v>
      </c>
      <c r="N36" s="20" t="n">
        <v>0</v>
      </c>
      <c r="O36" s="18" t="n">
        <v>0</v>
      </c>
      <c r="P36" s="20" t="n">
        <v>0</v>
      </c>
      <c r="Q36" s="18" t="n">
        <v>6.9560435</v>
      </c>
      <c r="R36" s="20" t="n">
        <v>1.03607616</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2854</v>
      </c>
      <c r="C41" s="18">
        <f>(2130.0/B41*100)</f>
        <v/>
      </c>
      <c r="D41" s="19" t="n">
        <v>724</v>
      </c>
      <c r="E41" s="18" t="n">
        <v>24.08612875</v>
      </c>
      <c r="F41" s="20" t="n">
        <v>1.95370681</v>
      </c>
      <c r="G41" s="18" t="n">
        <v>75.42626323</v>
      </c>
      <c r="H41" s="20" t="n">
        <v>2.00505749</v>
      </c>
      <c r="I41" s="18" t="s">
        <v>105</v>
      </c>
      <c r="J41" s="20" t="s">
        <v>105</v>
      </c>
      <c r="K41" s="18" t="n">
        <v>0</v>
      </c>
      <c r="L41" s="20" t="n">
        <v>0</v>
      </c>
      <c r="M41" s="18" t="n">
        <v>0</v>
      </c>
      <c r="N41" s="20" t="n">
        <v>0</v>
      </c>
      <c r="O41" s="18" t="n">
        <v>0</v>
      </c>
      <c r="P41" s="20" t="n">
        <v>0</v>
      </c>
      <c r="Q41" s="18" t="n">
        <v>0.48760802</v>
      </c>
      <c r="R41" s="20" t="n">
        <v>0.23965041</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12073</v>
      </c>
      <c r="C46" s="18">
        <f>(9307.0/B46*100)</f>
        <v/>
      </c>
      <c r="D46" s="19" t="n">
        <v>2766</v>
      </c>
      <c r="E46" s="18" t="n">
        <v>39.60525305</v>
      </c>
      <c r="F46" s="20" t="n">
        <v>1.25671135</v>
      </c>
      <c r="G46" s="18" t="n">
        <v>41.24450994</v>
      </c>
      <c r="H46" s="20" t="n">
        <v>1.34281334</v>
      </c>
      <c r="I46" s="18" t="s">
        <v>105</v>
      </c>
      <c r="J46" s="20" t="s">
        <v>105</v>
      </c>
      <c r="K46" s="18" t="n">
        <v>0.99794784</v>
      </c>
      <c r="L46" s="20" t="n">
        <v>0.29282815</v>
      </c>
      <c r="M46" s="18" t="n">
        <v>0</v>
      </c>
      <c r="N46" s="20" t="n">
        <v>0</v>
      </c>
      <c r="O46" s="18" t="n">
        <v>0</v>
      </c>
      <c r="P46" s="20" t="n">
        <v>0</v>
      </c>
      <c r="Q46" s="18" t="n">
        <v>18.15228917</v>
      </c>
      <c r="R46" s="20" t="n">
        <v>0.92075582</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4682</v>
      </c>
      <c r="C48" s="18">
        <f>(3490.0/B48*100)</f>
        <v/>
      </c>
      <c r="D48" s="19" t="n">
        <v>1192</v>
      </c>
      <c r="E48" s="18" t="n">
        <v>12.33081825</v>
      </c>
      <c r="F48" s="20" t="n">
        <v>1.31082991</v>
      </c>
      <c r="G48" s="18" t="n">
        <v>86.59751620999999</v>
      </c>
      <c r="H48" s="20" t="n">
        <v>1.41521304</v>
      </c>
      <c r="I48" s="18" t="s">
        <v>105</v>
      </c>
      <c r="J48" s="20" t="s">
        <v>105</v>
      </c>
      <c r="K48" s="18" t="n">
        <v>0</v>
      </c>
      <c r="L48" s="20" t="n">
        <v>0</v>
      </c>
      <c r="M48" s="18" t="n">
        <v>0</v>
      </c>
      <c r="N48" s="20" t="n">
        <v>0</v>
      </c>
      <c r="O48" s="18" t="n">
        <v>0</v>
      </c>
      <c r="P48" s="20" t="n">
        <v>0</v>
      </c>
      <c r="Q48" s="18" t="n">
        <v>1.07166554</v>
      </c>
      <c r="R48" s="20" t="n">
        <v>0.43041999</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3201</v>
      </c>
      <c r="C61" s="18">
        <f>(2355.0/B61*100)</f>
        <v/>
      </c>
      <c r="D61" s="19" t="n">
        <v>846</v>
      </c>
      <c r="E61" s="18" t="n">
        <v>18.5597952</v>
      </c>
      <c r="F61" s="20" t="n">
        <v>1.71885663</v>
      </c>
      <c r="G61" s="18" t="n">
        <v>75.55628305</v>
      </c>
      <c r="H61" s="20" t="n">
        <v>1.85584221</v>
      </c>
      <c r="I61" s="18" t="s">
        <v>105</v>
      </c>
      <c r="J61" s="20" t="s">
        <v>105</v>
      </c>
      <c r="K61" s="18" t="n">
        <v>0.15158459</v>
      </c>
      <c r="L61" s="20" t="n">
        <v>0.15768637</v>
      </c>
      <c r="M61" s="18" t="n">
        <v>0</v>
      </c>
      <c r="N61" s="20" t="n">
        <v>0</v>
      </c>
      <c r="O61" s="18" t="n">
        <v>0</v>
      </c>
      <c r="P61" s="20" t="n">
        <v>0</v>
      </c>
      <c r="Q61" s="18" t="n">
        <v>5.73233717</v>
      </c>
      <c r="R61" s="20" t="n">
        <v>0.88687273</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3460</v>
      </c>
      <c r="C67" s="18">
        <f>(2565.0/B67*100)</f>
        <v/>
      </c>
      <c r="D67" s="19" t="n">
        <v>895</v>
      </c>
      <c r="E67" s="18" t="n">
        <v>43.12753728</v>
      </c>
      <c r="F67" s="20" t="n">
        <v>2.02043447</v>
      </c>
      <c r="G67" s="18" t="n">
        <v>51.66768897</v>
      </c>
      <c r="H67" s="20" t="n">
        <v>2.05401679</v>
      </c>
      <c r="I67" s="18" t="s">
        <v>105</v>
      </c>
      <c r="J67" s="20" t="s">
        <v>105</v>
      </c>
      <c r="K67" s="18" t="n">
        <v>0</v>
      </c>
      <c r="L67" s="20" t="n">
        <v>0</v>
      </c>
      <c r="M67" s="18" t="n">
        <v>0</v>
      </c>
      <c r="N67" s="20" t="n">
        <v>0</v>
      </c>
      <c r="O67" s="18" t="n">
        <v>0</v>
      </c>
      <c r="P67" s="20" t="n">
        <v>0</v>
      </c>
      <c r="Q67" s="18" t="n">
        <v>5.20477375</v>
      </c>
      <c r="R67" s="20" t="n">
        <v>0.75321287</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3107</v>
      </c>
      <c r="C70" s="18">
        <f>(2321.0/B70*100)</f>
        <v/>
      </c>
      <c r="D70" s="19" t="n">
        <v>786</v>
      </c>
      <c r="E70" s="18" t="n">
        <v>12.86583764</v>
      </c>
      <c r="F70" s="20" t="n">
        <v>1.3220739</v>
      </c>
      <c r="G70" s="18" t="n">
        <v>84.64135001</v>
      </c>
      <c r="H70" s="20" t="n">
        <v>1.50038945</v>
      </c>
      <c r="I70" s="18" t="s">
        <v>105</v>
      </c>
      <c r="J70" s="20" t="s">
        <v>105</v>
      </c>
      <c r="K70" s="18" t="n">
        <v>0</v>
      </c>
      <c r="L70" s="20" t="n">
        <v>0</v>
      </c>
      <c r="M70" s="18" t="n">
        <v>0</v>
      </c>
      <c r="N70" s="20" t="n">
        <v>0</v>
      </c>
      <c r="O70" s="18" t="n">
        <v>0</v>
      </c>
      <c r="P70" s="20" t="n">
        <v>0</v>
      </c>
      <c r="Q70" s="18" t="n">
        <v>2.49281234</v>
      </c>
      <c r="R70" s="20" t="n">
        <v>0.69274638</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25.xml><?xml version="1.0" encoding="utf-8"?>
<worksheet xmlns="http://schemas.openxmlformats.org/spreadsheetml/2006/main">
  <sheetPr>
    <outlinePr summaryBelow="1" summaryRight="1"/>
    <pageSetUpPr/>
  </sheetPr>
  <dimension ref="A1:T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0">
      <c r="A1" s="4" t="s">
        <v>87</v>
      </c>
    </row>
    <row r="2" spans="1:20">
      <c r="A2" s="5" t="s">
        <v>230</v>
      </c>
    </row>
    <row customHeight="1" ht="30" r="4" spans="1:20">
      <c r="A4" s="6" t="n"/>
      <c r="B4" s="7" t="s">
        <v>89</v>
      </c>
      <c r="C4" s="7" t="s">
        <v>90</v>
      </c>
      <c r="D4" s="8" t="s">
        <v>89</v>
      </c>
      <c r="E4" s="9" t="s">
        <v>199</v>
      </c>
      <c r="F4" s="10" t="n"/>
      <c r="G4" s="9" t="s">
        <v>207</v>
      </c>
      <c r="H4" s="10" t="n"/>
      <c r="I4" s="9" t="s">
        <v>208</v>
      </c>
      <c r="J4" s="10" t="n"/>
      <c r="K4" s="9" t="s">
        <v>93</v>
      </c>
      <c r="L4" s="10" t="n"/>
      <c r="M4" s="9" t="s">
        <v>94</v>
      </c>
      <c r="N4" s="10" t="n"/>
      <c r="O4" s="9" t="s">
        <v>95</v>
      </c>
      <c r="P4" s="10" t="n"/>
      <c r="Q4" s="9" t="s">
        <v>96</v>
      </c>
      <c r="R4" s="10" t="n"/>
      <c r="S4" s="9" t="s">
        <v>97</v>
      </c>
      <c r="T4" s="10" t="n"/>
    </row>
    <row r="5" spans="1:20">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c r="S5" s="12" t="s">
        <v>101</v>
      </c>
      <c r="T5" s="11" t="s">
        <v>102</v>
      </c>
    </row>
    <row r="6" spans="1:20">
      <c r="A6" s="13" t="s">
        <v>103</v>
      </c>
      <c r="B6" s="14" t="n"/>
      <c r="C6" s="14" t="n"/>
      <c r="D6" s="15" t="n"/>
      <c r="E6" s="14" t="n"/>
      <c r="F6" s="15" t="n"/>
      <c r="G6" s="14" t="n"/>
      <c r="H6" s="15" t="n"/>
      <c r="I6" s="14" t="n"/>
      <c r="J6" s="15" t="n"/>
      <c r="K6" s="14" t="n"/>
      <c r="L6" s="15" t="n"/>
      <c r="M6" s="14" t="n"/>
      <c r="N6" s="15" t="n"/>
      <c r="O6" s="14" t="n"/>
      <c r="P6" s="15" t="n"/>
      <c r="Q6" s="14" t="n"/>
      <c r="R6" s="15" t="n"/>
      <c r="S6" s="14" t="n"/>
      <c r="T6" s="16" t="n"/>
    </row>
    <row r="7" spans="1:20">
      <c r="A7" s="15" t="s">
        <v>104</v>
      </c>
      <c r="B7" s="17" t="n">
        <v>7163</v>
      </c>
      <c r="C7" s="18">
        <f>(263.0/B7*100)</f>
        <v/>
      </c>
      <c r="D7" s="19" t="n">
        <v>6900</v>
      </c>
      <c r="E7" s="18" t="n">
        <v>26.88835081</v>
      </c>
      <c r="F7" s="20" t="n">
        <v>0.69458126</v>
      </c>
      <c r="G7" s="18" t="n">
        <v>38.40443169</v>
      </c>
      <c r="H7" s="20" t="n">
        <v>0.76874267</v>
      </c>
      <c r="I7" s="18" t="n">
        <v>31.29673405</v>
      </c>
      <c r="J7" s="20" t="n">
        <v>0.74257499</v>
      </c>
      <c r="K7" s="18" t="s">
        <v>105</v>
      </c>
      <c r="L7" s="20" t="s">
        <v>105</v>
      </c>
      <c r="M7" s="18" t="n">
        <v>0.25437514</v>
      </c>
      <c r="N7" s="20" t="n">
        <v>0.0702648</v>
      </c>
      <c r="O7" s="18" t="n">
        <v>0.0110278</v>
      </c>
      <c r="P7" s="20" t="n">
        <v>0.0028828</v>
      </c>
      <c r="Q7" s="18" t="n">
        <v>0</v>
      </c>
      <c r="R7" s="20" t="n">
        <v>0</v>
      </c>
      <c r="S7" s="18" t="n">
        <v>3.14508051</v>
      </c>
      <c r="T7" s="20" t="n">
        <v>0.2650953</v>
      </c>
    </row>
    <row r="8" spans="1:20">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c r="S8" s="21" t="s">
        <v>107</v>
      </c>
      <c r="T8" s="22" t="s">
        <v>107</v>
      </c>
    </row>
    <row r="9" spans="1:20">
      <c r="A9" s="15" t="s">
        <v>108</v>
      </c>
      <c r="B9" s="17" t="n">
        <v>2795</v>
      </c>
      <c r="C9" s="18">
        <f>(2143.0/B9*100)</f>
        <v/>
      </c>
      <c r="D9" s="19" t="n">
        <v>652</v>
      </c>
      <c r="E9" s="18" t="n">
        <v>16.85594102</v>
      </c>
      <c r="F9" s="20" t="n">
        <v>1.38946025</v>
      </c>
      <c r="G9" s="18" t="n">
        <v>33.82498683</v>
      </c>
      <c r="H9" s="20" t="n">
        <v>1.60647605</v>
      </c>
      <c r="I9" s="18" t="n">
        <v>47.72058688</v>
      </c>
      <c r="J9" s="20" t="n">
        <v>1.79790917</v>
      </c>
      <c r="K9" s="18" t="s">
        <v>105</v>
      </c>
      <c r="L9" s="20" t="s">
        <v>105</v>
      </c>
      <c r="M9" s="18" t="n">
        <v>0</v>
      </c>
      <c r="N9" s="20" t="n">
        <v>0</v>
      </c>
      <c r="O9" s="18" t="n">
        <v>0.78445568</v>
      </c>
      <c r="P9" s="20" t="n">
        <v>0.30261052</v>
      </c>
      <c r="Q9" s="18" t="n">
        <v>0</v>
      </c>
      <c r="R9" s="20" t="n">
        <v>0</v>
      </c>
      <c r="S9" s="18" t="n">
        <v>0.81402959</v>
      </c>
      <c r="T9" s="20" t="n">
        <v>0.42747085</v>
      </c>
    </row>
    <row r="10" spans="1:20">
      <c r="A10" s="15" t="s">
        <v>109</v>
      </c>
      <c r="B10" s="17" t="n">
        <v>6602</v>
      </c>
      <c r="C10" s="18">
        <f>(5008.0/B10*100)</f>
        <v/>
      </c>
      <c r="D10" s="19" t="n">
        <v>1594</v>
      </c>
      <c r="E10" s="18" t="n">
        <v>22.26717817</v>
      </c>
      <c r="F10" s="20" t="n">
        <v>1.52682001</v>
      </c>
      <c r="G10" s="18" t="n">
        <v>26.00244539</v>
      </c>
      <c r="H10" s="20" t="n">
        <v>1.75279915</v>
      </c>
      <c r="I10" s="18" t="n">
        <v>50.00886801</v>
      </c>
      <c r="J10" s="20" t="n">
        <v>1.76263855</v>
      </c>
      <c r="K10" s="18" t="s">
        <v>105</v>
      </c>
      <c r="L10" s="20" t="s">
        <v>105</v>
      </c>
      <c r="M10" s="18" t="n">
        <v>0.19827031</v>
      </c>
      <c r="N10" s="20" t="n">
        <v>0.19825219</v>
      </c>
      <c r="O10" s="18" t="n">
        <v>0.21918683</v>
      </c>
      <c r="P10" s="20" t="n">
        <v>0.1859154</v>
      </c>
      <c r="Q10" s="18" t="n">
        <v>0</v>
      </c>
      <c r="R10" s="20" t="n">
        <v>0</v>
      </c>
      <c r="S10" s="18" t="n">
        <v>1.30405129</v>
      </c>
      <c r="T10" s="20" t="n">
        <v>0.3777245</v>
      </c>
    </row>
    <row r="11" spans="1:20">
      <c r="A11" s="15" t="s">
        <v>110</v>
      </c>
      <c r="B11" s="17" t="n">
        <v>3500</v>
      </c>
      <c r="C11" s="18">
        <f>(2606.0/B11*100)</f>
        <v/>
      </c>
      <c r="D11" s="19" t="n">
        <v>894</v>
      </c>
      <c r="E11" s="18" t="n">
        <v>26.36914199</v>
      </c>
      <c r="F11" s="20" t="n">
        <v>1.69153468</v>
      </c>
      <c r="G11" s="18" t="n">
        <v>46.16858654</v>
      </c>
      <c r="H11" s="20" t="n">
        <v>2.0040293</v>
      </c>
      <c r="I11" s="18" t="n">
        <v>21.4370137</v>
      </c>
      <c r="J11" s="20" t="n">
        <v>1.69007752</v>
      </c>
      <c r="K11" s="18" t="s">
        <v>105</v>
      </c>
      <c r="L11" s="20" t="s">
        <v>105</v>
      </c>
      <c r="M11" s="18" t="n">
        <v>0.30586347</v>
      </c>
      <c r="N11" s="20" t="n">
        <v>0.23467843</v>
      </c>
      <c r="O11" s="18" t="n">
        <v>0.04872083</v>
      </c>
      <c r="P11" s="20" t="n">
        <v>0.05344006</v>
      </c>
      <c r="Q11" s="18" t="n">
        <v>0</v>
      </c>
      <c r="R11" s="20" t="n">
        <v>0</v>
      </c>
      <c r="S11" s="18" t="n">
        <v>5.67067347</v>
      </c>
      <c r="T11" s="20" t="n">
        <v>0.92409766</v>
      </c>
    </row>
    <row r="12" spans="1:20">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c r="S12" s="21" t="s">
        <v>107</v>
      </c>
      <c r="T12" s="22" t="s">
        <v>107</v>
      </c>
    </row>
    <row r="13" spans="1:20">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c r="S13" s="21" t="s">
        <v>107</v>
      </c>
      <c r="T13" s="22" t="s">
        <v>107</v>
      </c>
    </row>
    <row r="14" spans="1:20">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c r="S14" s="21" t="s">
        <v>107</v>
      </c>
      <c r="T14" s="22" t="s">
        <v>107</v>
      </c>
    </row>
    <row r="15" spans="1:20">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c r="S15" s="21" t="s">
        <v>107</v>
      </c>
      <c r="T15" s="22" t="s">
        <v>107</v>
      </c>
    </row>
    <row r="16" spans="1:20">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c r="S16" s="21" t="s">
        <v>107</v>
      </c>
      <c r="T16" s="22" t="s">
        <v>107</v>
      </c>
    </row>
    <row r="17" spans="1:20">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c r="S17" s="21" t="s">
        <v>107</v>
      </c>
      <c r="T17" s="22" t="s">
        <v>107</v>
      </c>
    </row>
    <row r="18" spans="1:20">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c r="S18" s="21" t="s">
        <v>107</v>
      </c>
      <c r="T18" s="22" t="s">
        <v>107</v>
      </c>
    </row>
    <row r="19" spans="1:20">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c r="S19" s="21" t="s">
        <v>107</v>
      </c>
      <c r="T19" s="22" t="s">
        <v>107</v>
      </c>
    </row>
    <row r="20" spans="1:20">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c r="S20" s="21" t="s">
        <v>107</v>
      </c>
      <c r="T20" s="22" t="s">
        <v>107</v>
      </c>
    </row>
    <row r="21" spans="1:20">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c r="S21" s="21" t="s">
        <v>107</v>
      </c>
      <c r="T21" s="22" t="s">
        <v>107</v>
      </c>
    </row>
    <row r="22" spans="1:20">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c r="S22" s="21" t="s">
        <v>107</v>
      </c>
      <c r="T22" s="22" t="s">
        <v>107</v>
      </c>
    </row>
    <row r="23" spans="1:20">
      <c r="A23" s="15" t="s">
        <v>122</v>
      </c>
      <c r="B23" s="17" t="n">
        <v>5792</v>
      </c>
      <c r="C23" s="18">
        <f>(4446.0/B23*100)</f>
        <v/>
      </c>
      <c r="D23" s="19" t="n">
        <v>1346</v>
      </c>
      <c r="E23" s="18" t="n">
        <v>20.82859012</v>
      </c>
      <c r="F23" s="20" t="n">
        <v>1.48523297</v>
      </c>
      <c r="G23" s="18" t="n">
        <v>50.75091478</v>
      </c>
      <c r="H23" s="20" t="n">
        <v>2.09068104</v>
      </c>
      <c r="I23" s="18" t="n">
        <v>26.08408374</v>
      </c>
      <c r="J23" s="20" t="n">
        <v>1.81590853</v>
      </c>
      <c r="K23" s="18" t="s">
        <v>105</v>
      </c>
      <c r="L23" s="20" t="s">
        <v>105</v>
      </c>
      <c r="M23" s="18" t="n">
        <v>0.23319602</v>
      </c>
      <c r="N23" s="20" t="n">
        <v>0.16625478</v>
      </c>
      <c r="O23" s="18" t="n">
        <v>0</v>
      </c>
      <c r="P23" s="20" t="n">
        <v>0</v>
      </c>
      <c r="Q23" s="18" t="n">
        <v>0</v>
      </c>
      <c r="R23" s="20" t="n">
        <v>0</v>
      </c>
      <c r="S23" s="18" t="n">
        <v>2.10321535</v>
      </c>
      <c r="T23" s="20" t="n">
        <v>0.62158937</v>
      </c>
    </row>
    <row r="24" spans="1:20">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c r="S24" s="21" t="s">
        <v>107</v>
      </c>
      <c r="T24" s="22" t="s">
        <v>107</v>
      </c>
    </row>
    <row r="25" spans="1:20">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c r="S25" s="21" t="s">
        <v>107</v>
      </c>
      <c r="T25" s="22" t="s">
        <v>107</v>
      </c>
    </row>
    <row r="26" spans="1:20">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c r="S26" s="21" t="s">
        <v>107</v>
      </c>
      <c r="T26" s="22" t="s">
        <v>107</v>
      </c>
    </row>
    <row r="27" spans="1:20">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c r="S27" s="21" t="s">
        <v>107</v>
      </c>
      <c r="T27" s="22" t="s">
        <v>107</v>
      </c>
    </row>
    <row r="28" spans="1:20">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c r="S28" s="21" t="s">
        <v>107</v>
      </c>
      <c r="T28" s="22" t="s">
        <v>107</v>
      </c>
    </row>
    <row r="29" spans="1:20">
      <c r="A29" s="15" t="s">
        <v>128</v>
      </c>
      <c r="B29" s="17" t="n">
        <v>2700</v>
      </c>
      <c r="C29" s="18">
        <f>(2020.0/B29*100)</f>
        <v/>
      </c>
      <c r="D29" s="19" t="n">
        <v>680</v>
      </c>
      <c r="E29" s="18" t="n">
        <v>21.33768633</v>
      </c>
      <c r="F29" s="20" t="n">
        <v>1.52179598</v>
      </c>
      <c r="G29" s="18" t="n">
        <v>36.56238949</v>
      </c>
      <c r="H29" s="20" t="n">
        <v>1.91812576</v>
      </c>
      <c r="I29" s="18" t="n">
        <v>40.5113807</v>
      </c>
      <c r="J29" s="20" t="n">
        <v>1.80270131</v>
      </c>
      <c r="K29" s="18" t="s">
        <v>105</v>
      </c>
      <c r="L29" s="20" t="s">
        <v>105</v>
      </c>
      <c r="M29" s="18" t="n">
        <v>0</v>
      </c>
      <c r="N29" s="20" t="n">
        <v>0</v>
      </c>
      <c r="O29" s="18" t="n">
        <v>0</v>
      </c>
      <c r="P29" s="20" t="n">
        <v>0</v>
      </c>
      <c r="Q29" s="18" t="n">
        <v>0</v>
      </c>
      <c r="R29" s="20" t="n">
        <v>0</v>
      </c>
      <c r="S29" s="18" t="n">
        <v>1.58854349</v>
      </c>
      <c r="T29" s="20" t="n">
        <v>0.53991863</v>
      </c>
    </row>
    <row r="30" spans="1:20">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c r="S30" s="21" t="s">
        <v>107</v>
      </c>
      <c r="T30" s="22" t="s">
        <v>107</v>
      </c>
    </row>
    <row r="31" spans="1:20">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c r="S31" s="21" t="s">
        <v>107</v>
      </c>
      <c r="T31" s="22" t="s">
        <v>107</v>
      </c>
    </row>
    <row r="32" spans="1:20">
      <c r="A32" s="15" t="s">
        <v>131</v>
      </c>
      <c r="B32" s="17" t="n">
        <v>2209</v>
      </c>
      <c r="C32" s="18">
        <f>(1356.0/B32*100)</f>
        <v/>
      </c>
      <c r="D32" s="19" t="n">
        <v>853</v>
      </c>
      <c r="E32" s="18" t="n">
        <v>22.60717809</v>
      </c>
      <c r="F32" s="20" t="n">
        <v>1.37676325</v>
      </c>
      <c r="G32" s="18" t="n">
        <v>46.49339082</v>
      </c>
      <c r="H32" s="20" t="n">
        <v>1.549471</v>
      </c>
      <c r="I32" s="18" t="n">
        <v>28.4916802</v>
      </c>
      <c r="J32" s="20" t="n">
        <v>1.52090774</v>
      </c>
      <c r="K32" s="18" t="s">
        <v>105</v>
      </c>
      <c r="L32" s="20" t="s">
        <v>105</v>
      </c>
      <c r="M32" s="18" t="n">
        <v>0.24469358</v>
      </c>
      <c r="N32" s="20" t="n">
        <v>0.18098644</v>
      </c>
      <c r="O32" s="18" t="n">
        <v>0.49697506</v>
      </c>
      <c r="P32" s="20" t="n">
        <v>0.52915958</v>
      </c>
      <c r="Q32" s="18" t="n">
        <v>0</v>
      </c>
      <c r="R32" s="20" t="n">
        <v>0</v>
      </c>
      <c r="S32" s="18" t="n">
        <v>1.66608224</v>
      </c>
      <c r="T32" s="20" t="n">
        <v>0.45606762</v>
      </c>
    </row>
    <row r="33" spans="1:20">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c r="S33" s="21" t="s">
        <v>107</v>
      </c>
      <c r="T33" s="22" t="s">
        <v>107</v>
      </c>
    </row>
    <row r="34" spans="1:20">
      <c r="A34" s="15" t="s">
        <v>133</v>
      </c>
      <c r="B34" s="17" t="n">
        <v>3035</v>
      </c>
      <c r="C34" s="18">
        <f>(2299.0/B34*100)</f>
        <v/>
      </c>
      <c r="D34" s="19" t="n">
        <v>736</v>
      </c>
      <c r="E34" s="18" t="n">
        <v>27.77772054</v>
      </c>
      <c r="F34" s="20" t="n">
        <v>1.60713622</v>
      </c>
      <c r="G34" s="18" t="n">
        <v>49.98867338</v>
      </c>
      <c r="H34" s="20" t="n">
        <v>1.91740243</v>
      </c>
      <c r="I34" s="18" t="n">
        <v>20.60670875</v>
      </c>
      <c r="J34" s="20" t="n">
        <v>1.55932387</v>
      </c>
      <c r="K34" s="18" t="s">
        <v>105</v>
      </c>
      <c r="L34" s="20" t="s">
        <v>105</v>
      </c>
      <c r="M34" s="18" t="n">
        <v>0.26976152</v>
      </c>
      <c r="N34" s="20" t="n">
        <v>0.19913194</v>
      </c>
      <c r="O34" s="18" t="n">
        <v>0</v>
      </c>
      <c r="P34" s="20" t="n">
        <v>0</v>
      </c>
      <c r="Q34" s="18" t="n">
        <v>0</v>
      </c>
      <c r="R34" s="20" t="n">
        <v>0</v>
      </c>
      <c r="S34" s="18" t="n">
        <v>1.35713581</v>
      </c>
      <c r="T34" s="20" t="n">
        <v>0.45414387</v>
      </c>
    </row>
    <row r="35" spans="1:20">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c r="S35" s="21" t="s">
        <v>107</v>
      </c>
      <c r="T35" s="22" t="s">
        <v>107</v>
      </c>
    </row>
    <row r="36" spans="1:20">
      <c r="A36" s="15" t="s">
        <v>135</v>
      </c>
      <c r="B36" s="17" t="n">
        <v>3404</v>
      </c>
      <c r="C36" s="18">
        <f>(2529.0/B36*100)</f>
        <v/>
      </c>
      <c r="D36" s="19" t="n">
        <v>875</v>
      </c>
      <c r="E36" s="18" t="n">
        <v>21.05488258</v>
      </c>
      <c r="F36" s="20" t="n">
        <v>1.54157064</v>
      </c>
      <c r="G36" s="18" t="n">
        <v>48.66448828</v>
      </c>
      <c r="H36" s="20" t="n">
        <v>1.77391071</v>
      </c>
      <c r="I36" s="18" t="n">
        <v>27.08530844</v>
      </c>
      <c r="J36" s="20" t="n">
        <v>1.71750697</v>
      </c>
      <c r="K36" s="18" t="s">
        <v>105</v>
      </c>
      <c r="L36" s="20" t="s">
        <v>105</v>
      </c>
      <c r="M36" s="18" t="n">
        <v>0.23791046</v>
      </c>
      <c r="N36" s="20" t="n">
        <v>0.16888708</v>
      </c>
      <c r="O36" s="18" t="n">
        <v>0</v>
      </c>
      <c r="P36" s="20" t="n">
        <v>0</v>
      </c>
      <c r="Q36" s="18" t="n">
        <v>0</v>
      </c>
      <c r="R36" s="20" t="n">
        <v>0</v>
      </c>
      <c r="S36" s="18" t="n">
        <v>2.95741023</v>
      </c>
      <c r="T36" s="20" t="n">
        <v>0.62218341</v>
      </c>
    </row>
    <row r="37" spans="1:20">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c r="S37" s="21" t="s">
        <v>107</v>
      </c>
      <c r="T37" s="22" t="s">
        <v>107</v>
      </c>
    </row>
    <row r="38" spans="1:20">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c r="S38" s="21" t="s">
        <v>107</v>
      </c>
      <c r="T38" s="22" t="s">
        <v>107</v>
      </c>
    </row>
    <row r="39" spans="1:20">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c r="S39" s="21" t="s">
        <v>107</v>
      </c>
      <c r="T39" s="22" t="s">
        <v>107</v>
      </c>
    </row>
    <row r="40" spans="1:20">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c r="S40" s="21" t="s">
        <v>107</v>
      </c>
      <c r="T40" s="22" t="s">
        <v>107</v>
      </c>
    </row>
    <row r="41" spans="1:20">
      <c r="A41" s="15" t="s">
        <v>140</v>
      </c>
      <c r="B41" s="17" t="n">
        <v>2854</v>
      </c>
      <c r="C41" s="18">
        <f>(2130.0/B41*100)</f>
        <v/>
      </c>
      <c r="D41" s="19" t="n">
        <v>724</v>
      </c>
      <c r="E41" s="18" t="n">
        <v>38.59754065</v>
      </c>
      <c r="F41" s="20" t="n">
        <v>1.84708951</v>
      </c>
      <c r="G41" s="18" t="n">
        <v>31.6095399</v>
      </c>
      <c r="H41" s="20" t="n">
        <v>1.90170323</v>
      </c>
      <c r="I41" s="18" t="n">
        <v>29.44112107</v>
      </c>
      <c r="J41" s="20" t="n">
        <v>1.68017364</v>
      </c>
      <c r="K41" s="18" t="s">
        <v>105</v>
      </c>
      <c r="L41" s="20" t="s">
        <v>105</v>
      </c>
      <c r="M41" s="18" t="n">
        <v>0</v>
      </c>
      <c r="N41" s="20" t="n">
        <v>0</v>
      </c>
      <c r="O41" s="18" t="n">
        <v>0</v>
      </c>
      <c r="P41" s="20" t="n">
        <v>0</v>
      </c>
      <c r="Q41" s="18" t="n">
        <v>0</v>
      </c>
      <c r="R41" s="20" t="n">
        <v>0</v>
      </c>
      <c r="S41" s="18" t="n">
        <v>0.35179838</v>
      </c>
      <c r="T41" s="20" t="n">
        <v>0.31040746</v>
      </c>
    </row>
    <row r="42" spans="1:20">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row>
    <row r="43" spans="1:20">
      <c r="A43" s="13" t="s">
        <v>142</v>
      </c>
      <c r="B43" s="14" t="n"/>
      <c r="C43" s="14" t="n"/>
      <c r="D43" s="15" t="n"/>
      <c r="E43" s="14" t="n"/>
      <c r="F43" s="15" t="n"/>
      <c r="G43" s="14" t="n"/>
      <c r="H43" s="15" t="n"/>
      <c r="I43" s="14" t="n"/>
      <c r="J43" s="15" t="n"/>
      <c r="K43" s="14" t="n"/>
      <c r="L43" s="15" t="n"/>
      <c r="M43" s="14" t="n"/>
      <c r="N43" s="15" t="n"/>
      <c r="O43" s="14" t="n"/>
      <c r="P43" s="15" t="n"/>
      <c r="Q43" s="14" t="n"/>
      <c r="R43" s="15" t="n"/>
      <c r="S43" s="14" t="n"/>
      <c r="T43" s="16" t="n"/>
    </row>
    <row r="44" spans="1:20">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c r="S44" s="21" t="s">
        <v>107</v>
      </c>
      <c r="T44" s="22" t="s">
        <v>107</v>
      </c>
    </row>
    <row r="45" spans="1:20">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c r="S45" s="21" t="s">
        <v>107</v>
      </c>
      <c r="T45" s="22" t="s">
        <v>107</v>
      </c>
    </row>
    <row r="46" spans="1:20">
      <c r="A46" s="15" t="s">
        <v>145</v>
      </c>
      <c r="B46" s="17" t="n">
        <v>12073</v>
      </c>
      <c r="C46" s="18">
        <f>(9310.0/B46*100)</f>
        <v/>
      </c>
      <c r="D46" s="19" t="n">
        <v>2763</v>
      </c>
      <c r="E46" s="18" t="n">
        <v>36.78942403</v>
      </c>
      <c r="F46" s="20" t="n">
        <v>1.25123918</v>
      </c>
      <c r="G46" s="18" t="n">
        <v>34.18901942</v>
      </c>
      <c r="H46" s="20" t="n">
        <v>1.18682796</v>
      </c>
      <c r="I46" s="18" t="n">
        <v>17.97558829</v>
      </c>
      <c r="J46" s="20" t="n">
        <v>1.01571445</v>
      </c>
      <c r="K46" s="18" t="s">
        <v>105</v>
      </c>
      <c r="L46" s="20" t="s">
        <v>105</v>
      </c>
      <c r="M46" s="18" t="n">
        <v>1.17983787</v>
      </c>
      <c r="N46" s="20" t="n">
        <v>0.32150218</v>
      </c>
      <c r="O46" s="18" t="n">
        <v>0</v>
      </c>
      <c r="P46" s="20" t="n">
        <v>0</v>
      </c>
      <c r="Q46" s="18" t="n">
        <v>0</v>
      </c>
      <c r="R46" s="20" t="n">
        <v>0</v>
      </c>
      <c r="S46" s="18" t="n">
        <v>9.86613038</v>
      </c>
      <c r="T46" s="20" t="n">
        <v>0.8691201</v>
      </c>
    </row>
    <row r="47" spans="1:20">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c r="S47" s="21" t="s">
        <v>107</v>
      </c>
      <c r="T47" s="22" t="s">
        <v>107</v>
      </c>
    </row>
    <row r="48" spans="1:20">
      <c r="A48" s="15" t="s">
        <v>147</v>
      </c>
      <c r="B48" s="17" t="n">
        <v>4682</v>
      </c>
      <c r="C48" s="18">
        <f>(3489.0/B48*100)</f>
        <v/>
      </c>
      <c r="D48" s="19" t="n">
        <v>1193</v>
      </c>
      <c r="E48" s="18" t="n">
        <v>14.7606144</v>
      </c>
      <c r="F48" s="20" t="n">
        <v>1.44533799</v>
      </c>
      <c r="G48" s="18" t="n">
        <v>27.05685399</v>
      </c>
      <c r="H48" s="20" t="n">
        <v>1.79581128</v>
      </c>
      <c r="I48" s="18" t="n">
        <v>57.7808412</v>
      </c>
      <c r="J48" s="20" t="n">
        <v>1.84283099</v>
      </c>
      <c r="K48" s="18" t="s">
        <v>105</v>
      </c>
      <c r="L48" s="20" t="s">
        <v>105</v>
      </c>
      <c r="M48" s="18" t="n">
        <v>0</v>
      </c>
      <c r="N48" s="20" t="n">
        <v>0</v>
      </c>
      <c r="O48" s="18" t="n">
        <v>0</v>
      </c>
      <c r="P48" s="20" t="n">
        <v>0</v>
      </c>
      <c r="Q48" s="18" t="n">
        <v>0</v>
      </c>
      <c r="R48" s="20" t="n">
        <v>0</v>
      </c>
      <c r="S48" s="18" t="n">
        <v>0.40169041</v>
      </c>
      <c r="T48" s="20" t="n">
        <v>0.22762365</v>
      </c>
    </row>
    <row r="49" spans="1:20">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c r="S49" s="21" t="s">
        <v>107</v>
      </c>
      <c r="T49" s="22" t="s">
        <v>107</v>
      </c>
    </row>
    <row r="50" spans="1:20">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c r="S50" s="21" t="s">
        <v>107</v>
      </c>
      <c r="T50" s="22" t="s">
        <v>107</v>
      </c>
    </row>
    <row r="51" spans="1:20">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c r="S51" s="21" t="s">
        <v>107</v>
      </c>
      <c r="T51" s="22" t="s">
        <v>107</v>
      </c>
    </row>
    <row r="52" spans="1:20">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c r="S52" s="21" t="s">
        <v>107</v>
      </c>
      <c r="T52" s="22" t="s">
        <v>107</v>
      </c>
    </row>
    <row r="53" spans="1:20">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c r="S53" s="21" t="s">
        <v>107</v>
      </c>
      <c r="T53" s="22" t="s">
        <v>107</v>
      </c>
    </row>
    <row r="54" spans="1:20">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c r="S54" s="21" t="s">
        <v>107</v>
      </c>
      <c r="T54" s="22" t="s">
        <v>107</v>
      </c>
    </row>
    <row r="55" spans="1:20">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c r="S55" s="21" t="s">
        <v>107</v>
      </c>
      <c r="T55" s="22" t="s">
        <v>107</v>
      </c>
    </row>
    <row r="56" spans="1:20">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c r="S56" s="21" t="s">
        <v>107</v>
      </c>
      <c r="T56" s="22" t="s">
        <v>107</v>
      </c>
    </row>
    <row r="57" spans="1:20">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c r="S57" s="21" t="s">
        <v>107</v>
      </c>
      <c r="T57" s="22" t="s">
        <v>107</v>
      </c>
    </row>
    <row r="58" spans="1:20">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c r="S58" s="21" t="s">
        <v>107</v>
      </c>
      <c r="T58" s="22" t="s">
        <v>107</v>
      </c>
    </row>
    <row r="59" spans="1:20">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c r="S59" s="21" t="s">
        <v>107</v>
      </c>
      <c r="T59" s="22" t="s">
        <v>107</v>
      </c>
    </row>
    <row r="60" spans="1:20">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c r="S60" s="21" t="s">
        <v>107</v>
      </c>
      <c r="T60" s="22" t="s">
        <v>107</v>
      </c>
    </row>
    <row r="61" spans="1:20">
      <c r="A61" s="15" t="s">
        <v>160</v>
      </c>
      <c r="B61" s="17" t="n">
        <v>3201</v>
      </c>
      <c r="C61" s="18">
        <f>(2355.0/B61*100)</f>
        <v/>
      </c>
      <c r="D61" s="19" t="n">
        <v>846</v>
      </c>
      <c r="E61" s="18" t="n">
        <v>27.84242538</v>
      </c>
      <c r="F61" s="20" t="n">
        <v>1.79331136</v>
      </c>
      <c r="G61" s="18" t="n">
        <v>51.03040099</v>
      </c>
      <c r="H61" s="20" t="n">
        <v>2.06181315</v>
      </c>
      <c r="I61" s="18" t="n">
        <v>19.19063446</v>
      </c>
      <c r="J61" s="20" t="n">
        <v>1.70686463</v>
      </c>
      <c r="K61" s="18" t="s">
        <v>105</v>
      </c>
      <c r="L61" s="20" t="s">
        <v>105</v>
      </c>
      <c r="M61" s="18" t="n">
        <v>0.15158459</v>
      </c>
      <c r="N61" s="20" t="n">
        <v>0.15768637</v>
      </c>
      <c r="O61" s="18" t="n">
        <v>0</v>
      </c>
      <c r="P61" s="20" t="n">
        <v>0</v>
      </c>
      <c r="Q61" s="18" t="n">
        <v>0</v>
      </c>
      <c r="R61" s="20" t="n">
        <v>0</v>
      </c>
      <c r="S61" s="18" t="n">
        <v>1.78495458</v>
      </c>
      <c r="T61" s="20" t="n">
        <v>0.42866868</v>
      </c>
    </row>
    <row r="62" spans="1:20">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c r="S62" s="21" t="s">
        <v>107</v>
      </c>
      <c r="T62" s="22" t="s">
        <v>107</v>
      </c>
    </row>
    <row r="63" spans="1:20">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c r="S63" s="21" t="s">
        <v>107</v>
      </c>
      <c r="T63" s="22" t="s">
        <v>107</v>
      </c>
    </row>
    <row r="64" spans="1:20">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c r="S64" s="21" t="s">
        <v>107</v>
      </c>
      <c r="T64" s="22" t="s">
        <v>107</v>
      </c>
    </row>
    <row r="65" spans="1:20">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c r="S65" s="21" t="s">
        <v>107</v>
      </c>
      <c r="T65" s="22" t="s">
        <v>107</v>
      </c>
    </row>
    <row r="66" spans="1:20">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c r="S66" s="21" t="s">
        <v>107</v>
      </c>
      <c r="T66" s="22" t="s">
        <v>107</v>
      </c>
    </row>
    <row r="67" spans="1:20">
      <c r="A67" s="15" t="s">
        <v>166</v>
      </c>
      <c r="B67" s="17" t="n">
        <v>3460</v>
      </c>
      <c r="C67" s="18">
        <f>(2571.0/B67*100)</f>
        <v/>
      </c>
      <c r="D67" s="19" t="n">
        <v>889</v>
      </c>
      <c r="E67" s="18" t="n">
        <v>37.05028116</v>
      </c>
      <c r="F67" s="20" t="n">
        <v>1.78341051</v>
      </c>
      <c r="G67" s="18" t="n">
        <v>40.10444241</v>
      </c>
      <c r="H67" s="20" t="n">
        <v>1.61891304</v>
      </c>
      <c r="I67" s="18" t="n">
        <v>19.47828045</v>
      </c>
      <c r="J67" s="20" t="n">
        <v>1.39724835</v>
      </c>
      <c r="K67" s="18" t="s">
        <v>105</v>
      </c>
      <c r="L67" s="20" t="s">
        <v>105</v>
      </c>
      <c r="M67" s="18" t="n">
        <v>0</v>
      </c>
      <c r="N67" s="20" t="n">
        <v>0</v>
      </c>
      <c r="O67" s="18" t="n">
        <v>0</v>
      </c>
      <c r="P67" s="20" t="n">
        <v>0</v>
      </c>
      <c r="Q67" s="18" t="n">
        <v>0</v>
      </c>
      <c r="R67" s="20" t="n">
        <v>0</v>
      </c>
      <c r="S67" s="18" t="n">
        <v>3.36699598</v>
      </c>
      <c r="T67" s="20" t="n">
        <v>0.65307156</v>
      </c>
    </row>
    <row r="68" spans="1:20">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c r="S68" s="21" t="s">
        <v>107</v>
      </c>
      <c r="T68" s="22" t="s">
        <v>107</v>
      </c>
    </row>
    <row r="69" spans="1:20">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c r="S69" s="21" t="s">
        <v>107</v>
      </c>
      <c r="T69" s="22" t="s">
        <v>107</v>
      </c>
    </row>
    <row r="70" spans="1:20">
      <c r="A70" s="15" t="s">
        <v>169</v>
      </c>
      <c r="B70" s="17" t="n">
        <v>3107</v>
      </c>
      <c r="C70" s="18">
        <f>(2321.0/B70*100)</f>
        <v/>
      </c>
      <c r="D70" s="19" t="n">
        <v>786</v>
      </c>
      <c r="E70" s="18" t="n">
        <v>24.33396147</v>
      </c>
      <c r="F70" s="20" t="n">
        <v>1.33230258</v>
      </c>
      <c r="G70" s="18" t="n">
        <v>44.3194584</v>
      </c>
      <c r="H70" s="20" t="n">
        <v>1.74497486</v>
      </c>
      <c r="I70" s="18" t="n">
        <v>30.66974867</v>
      </c>
      <c r="J70" s="20" t="n">
        <v>1.6226578</v>
      </c>
      <c r="K70" s="18" t="s">
        <v>105</v>
      </c>
      <c r="L70" s="20" t="s">
        <v>105</v>
      </c>
      <c r="M70" s="18" t="n">
        <v>0</v>
      </c>
      <c r="N70" s="20" t="n">
        <v>0</v>
      </c>
      <c r="O70" s="18" t="n">
        <v>0</v>
      </c>
      <c r="P70" s="20" t="n">
        <v>0</v>
      </c>
      <c r="Q70" s="18" t="n">
        <v>0</v>
      </c>
      <c r="R70" s="20" t="n">
        <v>0</v>
      </c>
      <c r="S70" s="18" t="n">
        <v>0.6768314600000001</v>
      </c>
      <c r="T70" s="20" t="n">
        <v>0.24305676</v>
      </c>
    </row>
    <row r="71" spans="1:20">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c r="S71" s="21" t="s">
        <v>107</v>
      </c>
      <c r="T71" s="22" t="s">
        <v>107</v>
      </c>
    </row>
    <row r="72" spans="1:20">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c r="S72" s="21" t="s">
        <v>107</v>
      </c>
      <c r="T72" s="22" t="s">
        <v>107</v>
      </c>
    </row>
    <row r="73" spans="1:20">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c r="S73" s="21" t="s">
        <v>107</v>
      </c>
      <c r="T73" s="22" t="s">
        <v>107</v>
      </c>
    </row>
    <row r="74" spans="1:20">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c r="S74" s="21" t="s">
        <v>107</v>
      </c>
      <c r="T74" s="22" t="s">
        <v>107</v>
      </c>
    </row>
    <row r="75" spans="1:20">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c r="S75" s="21" t="s">
        <v>107</v>
      </c>
      <c r="T75" s="22" t="s">
        <v>107</v>
      </c>
    </row>
    <row r="76" spans="1:20">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c r="S76" s="21" t="s">
        <v>107</v>
      </c>
      <c r="T76" s="22" t="s">
        <v>107</v>
      </c>
    </row>
    <row r="77" spans="1:20">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c r="S77" s="21" t="s">
        <v>107</v>
      </c>
      <c r="T77" s="22" t="s">
        <v>107</v>
      </c>
    </row>
    <row r="78" spans="1:20">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c r="S78" s="21" t="s">
        <v>107</v>
      </c>
      <c r="T78" s="22" t="s">
        <v>107</v>
      </c>
    </row>
    <row customHeight="1" ht="25" r="79" spans="1:20">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c r="S79" s="21" t="s">
        <v>107</v>
      </c>
      <c r="T79" s="22" t="s">
        <v>107</v>
      </c>
    </row>
    <row r="80" spans="1:20">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c r="S80" s="21" t="s">
        <v>107</v>
      </c>
      <c r="T80" s="22" t="s">
        <v>107</v>
      </c>
    </row>
    <row r="81" spans="1:20">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c r="S81" s="21" t="s">
        <v>107</v>
      </c>
      <c r="T81" s="22" t="s">
        <v>107</v>
      </c>
    </row>
    <row r="82" spans="1:20">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c r="S82" s="24" t="s">
        <v>181</v>
      </c>
      <c r="T82" s="24" t="s">
        <v>181</v>
      </c>
    </row>
    <row r="83" spans="1:20">
      <c r="A83" s="3" t="s">
        <v>182</v>
      </c>
    </row>
    <row r="84" spans="1:20">
      <c r="A84" s="25" t="s">
        <v>183</v>
      </c>
    </row>
    <row r="85" spans="1:20">
      <c r="A85" s="25" t="s">
        <v>184</v>
      </c>
    </row>
    <row customHeight="1" ht="30" r="86" spans="1:20">
      <c r="A86" s="25" t="s">
        <v>185</v>
      </c>
    </row>
    <row customHeight="1" ht="30" r="87" spans="1:20">
      <c r="A87" s="25" t="s">
        <v>181</v>
      </c>
    </row>
    <row customHeight="1" ht="30" r="88" spans="1:20">
      <c r="A88" s="25" t="s">
        <v>186</v>
      </c>
    </row>
    <row customHeight="1" ht="30" r="89" spans="1:20">
      <c r="A89" s="25" t="s">
        <v>187</v>
      </c>
    </row>
    <row customHeight="1" ht="30" r="90" spans="1:20">
      <c r="A90" s="25" t="s">
        <v>188</v>
      </c>
    </row>
    <row customHeight="1" ht="30" r="91" spans="1:20">
      <c r="A91" s="25" t="s">
        <v>189</v>
      </c>
    </row>
    <row customHeight="1" ht="30" r="92" spans="1:20">
      <c r="A92" s="25" t="s">
        <v>190</v>
      </c>
    </row>
    <row customHeight="1" ht="30" r="93" spans="1:20">
      <c r="A93" s="25" t="s">
        <v>191</v>
      </c>
    </row>
    <row customHeight="1" ht="30" r="94" spans="1:20">
      <c r="A94" s="25" t="s">
        <v>192</v>
      </c>
    </row>
    <row customHeight="1" ht="30" r="95" spans="1:20">
      <c r="A95" s="25" t="s">
        <v>193</v>
      </c>
    </row>
    <row customHeight="1" ht="30" r="96" spans="1:20">
      <c r="A96" s="25" t="s">
        <v>194</v>
      </c>
    </row>
    <row customHeight="1" ht="30" r="97" spans="1:20">
      <c r="A97" s="25" t="s">
        <v>195</v>
      </c>
    </row>
  </sheetData>
  <mergeCells count="24">
    <mergeCell ref="E4:F4"/>
    <mergeCell ref="G4:H4"/>
    <mergeCell ref="I4:J4"/>
    <mergeCell ref="K4:L4"/>
    <mergeCell ref="M4:N4"/>
    <mergeCell ref="O4:P4"/>
    <mergeCell ref="Q4:R4"/>
    <mergeCell ref="S4:T4"/>
    <mergeCell ref="A1:T1"/>
    <mergeCell ref="A2:T2"/>
    <mergeCell ref="A84:T84"/>
    <mergeCell ref="A85:T85"/>
    <mergeCell ref="A86:T86"/>
    <mergeCell ref="A87:T87"/>
    <mergeCell ref="A88:T88"/>
    <mergeCell ref="A89:T89"/>
    <mergeCell ref="A90:T90"/>
    <mergeCell ref="A91:T91"/>
    <mergeCell ref="A92:T92"/>
    <mergeCell ref="A93:T93"/>
    <mergeCell ref="A94:T94"/>
    <mergeCell ref="A95:T95"/>
    <mergeCell ref="A96:T96"/>
    <mergeCell ref="A97:T97"/>
  </mergeCells>
  <pageMargins bottom="1" footer="0.5" header="0.5" left="0.75" right="0.75" top="1"/>
</worksheet>
</file>

<file path=xl/worksheets/sheet26.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231</v>
      </c>
    </row>
    <row customHeight="1" ht="30" r="4" spans="1:18">
      <c r="A4" s="6" t="n"/>
      <c r="B4" s="7" t="s">
        <v>89</v>
      </c>
      <c r="C4" s="7" t="s">
        <v>90</v>
      </c>
      <c r="D4" s="8" t="s">
        <v>89</v>
      </c>
      <c r="E4" s="9" t="s">
        <v>199</v>
      </c>
      <c r="F4" s="10" t="n"/>
      <c r="G4" s="9" t="s">
        <v>200</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7163</v>
      </c>
      <c r="C7" s="18">
        <f>(276.0/B7*100)</f>
        <v/>
      </c>
      <c r="D7" s="19" t="n">
        <v>6887</v>
      </c>
      <c r="E7" s="18" t="n">
        <v>12.79361999</v>
      </c>
      <c r="F7" s="20" t="n">
        <v>0.49142989</v>
      </c>
      <c r="G7" s="18" t="n">
        <v>84.69855358</v>
      </c>
      <c r="H7" s="20" t="n">
        <v>0.53881513</v>
      </c>
      <c r="I7" s="18" t="s">
        <v>105</v>
      </c>
      <c r="J7" s="20" t="s">
        <v>105</v>
      </c>
      <c r="K7" s="18" t="n">
        <v>0.25487241</v>
      </c>
      <c r="L7" s="20" t="n">
        <v>0.0704003</v>
      </c>
      <c r="M7" s="18" t="n">
        <v>0.01104936</v>
      </c>
      <c r="N7" s="20" t="n">
        <v>0.00288812</v>
      </c>
      <c r="O7" s="18" t="n">
        <v>0</v>
      </c>
      <c r="P7" s="20" t="n">
        <v>0</v>
      </c>
      <c r="Q7" s="18" t="n">
        <v>2.24190466</v>
      </c>
      <c r="R7" s="20" t="n">
        <v>0.2618393</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2795</v>
      </c>
      <c r="C9" s="18">
        <f>(2143.0/B9*100)</f>
        <v/>
      </c>
      <c r="D9" s="19" t="n">
        <v>652</v>
      </c>
      <c r="E9" s="18" t="n">
        <v>3.27411682</v>
      </c>
      <c r="F9" s="20" t="n">
        <v>0.79932178</v>
      </c>
      <c r="G9" s="18" t="n">
        <v>95.64446148</v>
      </c>
      <c r="H9" s="20" t="n">
        <v>0.94872376</v>
      </c>
      <c r="I9" s="18" t="s">
        <v>105</v>
      </c>
      <c r="J9" s="20" t="s">
        <v>105</v>
      </c>
      <c r="K9" s="18" t="n">
        <v>0</v>
      </c>
      <c r="L9" s="20" t="n">
        <v>0</v>
      </c>
      <c r="M9" s="18" t="n">
        <v>0.78445568</v>
      </c>
      <c r="N9" s="20" t="n">
        <v>0.30261052</v>
      </c>
      <c r="O9" s="18" t="n">
        <v>0</v>
      </c>
      <c r="P9" s="20" t="n">
        <v>0</v>
      </c>
      <c r="Q9" s="18" t="n">
        <v>0.29696601</v>
      </c>
      <c r="R9" s="20" t="n">
        <v>0.24241033</v>
      </c>
    </row>
    <row r="10" spans="1:18">
      <c r="A10" s="15" t="s">
        <v>109</v>
      </c>
      <c r="B10" s="17" t="n">
        <v>6602</v>
      </c>
      <c r="C10" s="18">
        <f>(5008.0/B10*100)</f>
        <v/>
      </c>
      <c r="D10" s="19" t="n">
        <v>1594</v>
      </c>
      <c r="E10" s="18" t="n">
        <v>10.87639358</v>
      </c>
      <c r="F10" s="20" t="n">
        <v>1.22951228</v>
      </c>
      <c r="G10" s="18" t="n">
        <v>87.99394715</v>
      </c>
      <c r="H10" s="20" t="n">
        <v>1.32458666</v>
      </c>
      <c r="I10" s="18" t="s">
        <v>105</v>
      </c>
      <c r="J10" s="20" t="s">
        <v>105</v>
      </c>
      <c r="K10" s="18" t="n">
        <v>0.19827031</v>
      </c>
      <c r="L10" s="20" t="n">
        <v>0.19825219</v>
      </c>
      <c r="M10" s="18" t="n">
        <v>0.21918683</v>
      </c>
      <c r="N10" s="20" t="n">
        <v>0.1859154</v>
      </c>
      <c r="O10" s="18" t="n">
        <v>0</v>
      </c>
      <c r="P10" s="20" t="n">
        <v>0</v>
      </c>
      <c r="Q10" s="18" t="n">
        <v>0.71220212</v>
      </c>
      <c r="R10" s="20" t="n">
        <v>0.23011718</v>
      </c>
    </row>
    <row r="11" spans="1:18">
      <c r="A11" s="15" t="s">
        <v>110</v>
      </c>
      <c r="B11" s="17" t="n">
        <v>3500</v>
      </c>
      <c r="C11" s="18">
        <f>(2606.0/B11*100)</f>
        <v/>
      </c>
      <c r="D11" s="19" t="n">
        <v>894</v>
      </c>
      <c r="E11" s="18" t="n">
        <v>47.74318072</v>
      </c>
      <c r="F11" s="20" t="n">
        <v>2.22974776</v>
      </c>
      <c r="G11" s="18" t="n">
        <v>45.85299451</v>
      </c>
      <c r="H11" s="20" t="n">
        <v>2.21286648</v>
      </c>
      <c r="I11" s="18" t="s">
        <v>105</v>
      </c>
      <c r="J11" s="20" t="s">
        <v>105</v>
      </c>
      <c r="K11" s="18" t="n">
        <v>0.30586347</v>
      </c>
      <c r="L11" s="20" t="n">
        <v>0.23467843</v>
      </c>
      <c r="M11" s="18" t="n">
        <v>0.04872083</v>
      </c>
      <c r="N11" s="20" t="n">
        <v>0.05344006</v>
      </c>
      <c r="O11" s="18" t="n">
        <v>0</v>
      </c>
      <c r="P11" s="20" t="n">
        <v>0</v>
      </c>
      <c r="Q11" s="18" t="n">
        <v>6.04924047</v>
      </c>
      <c r="R11" s="20" t="n">
        <v>0.8974733</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5792</v>
      </c>
      <c r="C23" s="18">
        <f>(4448.0/B23*100)</f>
        <v/>
      </c>
      <c r="D23" s="19" t="n">
        <v>1344</v>
      </c>
      <c r="E23" s="18" t="n">
        <v>28.52780485</v>
      </c>
      <c r="F23" s="20" t="n">
        <v>1.93479361</v>
      </c>
      <c r="G23" s="18" t="n">
        <v>68.55419199000001</v>
      </c>
      <c r="H23" s="20" t="n">
        <v>2.0599772</v>
      </c>
      <c r="I23" s="18" t="s">
        <v>105</v>
      </c>
      <c r="J23" s="20" t="s">
        <v>105</v>
      </c>
      <c r="K23" s="18" t="n">
        <v>0.23338704</v>
      </c>
      <c r="L23" s="20" t="n">
        <v>0.16639303</v>
      </c>
      <c r="M23" s="18" t="n">
        <v>0</v>
      </c>
      <c r="N23" s="20" t="n">
        <v>0</v>
      </c>
      <c r="O23" s="18" t="n">
        <v>0</v>
      </c>
      <c r="P23" s="20" t="n">
        <v>0</v>
      </c>
      <c r="Q23" s="18" t="n">
        <v>2.68461611</v>
      </c>
      <c r="R23" s="20" t="n">
        <v>0.72235456</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2700</v>
      </c>
      <c r="C29" s="18">
        <f>(2020.0/B29*100)</f>
        <v/>
      </c>
      <c r="D29" s="19" t="n">
        <v>680</v>
      </c>
      <c r="E29" s="18" t="n">
        <v>3.43802457</v>
      </c>
      <c r="F29" s="20" t="n">
        <v>0.76581902</v>
      </c>
      <c r="G29" s="18" t="n">
        <v>94.62494267</v>
      </c>
      <c r="H29" s="20" t="n">
        <v>0.95485187</v>
      </c>
      <c r="I29" s="18" t="s">
        <v>105</v>
      </c>
      <c r="J29" s="20" t="s">
        <v>105</v>
      </c>
      <c r="K29" s="18" t="n">
        <v>0</v>
      </c>
      <c r="L29" s="20" t="n">
        <v>0</v>
      </c>
      <c r="M29" s="18" t="n">
        <v>0</v>
      </c>
      <c r="N29" s="20" t="n">
        <v>0</v>
      </c>
      <c r="O29" s="18" t="n">
        <v>0</v>
      </c>
      <c r="P29" s="20" t="n">
        <v>0</v>
      </c>
      <c r="Q29" s="18" t="n">
        <v>1.93703276</v>
      </c>
      <c r="R29" s="20" t="n">
        <v>0.60916849</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2209</v>
      </c>
      <c r="C32" s="18">
        <f>(1357.0/B32*100)</f>
        <v/>
      </c>
      <c r="D32" s="19" t="n">
        <v>852</v>
      </c>
      <c r="E32" s="18" t="n">
        <v>24.9939908</v>
      </c>
      <c r="F32" s="20" t="n">
        <v>1.51563326</v>
      </c>
      <c r="G32" s="18" t="n">
        <v>70.11085495</v>
      </c>
      <c r="H32" s="20" t="n">
        <v>1.66277666</v>
      </c>
      <c r="I32" s="18" t="s">
        <v>105</v>
      </c>
      <c r="J32" s="20" t="s">
        <v>105</v>
      </c>
      <c r="K32" s="18" t="n">
        <v>0.24495866</v>
      </c>
      <c r="L32" s="20" t="n">
        <v>0.1811894</v>
      </c>
      <c r="M32" s="18" t="n">
        <v>0.49751343</v>
      </c>
      <c r="N32" s="20" t="n">
        <v>0.52976263</v>
      </c>
      <c r="O32" s="18" t="n">
        <v>0</v>
      </c>
      <c r="P32" s="20" t="n">
        <v>0</v>
      </c>
      <c r="Q32" s="18" t="n">
        <v>4.15268216</v>
      </c>
      <c r="R32" s="20" t="n">
        <v>0.71088267</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3035</v>
      </c>
      <c r="C34" s="18">
        <f>(2299.0/B34*100)</f>
        <v/>
      </c>
      <c r="D34" s="19" t="n">
        <v>736</v>
      </c>
      <c r="E34" s="18" t="n">
        <v>14.5240699</v>
      </c>
      <c r="F34" s="20" t="n">
        <v>1.51641615</v>
      </c>
      <c r="G34" s="18" t="n">
        <v>79.54011746</v>
      </c>
      <c r="H34" s="20" t="n">
        <v>1.82871611</v>
      </c>
      <c r="I34" s="18" t="s">
        <v>105</v>
      </c>
      <c r="J34" s="20" t="s">
        <v>105</v>
      </c>
      <c r="K34" s="18" t="n">
        <v>0.26984488</v>
      </c>
      <c r="L34" s="20" t="n">
        <v>0.19931727</v>
      </c>
      <c r="M34" s="18" t="n">
        <v>0</v>
      </c>
      <c r="N34" s="20" t="n">
        <v>0</v>
      </c>
      <c r="O34" s="18" t="n">
        <v>0</v>
      </c>
      <c r="P34" s="20" t="n">
        <v>0</v>
      </c>
      <c r="Q34" s="18" t="n">
        <v>5.66596776</v>
      </c>
      <c r="R34" s="20" t="n">
        <v>1.05998252</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3404</v>
      </c>
      <c r="C36" s="18">
        <f>(2531.0/B36*100)</f>
        <v/>
      </c>
      <c r="D36" s="19" t="n">
        <v>873</v>
      </c>
      <c r="E36" s="18" t="n">
        <v>12.76339766</v>
      </c>
      <c r="F36" s="20" t="n">
        <v>1.28084405</v>
      </c>
      <c r="G36" s="18" t="n">
        <v>83.912907</v>
      </c>
      <c r="H36" s="20" t="n">
        <v>1.44110509</v>
      </c>
      <c r="I36" s="18" t="s">
        <v>105</v>
      </c>
      <c r="J36" s="20" t="s">
        <v>105</v>
      </c>
      <c r="K36" s="18" t="n">
        <v>0.23823118</v>
      </c>
      <c r="L36" s="20" t="n">
        <v>0.16911571</v>
      </c>
      <c r="M36" s="18" t="n">
        <v>0</v>
      </c>
      <c r="N36" s="20" t="n">
        <v>0</v>
      </c>
      <c r="O36" s="18" t="n">
        <v>0</v>
      </c>
      <c r="P36" s="20" t="n">
        <v>0</v>
      </c>
      <c r="Q36" s="18" t="n">
        <v>3.08546415</v>
      </c>
      <c r="R36" s="20" t="n">
        <v>0.67663501</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2854</v>
      </c>
      <c r="C41" s="18">
        <f>(2128.0/B41*100)</f>
        <v/>
      </c>
      <c r="D41" s="19" t="n">
        <v>726</v>
      </c>
      <c r="E41" s="18" t="n">
        <v>16.03197414</v>
      </c>
      <c r="F41" s="20" t="n">
        <v>1.30556491</v>
      </c>
      <c r="G41" s="18" t="n">
        <v>83.27817514</v>
      </c>
      <c r="H41" s="20" t="n">
        <v>1.25567831</v>
      </c>
      <c r="I41" s="18" t="s">
        <v>105</v>
      </c>
      <c r="J41" s="20" t="s">
        <v>105</v>
      </c>
      <c r="K41" s="18" t="n">
        <v>0</v>
      </c>
      <c r="L41" s="20" t="n">
        <v>0</v>
      </c>
      <c r="M41" s="18" t="n">
        <v>0</v>
      </c>
      <c r="N41" s="20" t="n">
        <v>0</v>
      </c>
      <c r="O41" s="18" t="n">
        <v>0</v>
      </c>
      <c r="P41" s="20" t="n">
        <v>0</v>
      </c>
      <c r="Q41" s="18" t="n">
        <v>0.68985072</v>
      </c>
      <c r="R41" s="20" t="n">
        <v>0.32007864</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12073</v>
      </c>
      <c r="C46" s="18">
        <f>(9341.0/B46*100)</f>
        <v/>
      </c>
      <c r="D46" s="19" t="n">
        <v>2732</v>
      </c>
      <c r="E46" s="18" t="n">
        <v>14.3545518</v>
      </c>
      <c r="F46" s="20" t="n">
        <v>0.82166607</v>
      </c>
      <c r="G46" s="18" t="n">
        <v>65.18044792000001</v>
      </c>
      <c r="H46" s="20" t="n">
        <v>1.32443267</v>
      </c>
      <c r="I46" s="18" t="s">
        <v>105</v>
      </c>
      <c r="J46" s="20" t="s">
        <v>105</v>
      </c>
      <c r="K46" s="18" t="n">
        <v>1.19694772</v>
      </c>
      <c r="L46" s="20" t="n">
        <v>0.32448988</v>
      </c>
      <c r="M46" s="18" t="n">
        <v>0</v>
      </c>
      <c r="N46" s="20" t="n">
        <v>0</v>
      </c>
      <c r="O46" s="18" t="n">
        <v>0</v>
      </c>
      <c r="P46" s="20" t="n">
        <v>0</v>
      </c>
      <c r="Q46" s="18" t="n">
        <v>19.26805255</v>
      </c>
      <c r="R46" s="20" t="n">
        <v>1.07597669</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4682</v>
      </c>
      <c r="C48" s="18">
        <f>(3490.0/B48*100)</f>
        <v/>
      </c>
      <c r="D48" s="19" t="n">
        <v>1192</v>
      </c>
      <c r="E48" s="18" t="n">
        <v>30.49047606</v>
      </c>
      <c r="F48" s="20" t="n">
        <v>1.83366259</v>
      </c>
      <c r="G48" s="18" t="n">
        <v>64.95476547</v>
      </c>
      <c r="H48" s="20" t="n">
        <v>2.22942006</v>
      </c>
      <c r="I48" s="18" t="s">
        <v>105</v>
      </c>
      <c r="J48" s="20" t="s">
        <v>105</v>
      </c>
      <c r="K48" s="18" t="n">
        <v>0</v>
      </c>
      <c r="L48" s="20" t="n">
        <v>0</v>
      </c>
      <c r="M48" s="18" t="n">
        <v>0</v>
      </c>
      <c r="N48" s="20" t="n">
        <v>0</v>
      </c>
      <c r="O48" s="18" t="n">
        <v>0</v>
      </c>
      <c r="P48" s="20" t="n">
        <v>0</v>
      </c>
      <c r="Q48" s="18" t="n">
        <v>4.55475847</v>
      </c>
      <c r="R48" s="20" t="n">
        <v>1.00695298</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3201</v>
      </c>
      <c r="C61" s="18">
        <f>(2355.0/B61*100)</f>
        <v/>
      </c>
      <c r="D61" s="19" t="n">
        <v>846</v>
      </c>
      <c r="E61" s="18" t="n">
        <v>11.51708125</v>
      </c>
      <c r="F61" s="20" t="n">
        <v>1.1396587</v>
      </c>
      <c r="G61" s="18" t="n">
        <v>84.10892276</v>
      </c>
      <c r="H61" s="20" t="n">
        <v>1.46489178</v>
      </c>
      <c r="I61" s="18" t="s">
        <v>105</v>
      </c>
      <c r="J61" s="20" t="s">
        <v>105</v>
      </c>
      <c r="K61" s="18" t="n">
        <v>0.15158459</v>
      </c>
      <c r="L61" s="20" t="n">
        <v>0.15768637</v>
      </c>
      <c r="M61" s="18" t="n">
        <v>0</v>
      </c>
      <c r="N61" s="20" t="n">
        <v>0</v>
      </c>
      <c r="O61" s="18" t="n">
        <v>0</v>
      </c>
      <c r="P61" s="20" t="n">
        <v>0</v>
      </c>
      <c r="Q61" s="18" t="n">
        <v>4.2224114</v>
      </c>
      <c r="R61" s="20" t="n">
        <v>0.82208134</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3460</v>
      </c>
      <c r="C67" s="18">
        <f>(2573.0/B67*100)</f>
        <v/>
      </c>
      <c r="D67" s="19" t="n">
        <v>887</v>
      </c>
      <c r="E67" s="18" t="n">
        <v>40.67535118</v>
      </c>
      <c r="F67" s="20" t="n">
        <v>1.77899119</v>
      </c>
      <c r="G67" s="18" t="n">
        <v>55.47727293</v>
      </c>
      <c r="H67" s="20" t="n">
        <v>1.76607998</v>
      </c>
      <c r="I67" s="18" t="s">
        <v>105</v>
      </c>
      <c r="J67" s="20" t="s">
        <v>105</v>
      </c>
      <c r="K67" s="18" t="n">
        <v>0</v>
      </c>
      <c r="L67" s="20" t="n">
        <v>0</v>
      </c>
      <c r="M67" s="18" t="n">
        <v>0</v>
      </c>
      <c r="N67" s="20" t="n">
        <v>0</v>
      </c>
      <c r="O67" s="18" t="n">
        <v>0</v>
      </c>
      <c r="P67" s="20" t="n">
        <v>0</v>
      </c>
      <c r="Q67" s="18" t="n">
        <v>3.84737589</v>
      </c>
      <c r="R67" s="20" t="n">
        <v>0.7635917</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3107</v>
      </c>
      <c r="C70" s="18">
        <f>(2324.0/B70*100)</f>
        <v/>
      </c>
      <c r="D70" s="19" t="n">
        <v>783</v>
      </c>
      <c r="E70" s="18" t="n">
        <v>11.90629354</v>
      </c>
      <c r="F70" s="20" t="n">
        <v>1.31631844</v>
      </c>
      <c r="G70" s="18" t="n">
        <v>86.02593314000001</v>
      </c>
      <c r="H70" s="20" t="n">
        <v>1.36048433</v>
      </c>
      <c r="I70" s="18" t="s">
        <v>105</v>
      </c>
      <c r="J70" s="20" t="s">
        <v>105</v>
      </c>
      <c r="K70" s="18" t="n">
        <v>0</v>
      </c>
      <c r="L70" s="20" t="n">
        <v>0</v>
      </c>
      <c r="M70" s="18" t="n">
        <v>0.15101548</v>
      </c>
      <c r="N70" s="20" t="n">
        <v>0.15136774</v>
      </c>
      <c r="O70" s="18" t="n">
        <v>0</v>
      </c>
      <c r="P70" s="20" t="n">
        <v>0</v>
      </c>
      <c r="Q70" s="18" t="n">
        <v>1.91675783</v>
      </c>
      <c r="R70" s="20" t="n">
        <v>0.48838029</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27.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232</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7163</v>
      </c>
      <c r="C7" s="18">
        <f>(309.0/B7*100)</f>
        <v/>
      </c>
      <c r="D7" s="19" t="n">
        <v>6854</v>
      </c>
      <c r="E7" s="18" t="n">
        <v>50.82239402</v>
      </c>
      <c r="F7" s="20" t="n">
        <v>0.67500335</v>
      </c>
      <c r="G7" s="18" t="n">
        <v>47.26962703</v>
      </c>
      <c r="H7" s="20" t="n">
        <v>0.70112487</v>
      </c>
      <c r="I7" s="18" t="s">
        <v>105</v>
      </c>
      <c r="J7" s="20" t="s">
        <v>105</v>
      </c>
      <c r="K7" s="18" t="n">
        <v>0.25564376</v>
      </c>
      <c r="L7" s="20" t="n">
        <v>0.07060217000000001</v>
      </c>
      <c r="M7" s="18" t="n">
        <v>0</v>
      </c>
      <c r="N7" s="20" t="n">
        <v>0</v>
      </c>
      <c r="O7" s="18" t="n">
        <v>0</v>
      </c>
      <c r="P7" s="20" t="n">
        <v>0</v>
      </c>
      <c r="Q7" s="18" t="n">
        <v>1.65233519</v>
      </c>
      <c r="R7" s="20" t="n">
        <v>0.19271741</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2795</v>
      </c>
      <c r="C9" s="18">
        <f>(2143.0/B9*100)</f>
        <v/>
      </c>
      <c r="D9" s="19" t="n">
        <v>652</v>
      </c>
      <c r="E9" s="18" t="n">
        <v>47.63832083</v>
      </c>
      <c r="F9" s="20" t="n">
        <v>1.80739917</v>
      </c>
      <c r="G9" s="18" t="n">
        <v>50.14883068</v>
      </c>
      <c r="H9" s="20" t="n">
        <v>1.85041498</v>
      </c>
      <c r="I9" s="18" t="s">
        <v>105</v>
      </c>
      <c r="J9" s="20" t="s">
        <v>105</v>
      </c>
      <c r="K9" s="18" t="n">
        <v>0</v>
      </c>
      <c r="L9" s="20" t="n">
        <v>0</v>
      </c>
      <c r="M9" s="18" t="n">
        <v>0</v>
      </c>
      <c r="N9" s="20" t="n">
        <v>0</v>
      </c>
      <c r="O9" s="18" t="n">
        <v>0</v>
      </c>
      <c r="P9" s="20" t="n">
        <v>0</v>
      </c>
      <c r="Q9" s="18" t="n">
        <v>2.21284849</v>
      </c>
      <c r="R9" s="20" t="n">
        <v>0.50735564</v>
      </c>
    </row>
    <row r="10" spans="1:18">
      <c r="A10" s="15" t="s">
        <v>109</v>
      </c>
      <c r="B10" s="17" t="n">
        <v>6602</v>
      </c>
      <c r="C10" s="18">
        <f>(5012.0/B10*100)</f>
        <v/>
      </c>
      <c r="D10" s="19" t="n">
        <v>1590</v>
      </c>
      <c r="E10" s="18" t="n">
        <v>47.02997885</v>
      </c>
      <c r="F10" s="20" t="n">
        <v>1.83187168</v>
      </c>
      <c r="G10" s="18" t="n">
        <v>52.26530194</v>
      </c>
      <c r="H10" s="20" t="n">
        <v>1.78470113</v>
      </c>
      <c r="I10" s="18" t="s">
        <v>105</v>
      </c>
      <c r="J10" s="20" t="s">
        <v>105</v>
      </c>
      <c r="K10" s="18" t="n">
        <v>0.19869094</v>
      </c>
      <c r="L10" s="20" t="n">
        <v>0.19867181</v>
      </c>
      <c r="M10" s="18" t="n">
        <v>0</v>
      </c>
      <c r="N10" s="20" t="n">
        <v>0</v>
      </c>
      <c r="O10" s="18" t="n">
        <v>0</v>
      </c>
      <c r="P10" s="20" t="n">
        <v>0</v>
      </c>
      <c r="Q10" s="18" t="n">
        <v>0.50602826</v>
      </c>
      <c r="R10" s="20" t="n">
        <v>0.20110889</v>
      </c>
    </row>
    <row r="11" spans="1:18">
      <c r="A11" s="15" t="s">
        <v>110</v>
      </c>
      <c r="B11" s="17" t="n">
        <v>3500</v>
      </c>
      <c r="C11" s="18">
        <f>(2608.0/B11*100)</f>
        <v/>
      </c>
      <c r="D11" s="19" t="n">
        <v>892</v>
      </c>
      <c r="E11" s="18" t="n">
        <v>66.81985410999999</v>
      </c>
      <c r="F11" s="20" t="n">
        <v>1.85856327</v>
      </c>
      <c r="G11" s="18" t="n">
        <v>30.14365619</v>
      </c>
      <c r="H11" s="20" t="n">
        <v>1.88703832</v>
      </c>
      <c r="I11" s="18" t="s">
        <v>105</v>
      </c>
      <c r="J11" s="20" t="s">
        <v>105</v>
      </c>
      <c r="K11" s="18" t="n">
        <v>0.30644543</v>
      </c>
      <c r="L11" s="20" t="n">
        <v>0.2351279</v>
      </c>
      <c r="M11" s="18" t="n">
        <v>0</v>
      </c>
      <c r="N11" s="20" t="n">
        <v>0</v>
      </c>
      <c r="O11" s="18" t="n">
        <v>0</v>
      </c>
      <c r="P11" s="20" t="n">
        <v>0</v>
      </c>
      <c r="Q11" s="18" t="n">
        <v>2.73004427</v>
      </c>
      <c r="R11" s="20" t="n">
        <v>0.63687512</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5792</v>
      </c>
      <c r="C23" s="18">
        <f>(4451.0/B23*100)</f>
        <v/>
      </c>
      <c r="D23" s="19" t="n">
        <v>1341</v>
      </c>
      <c r="E23" s="18" t="n">
        <v>50.3407933</v>
      </c>
      <c r="F23" s="20" t="n">
        <v>2.2867182</v>
      </c>
      <c r="G23" s="18" t="n">
        <v>47.88422851</v>
      </c>
      <c r="H23" s="20" t="n">
        <v>2.19967034</v>
      </c>
      <c r="I23" s="18" t="s">
        <v>105</v>
      </c>
      <c r="J23" s="20" t="s">
        <v>105</v>
      </c>
      <c r="K23" s="18" t="n">
        <v>0.23457258</v>
      </c>
      <c r="L23" s="20" t="n">
        <v>0.16721328</v>
      </c>
      <c r="M23" s="18" t="n">
        <v>0</v>
      </c>
      <c r="N23" s="20" t="n">
        <v>0</v>
      </c>
      <c r="O23" s="18" t="n">
        <v>0</v>
      </c>
      <c r="P23" s="20" t="n">
        <v>0</v>
      </c>
      <c r="Q23" s="18" t="n">
        <v>1.54040561</v>
      </c>
      <c r="R23" s="20" t="n">
        <v>0.52364852</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2700</v>
      </c>
      <c r="C29" s="18">
        <f>(2020.0/B29*100)</f>
        <v/>
      </c>
      <c r="D29" s="19" t="n">
        <v>680</v>
      </c>
      <c r="E29" s="18" t="n">
        <v>56.49102702</v>
      </c>
      <c r="F29" s="20" t="n">
        <v>2.02075631</v>
      </c>
      <c r="G29" s="18" t="n">
        <v>43.19229325</v>
      </c>
      <c r="H29" s="20" t="n">
        <v>2.04839924</v>
      </c>
      <c r="I29" s="18" t="s">
        <v>105</v>
      </c>
      <c r="J29" s="20" t="s">
        <v>105</v>
      </c>
      <c r="K29" s="18" t="n">
        <v>0</v>
      </c>
      <c r="L29" s="20" t="n">
        <v>0</v>
      </c>
      <c r="M29" s="18" t="n">
        <v>0</v>
      </c>
      <c r="N29" s="20" t="n">
        <v>0</v>
      </c>
      <c r="O29" s="18" t="n">
        <v>0</v>
      </c>
      <c r="P29" s="20" t="n">
        <v>0</v>
      </c>
      <c r="Q29" s="18" t="n">
        <v>0.31667973</v>
      </c>
      <c r="R29" s="20" t="n">
        <v>0.25522706</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2209</v>
      </c>
      <c r="C32" s="18">
        <f>(1356.0/B32*100)</f>
        <v/>
      </c>
      <c r="D32" s="19" t="n">
        <v>853</v>
      </c>
      <c r="E32" s="18" t="n">
        <v>52.27030383</v>
      </c>
      <c r="F32" s="20" t="n">
        <v>2.02026269</v>
      </c>
      <c r="G32" s="18" t="n">
        <v>47.28467586</v>
      </c>
      <c r="H32" s="20" t="n">
        <v>2.00696831</v>
      </c>
      <c r="I32" s="18" t="s">
        <v>105</v>
      </c>
      <c r="J32" s="20" t="s">
        <v>105</v>
      </c>
      <c r="K32" s="18" t="n">
        <v>0.24469358</v>
      </c>
      <c r="L32" s="20" t="n">
        <v>0.18098644</v>
      </c>
      <c r="M32" s="18" t="n">
        <v>0</v>
      </c>
      <c r="N32" s="20" t="n">
        <v>0</v>
      </c>
      <c r="O32" s="18" t="n">
        <v>0</v>
      </c>
      <c r="P32" s="20" t="n">
        <v>0</v>
      </c>
      <c r="Q32" s="18" t="n">
        <v>0.20032672</v>
      </c>
      <c r="R32" s="20" t="n">
        <v>0.14296905</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3035</v>
      </c>
      <c r="C34" s="18">
        <f>(2299.0/B34*100)</f>
        <v/>
      </c>
      <c r="D34" s="19" t="n">
        <v>736</v>
      </c>
      <c r="E34" s="18" t="n">
        <v>54.75541704</v>
      </c>
      <c r="F34" s="20" t="n">
        <v>1.85731789</v>
      </c>
      <c r="G34" s="18" t="n">
        <v>43.73836585</v>
      </c>
      <c r="H34" s="20" t="n">
        <v>1.93035518</v>
      </c>
      <c r="I34" s="18" t="s">
        <v>105</v>
      </c>
      <c r="J34" s="20" t="s">
        <v>105</v>
      </c>
      <c r="K34" s="18" t="n">
        <v>0.26993819</v>
      </c>
      <c r="L34" s="20" t="n">
        <v>0.19938946</v>
      </c>
      <c r="M34" s="18" t="n">
        <v>0</v>
      </c>
      <c r="N34" s="20" t="n">
        <v>0</v>
      </c>
      <c r="O34" s="18" t="n">
        <v>0</v>
      </c>
      <c r="P34" s="20" t="n">
        <v>0</v>
      </c>
      <c r="Q34" s="18" t="n">
        <v>1.23627892</v>
      </c>
      <c r="R34" s="20" t="n">
        <v>0.48193128</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3404</v>
      </c>
      <c r="C36" s="18">
        <f>(2530.0/B36*100)</f>
        <v/>
      </c>
      <c r="D36" s="19" t="n">
        <v>874</v>
      </c>
      <c r="E36" s="18" t="n">
        <v>56.48651525</v>
      </c>
      <c r="F36" s="20" t="n">
        <v>1.9394974</v>
      </c>
      <c r="G36" s="18" t="n">
        <v>41.5347488</v>
      </c>
      <c r="H36" s="20" t="n">
        <v>2.01004073</v>
      </c>
      <c r="I36" s="18" t="s">
        <v>105</v>
      </c>
      <c r="J36" s="20" t="s">
        <v>105</v>
      </c>
      <c r="K36" s="18" t="n">
        <v>0.23797003</v>
      </c>
      <c r="L36" s="20" t="n">
        <v>0.16892988</v>
      </c>
      <c r="M36" s="18" t="n">
        <v>0</v>
      </c>
      <c r="N36" s="20" t="n">
        <v>0</v>
      </c>
      <c r="O36" s="18" t="n">
        <v>0</v>
      </c>
      <c r="P36" s="20" t="n">
        <v>0</v>
      </c>
      <c r="Q36" s="18" t="n">
        <v>1.74076592</v>
      </c>
      <c r="R36" s="20" t="n">
        <v>0.47735243</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2854</v>
      </c>
      <c r="C41" s="18">
        <f>(2127.0/B41*100)</f>
        <v/>
      </c>
      <c r="D41" s="19" t="n">
        <v>727</v>
      </c>
      <c r="E41" s="18" t="n">
        <v>59.48592165</v>
      </c>
      <c r="F41" s="20" t="n">
        <v>1.76984595</v>
      </c>
      <c r="G41" s="18" t="n">
        <v>40.51407835</v>
      </c>
      <c r="H41" s="20" t="n">
        <v>1.76984595</v>
      </c>
      <c r="I41" s="18" t="s">
        <v>105</v>
      </c>
      <c r="J41" s="20" t="s">
        <v>105</v>
      </c>
      <c r="K41" s="18" t="n">
        <v>0</v>
      </c>
      <c r="L41" s="20" t="n">
        <v>0</v>
      </c>
      <c r="M41" s="18" t="n">
        <v>0</v>
      </c>
      <c r="N41" s="20" t="n">
        <v>0</v>
      </c>
      <c r="O41" s="18" t="n">
        <v>0</v>
      </c>
      <c r="P41" s="20" t="n">
        <v>0</v>
      </c>
      <c r="Q41" s="18" t="n">
        <v>0</v>
      </c>
      <c r="R41" s="20" t="n">
        <v>0</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12073</v>
      </c>
      <c r="C46" s="18">
        <f>(9367.0/B46*100)</f>
        <v/>
      </c>
      <c r="D46" s="19" t="n">
        <v>2706</v>
      </c>
      <c r="E46" s="18" t="n">
        <v>61.15829695</v>
      </c>
      <c r="F46" s="20" t="n">
        <v>1.36012587</v>
      </c>
      <c r="G46" s="18" t="n">
        <v>32.12644601</v>
      </c>
      <c r="H46" s="20" t="n">
        <v>1.31418018</v>
      </c>
      <c r="I46" s="18" t="s">
        <v>105</v>
      </c>
      <c r="J46" s="20" t="s">
        <v>105</v>
      </c>
      <c r="K46" s="18" t="n">
        <v>1.20479727</v>
      </c>
      <c r="L46" s="20" t="n">
        <v>0.32645387</v>
      </c>
      <c r="M46" s="18" t="n">
        <v>0</v>
      </c>
      <c r="N46" s="20" t="n">
        <v>0</v>
      </c>
      <c r="O46" s="18" t="n">
        <v>0</v>
      </c>
      <c r="P46" s="20" t="n">
        <v>0</v>
      </c>
      <c r="Q46" s="18" t="n">
        <v>5.51045977</v>
      </c>
      <c r="R46" s="20" t="n">
        <v>0.59106741</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4682</v>
      </c>
      <c r="C48" s="18">
        <f>(3491.0/B48*100)</f>
        <v/>
      </c>
      <c r="D48" s="19" t="n">
        <v>1191</v>
      </c>
      <c r="E48" s="18" t="n">
        <v>39.91418841</v>
      </c>
      <c r="F48" s="20" t="n">
        <v>1.80238725</v>
      </c>
      <c r="G48" s="18" t="n">
        <v>59.93825888</v>
      </c>
      <c r="H48" s="20" t="n">
        <v>1.80879716</v>
      </c>
      <c r="I48" s="18" t="s">
        <v>105</v>
      </c>
      <c r="J48" s="20" t="s">
        <v>105</v>
      </c>
      <c r="K48" s="18" t="n">
        <v>0</v>
      </c>
      <c r="L48" s="20" t="n">
        <v>0</v>
      </c>
      <c r="M48" s="18" t="n">
        <v>0</v>
      </c>
      <c r="N48" s="20" t="n">
        <v>0</v>
      </c>
      <c r="O48" s="18" t="n">
        <v>0</v>
      </c>
      <c r="P48" s="20" t="n">
        <v>0</v>
      </c>
      <c r="Q48" s="18" t="n">
        <v>0.14755271</v>
      </c>
      <c r="R48" s="20" t="n">
        <v>0.0866357</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3201</v>
      </c>
      <c r="C61" s="18">
        <f>(2357.0/B61*100)</f>
        <v/>
      </c>
      <c r="D61" s="19" t="n">
        <v>844</v>
      </c>
      <c r="E61" s="18" t="n">
        <v>55.13339224</v>
      </c>
      <c r="F61" s="20" t="n">
        <v>1.97423563</v>
      </c>
      <c r="G61" s="18" t="n">
        <v>42.67459517</v>
      </c>
      <c r="H61" s="20" t="n">
        <v>2.02591636</v>
      </c>
      <c r="I61" s="18" t="s">
        <v>105</v>
      </c>
      <c r="J61" s="20" t="s">
        <v>105</v>
      </c>
      <c r="K61" s="18" t="n">
        <v>0.15191292</v>
      </c>
      <c r="L61" s="20" t="n">
        <v>0.15803265</v>
      </c>
      <c r="M61" s="18" t="n">
        <v>0</v>
      </c>
      <c r="N61" s="20" t="n">
        <v>0</v>
      </c>
      <c r="O61" s="18" t="n">
        <v>0</v>
      </c>
      <c r="P61" s="20" t="n">
        <v>0</v>
      </c>
      <c r="Q61" s="18" t="n">
        <v>2.04009967</v>
      </c>
      <c r="R61" s="20" t="n">
        <v>0.52691077</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3460</v>
      </c>
      <c r="C67" s="18">
        <f>(2581.0/B67*100)</f>
        <v/>
      </c>
      <c r="D67" s="19" t="n">
        <v>879</v>
      </c>
      <c r="E67" s="18" t="n">
        <v>67.10284287</v>
      </c>
      <c r="F67" s="20" t="n">
        <v>1.34114913</v>
      </c>
      <c r="G67" s="18" t="n">
        <v>32.15036022</v>
      </c>
      <c r="H67" s="20" t="n">
        <v>1.32395645</v>
      </c>
      <c r="I67" s="18" t="s">
        <v>105</v>
      </c>
      <c r="J67" s="20" t="s">
        <v>105</v>
      </c>
      <c r="K67" s="18" t="n">
        <v>0</v>
      </c>
      <c r="L67" s="20" t="n">
        <v>0</v>
      </c>
      <c r="M67" s="18" t="n">
        <v>0</v>
      </c>
      <c r="N67" s="20" t="n">
        <v>0</v>
      </c>
      <c r="O67" s="18" t="n">
        <v>0</v>
      </c>
      <c r="P67" s="20" t="n">
        <v>0</v>
      </c>
      <c r="Q67" s="18" t="n">
        <v>0.74679691</v>
      </c>
      <c r="R67" s="20" t="n">
        <v>0.31113044</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3107</v>
      </c>
      <c r="C70" s="18">
        <f>(2327.0/B70*100)</f>
        <v/>
      </c>
      <c r="D70" s="19" t="n">
        <v>780</v>
      </c>
      <c r="E70" s="18" t="n">
        <v>44.72127609</v>
      </c>
      <c r="F70" s="20" t="n">
        <v>2.19620786</v>
      </c>
      <c r="G70" s="18" t="n">
        <v>54.18992827</v>
      </c>
      <c r="H70" s="20" t="n">
        <v>2.24069914</v>
      </c>
      <c r="I70" s="18" t="s">
        <v>105</v>
      </c>
      <c r="J70" s="20" t="s">
        <v>105</v>
      </c>
      <c r="K70" s="18" t="n">
        <v>0</v>
      </c>
      <c r="L70" s="20" t="n">
        <v>0</v>
      </c>
      <c r="M70" s="18" t="n">
        <v>0</v>
      </c>
      <c r="N70" s="20" t="n">
        <v>0</v>
      </c>
      <c r="O70" s="18" t="n">
        <v>0</v>
      </c>
      <c r="P70" s="20" t="n">
        <v>0</v>
      </c>
      <c r="Q70" s="18" t="n">
        <v>1.08879564</v>
      </c>
      <c r="R70" s="20" t="n">
        <v>0.32852723</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28.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233</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7163</v>
      </c>
      <c r="C7" s="18">
        <f>(315.0/B7*100)</f>
        <v/>
      </c>
      <c r="D7" s="19" t="n">
        <v>6848</v>
      </c>
      <c r="E7" s="18" t="n">
        <v>37.41064007</v>
      </c>
      <c r="F7" s="20" t="n">
        <v>0.79341617</v>
      </c>
      <c r="G7" s="18" t="n">
        <v>60.88170797</v>
      </c>
      <c r="H7" s="20" t="n">
        <v>0.81322441</v>
      </c>
      <c r="I7" s="18" t="s">
        <v>105</v>
      </c>
      <c r="J7" s="20" t="s">
        <v>105</v>
      </c>
      <c r="K7" s="18" t="n">
        <v>0.27033037</v>
      </c>
      <c r="L7" s="20" t="n">
        <v>0.07019059</v>
      </c>
      <c r="M7" s="18" t="n">
        <v>0</v>
      </c>
      <c r="N7" s="20" t="n">
        <v>0</v>
      </c>
      <c r="O7" s="18" t="n">
        <v>0</v>
      </c>
      <c r="P7" s="20" t="n">
        <v>0</v>
      </c>
      <c r="Q7" s="18" t="n">
        <v>1.43732159</v>
      </c>
      <c r="R7" s="20" t="n">
        <v>0.18659589</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2795</v>
      </c>
      <c r="C9" s="18">
        <f>(2144.0/B9*100)</f>
        <v/>
      </c>
      <c r="D9" s="19" t="n">
        <v>651</v>
      </c>
      <c r="E9" s="18" t="n">
        <v>24.75739441</v>
      </c>
      <c r="F9" s="20" t="n">
        <v>1.95589827</v>
      </c>
      <c r="G9" s="18" t="n">
        <v>74.57842546000001</v>
      </c>
      <c r="H9" s="20" t="n">
        <v>1.95063805</v>
      </c>
      <c r="I9" s="18" t="s">
        <v>105</v>
      </c>
      <c r="J9" s="20" t="s">
        <v>105</v>
      </c>
      <c r="K9" s="18" t="n">
        <v>0</v>
      </c>
      <c r="L9" s="20" t="n">
        <v>0</v>
      </c>
      <c r="M9" s="18" t="n">
        <v>0</v>
      </c>
      <c r="N9" s="20" t="n">
        <v>0</v>
      </c>
      <c r="O9" s="18" t="n">
        <v>0</v>
      </c>
      <c r="P9" s="20" t="n">
        <v>0</v>
      </c>
      <c r="Q9" s="18" t="n">
        <v>0.66418014</v>
      </c>
      <c r="R9" s="20" t="n">
        <v>0.27488003</v>
      </c>
    </row>
    <row r="10" spans="1:18">
      <c r="A10" s="15" t="s">
        <v>109</v>
      </c>
      <c r="B10" s="17" t="n">
        <v>6602</v>
      </c>
      <c r="C10" s="18">
        <f>(5012.0/B10*100)</f>
        <v/>
      </c>
      <c r="D10" s="19" t="n">
        <v>1590</v>
      </c>
      <c r="E10" s="18" t="n">
        <v>29.75092423</v>
      </c>
      <c r="F10" s="20" t="n">
        <v>1.51696078</v>
      </c>
      <c r="G10" s="18" t="n">
        <v>69.78122608</v>
      </c>
      <c r="H10" s="20" t="n">
        <v>1.51723962</v>
      </c>
      <c r="I10" s="18" t="s">
        <v>105</v>
      </c>
      <c r="J10" s="20" t="s">
        <v>105</v>
      </c>
      <c r="K10" s="18" t="n">
        <v>0.19869094</v>
      </c>
      <c r="L10" s="20" t="n">
        <v>0.19867181</v>
      </c>
      <c r="M10" s="18" t="n">
        <v>0</v>
      </c>
      <c r="N10" s="20" t="n">
        <v>0</v>
      </c>
      <c r="O10" s="18" t="n">
        <v>0</v>
      </c>
      <c r="P10" s="20" t="n">
        <v>0</v>
      </c>
      <c r="Q10" s="18" t="n">
        <v>0.26915874</v>
      </c>
      <c r="R10" s="20" t="n">
        <v>0.17643998</v>
      </c>
    </row>
    <row r="11" spans="1:18">
      <c r="A11" s="15" t="s">
        <v>110</v>
      </c>
      <c r="B11" s="17" t="n">
        <v>3500</v>
      </c>
      <c r="C11" s="18">
        <f>(2609.0/B11*100)</f>
        <v/>
      </c>
      <c r="D11" s="19" t="n">
        <v>891</v>
      </c>
      <c r="E11" s="18" t="n">
        <v>48.25190424</v>
      </c>
      <c r="F11" s="20" t="n">
        <v>1.98216203</v>
      </c>
      <c r="G11" s="18" t="n">
        <v>49.72469936</v>
      </c>
      <c r="H11" s="20" t="n">
        <v>1.97081806</v>
      </c>
      <c r="I11" s="18" t="s">
        <v>105</v>
      </c>
      <c r="J11" s="20" t="s">
        <v>105</v>
      </c>
      <c r="K11" s="18" t="n">
        <v>0.30769827</v>
      </c>
      <c r="L11" s="20" t="n">
        <v>0.23610355</v>
      </c>
      <c r="M11" s="18" t="n">
        <v>0</v>
      </c>
      <c r="N11" s="20" t="n">
        <v>0</v>
      </c>
      <c r="O11" s="18" t="n">
        <v>0</v>
      </c>
      <c r="P11" s="20" t="n">
        <v>0</v>
      </c>
      <c r="Q11" s="18" t="n">
        <v>1.71569813</v>
      </c>
      <c r="R11" s="20" t="n">
        <v>0.55384251</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5792</v>
      </c>
      <c r="C23" s="18">
        <f>(4449.0/B23*100)</f>
        <v/>
      </c>
      <c r="D23" s="19" t="n">
        <v>1343</v>
      </c>
      <c r="E23" s="18" t="n">
        <v>39.02234664</v>
      </c>
      <c r="F23" s="20" t="n">
        <v>2.03972076</v>
      </c>
      <c r="G23" s="18" t="n">
        <v>59.83515252</v>
      </c>
      <c r="H23" s="20" t="n">
        <v>2.09583182</v>
      </c>
      <c r="I23" s="18" t="s">
        <v>105</v>
      </c>
      <c r="J23" s="20" t="s">
        <v>105</v>
      </c>
      <c r="K23" s="18" t="n">
        <v>0.23373244</v>
      </c>
      <c r="L23" s="20" t="n">
        <v>0.16663869</v>
      </c>
      <c r="M23" s="18" t="n">
        <v>0</v>
      </c>
      <c r="N23" s="20" t="n">
        <v>0</v>
      </c>
      <c r="O23" s="18" t="n">
        <v>0</v>
      </c>
      <c r="P23" s="20" t="n">
        <v>0</v>
      </c>
      <c r="Q23" s="18" t="n">
        <v>0.90876839</v>
      </c>
      <c r="R23" s="20" t="n">
        <v>0.44594015</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2700</v>
      </c>
      <c r="C29" s="18">
        <f>(2020.0/B29*100)</f>
        <v/>
      </c>
      <c r="D29" s="19" t="n">
        <v>680</v>
      </c>
      <c r="E29" s="18" t="n">
        <v>34.39722111</v>
      </c>
      <c r="F29" s="20" t="n">
        <v>1.95603711</v>
      </c>
      <c r="G29" s="18" t="n">
        <v>64.88701179</v>
      </c>
      <c r="H29" s="20" t="n">
        <v>1.94858848</v>
      </c>
      <c r="I29" s="18" t="s">
        <v>105</v>
      </c>
      <c r="J29" s="20" t="s">
        <v>105</v>
      </c>
      <c r="K29" s="18" t="n">
        <v>0</v>
      </c>
      <c r="L29" s="20" t="n">
        <v>0</v>
      </c>
      <c r="M29" s="18" t="n">
        <v>0</v>
      </c>
      <c r="N29" s="20" t="n">
        <v>0</v>
      </c>
      <c r="O29" s="18" t="n">
        <v>0</v>
      </c>
      <c r="P29" s="20" t="n">
        <v>0</v>
      </c>
      <c r="Q29" s="18" t="n">
        <v>0.71576711</v>
      </c>
      <c r="R29" s="20" t="n">
        <v>0.24324032</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2209</v>
      </c>
      <c r="C32" s="18">
        <f>(1356.0/B32*100)</f>
        <v/>
      </c>
      <c r="D32" s="19" t="n">
        <v>853</v>
      </c>
      <c r="E32" s="18" t="n">
        <v>40.92003563</v>
      </c>
      <c r="F32" s="20" t="n">
        <v>1.94849317</v>
      </c>
      <c r="G32" s="18" t="n">
        <v>58.63494407</v>
      </c>
      <c r="H32" s="20" t="n">
        <v>1.94041922</v>
      </c>
      <c r="I32" s="18" t="s">
        <v>105</v>
      </c>
      <c r="J32" s="20" t="s">
        <v>105</v>
      </c>
      <c r="K32" s="18" t="n">
        <v>0.24469358</v>
      </c>
      <c r="L32" s="20" t="n">
        <v>0.18098644</v>
      </c>
      <c r="M32" s="18" t="n">
        <v>0</v>
      </c>
      <c r="N32" s="20" t="n">
        <v>0</v>
      </c>
      <c r="O32" s="18" t="n">
        <v>0</v>
      </c>
      <c r="P32" s="20" t="n">
        <v>0</v>
      </c>
      <c r="Q32" s="18" t="n">
        <v>0.20032672</v>
      </c>
      <c r="R32" s="20" t="n">
        <v>0.14296905</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3035</v>
      </c>
      <c r="C34" s="18">
        <f>(2300.0/B34*100)</f>
        <v/>
      </c>
      <c r="D34" s="19" t="n">
        <v>735</v>
      </c>
      <c r="E34" s="18" t="n">
        <v>48.27899098</v>
      </c>
      <c r="F34" s="20" t="n">
        <v>1.829705</v>
      </c>
      <c r="G34" s="18" t="n">
        <v>50.11812903</v>
      </c>
      <c r="H34" s="20" t="n">
        <v>1.87519395</v>
      </c>
      <c r="I34" s="18" t="s">
        <v>105</v>
      </c>
      <c r="J34" s="20" t="s">
        <v>105</v>
      </c>
      <c r="K34" s="18" t="n">
        <v>0.27027647</v>
      </c>
      <c r="L34" s="20" t="n">
        <v>0.19964831</v>
      </c>
      <c r="M34" s="18" t="n">
        <v>0</v>
      </c>
      <c r="N34" s="20" t="n">
        <v>0</v>
      </c>
      <c r="O34" s="18" t="n">
        <v>0</v>
      </c>
      <c r="P34" s="20" t="n">
        <v>0</v>
      </c>
      <c r="Q34" s="18" t="n">
        <v>1.33260351</v>
      </c>
      <c r="R34" s="20" t="n">
        <v>0.45355126</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3404</v>
      </c>
      <c r="C36" s="18">
        <f>(2534.0/B36*100)</f>
        <v/>
      </c>
      <c r="D36" s="19" t="n">
        <v>870</v>
      </c>
      <c r="E36" s="18" t="n">
        <v>47.92913478</v>
      </c>
      <c r="F36" s="20" t="n">
        <v>1.99440041</v>
      </c>
      <c r="G36" s="18" t="n">
        <v>50.6363869</v>
      </c>
      <c r="H36" s="20" t="n">
        <v>2.00789592</v>
      </c>
      <c r="I36" s="18" t="s">
        <v>105</v>
      </c>
      <c r="J36" s="20" t="s">
        <v>105</v>
      </c>
      <c r="K36" s="18" t="n">
        <v>0.23891722</v>
      </c>
      <c r="L36" s="20" t="n">
        <v>0.16960188</v>
      </c>
      <c r="M36" s="18" t="n">
        <v>0</v>
      </c>
      <c r="N36" s="20" t="n">
        <v>0</v>
      </c>
      <c r="O36" s="18" t="n">
        <v>0</v>
      </c>
      <c r="P36" s="20" t="n">
        <v>0</v>
      </c>
      <c r="Q36" s="18" t="n">
        <v>1.1955611</v>
      </c>
      <c r="R36" s="20" t="n">
        <v>0.39330656</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2854</v>
      </c>
      <c r="C41" s="18">
        <f>(2129.0/B41*100)</f>
        <v/>
      </c>
      <c r="D41" s="19" t="n">
        <v>725</v>
      </c>
      <c r="E41" s="18" t="n">
        <v>43.59043126</v>
      </c>
      <c r="F41" s="20" t="n">
        <v>2.08943489</v>
      </c>
      <c r="G41" s="18" t="n">
        <v>56.03009841</v>
      </c>
      <c r="H41" s="20" t="n">
        <v>2.05772098</v>
      </c>
      <c r="I41" s="18" t="s">
        <v>105</v>
      </c>
      <c r="J41" s="20" t="s">
        <v>105</v>
      </c>
      <c r="K41" s="18" t="n">
        <v>0</v>
      </c>
      <c r="L41" s="20" t="n">
        <v>0</v>
      </c>
      <c r="M41" s="18" t="n">
        <v>0</v>
      </c>
      <c r="N41" s="20" t="n">
        <v>0</v>
      </c>
      <c r="O41" s="18" t="n">
        <v>0</v>
      </c>
      <c r="P41" s="20" t="n">
        <v>0</v>
      </c>
      <c r="Q41" s="18" t="n">
        <v>0.37947033</v>
      </c>
      <c r="R41" s="20" t="n">
        <v>0.23249892</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12073</v>
      </c>
      <c r="C46" s="18">
        <f>(9398.0/B46*100)</f>
        <v/>
      </c>
      <c r="D46" s="19" t="n">
        <v>2675</v>
      </c>
      <c r="E46" s="18" t="n">
        <v>49.71238172</v>
      </c>
      <c r="F46" s="20" t="n">
        <v>1.36512461</v>
      </c>
      <c r="G46" s="18" t="n">
        <v>43.80895518</v>
      </c>
      <c r="H46" s="20" t="n">
        <v>1.30779244</v>
      </c>
      <c r="I46" s="18" t="s">
        <v>105</v>
      </c>
      <c r="J46" s="20" t="s">
        <v>105</v>
      </c>
      <c r="K46" s="18" t="n">
        <v>1.25414153</v>
      </c>
      <c r="L46" s="20" t="n">
        <v>0.33010402</v>
      </c>
      <c r="M46" s="18" t="n">
        <v>0</v>
      </c>
      <c r="N46" s="20" t="n">
        <v>0</v>
      </c>
      <c r="O46" s="18" t="n">
        <v>0</v>
      </c>
      <c r="P46" s="20" t="n">
        <v>0</v>
      </c>
      <c r="Q46" s="18" t="n">
        <v>5.22452157</v>
      </c>
      <c r="R46" s="20" t="n">
        <v>0.72129667</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4682</v>
      </c>
      <c r="C48" s="18">
        <f>(3491.0/B48*100)</f>
        <v/>
      </c>
      <c r="D48" s="19" t="n">
        <v>1191</v>
      </c>
      <c r="E48" s="18" t="n">
        <v>16.84728969</v>
      </c>
      <c r="F48" s="20" t="n">
        <v>1.5855972</v>
      </c>
      <c r="G48" s="18" t="n">
        <v>83.08827223999999</v>
      </c>
      <c r="H48" s="20" t="n">
        <v>1.58793936</v>
      </c>
      <c r="I48" s="18" t="s">
        <v>105</v>
      </c>
      <c r="J48" s="20" t="s">
        <v>105</v>
      </c>
      <c r="K48" s="18" t="n">
        <v>0</v>
      </c>
      <c r="L48" s="20" t="n">
        <v>0</v>
      </c>
      <c r="M48" s="18" t="n">
        <v>0</v>
      </c>
      <c r="N48" s="20" t="n">
        <v>0</v>
      </c>
      <c r="O48" s="18" t="n">
        <v>0</v>
      </c>
      <c r="P48" s="20" t="n">
        <v>0</v>
      </c>
      <c r="Q48" s="18" t="n">
        <v>0.06443807</v>
      </c>
      <c r="R48" s="20" t="n">
        <v>0.06460559</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3201</v>
      </c>
      <c r="C61" s="18">
        <f>(2358.0/B61*100)</f>
        <v/>
      </c>
      <c r="D61" s="19" t="n">
        <v>843</v>
      </c>
      <c r="E61" s="18" t="n">
        <v>45.58248414</v>
      </c>
      <c r="F61" s="20" t="n">
        <v>1.85180005</v>
      </c>
      <c r="G61" s="18" t="n">
        <v>52.72903346</v>
      </c>
      <c r="H61" s="20" t="n">
        <v>1.93618334</v>
      </c>
      <c r="I61" s="18" t="s">
        <v>105</v>
      </c>
      <c r="J61" s="20" t="s">
        <v>105</v>
      </c>
      <c r="K61" s="18" t="n">
        <v>0.15212997</v>
      </c>
      <c r="L61" s="20" t="n">
        <v>0.15825606</v>
      </c>
      <c r="M61" s="18" t="n">
        <v>0</v>
      </c>
      <c r="N61" s="20" t="n">
        <v>0</v>
      </c>
      <c r="O61" s="18" t="n">
        <v>0</v>
      </c>
      <c r="P61" s="20" t="n">
        <v>0</v>
      </c>
      <c r="Q61" s="18" t="n">
        <v>1.53635244</v>
      </c>
      <c r="R61" s="20" t="n">
        <v>0.53172535</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3460</v>
      </c>
      <c r="C67" s="18">
        <f>(2587.0/B67*100)</f>
        <v/>
      </c>
      <c r="D67" s="19" t="n">
        <v>873</v>
      </c>
      <c r="E67" s="18" t="n">
        <v>55.565898</v>
      </c>
      <c r="F67" s="20" t="n">
        <v>1.83768355</v>
      </c>
      <c r="G67" s="18" t="n">
        <v>44.01498392</v>
      </c>
      <c r="H67" s="20" t="n">
        <v>1.93193429</v>
      </c>
      <c r="I67" s="18" t="s">
        <v>105</v>
      </c>
      <c r="J67" s="20" t="s">
        <v>105</v>
      </c>
      <c r="K67" s="18" t="n">
        <v>0</v>
      </c>
      <c r="L67" s="20" t="n">
        <v>0</v>
      </c>
      <c r="M67" s="18" t="n">
        <v>0</v>
      </c>
      <c r="N67" s="20" t="n">
        <v>0</v>
      </c>
      <c r="O67" s="18" t="n">
        <v>0</v>
      </c>
      <c r="P67" s="20" t="n">
        <v>0</v>
      </c>
      <c r="Q67" s="18" t="n">
        <v>0.41911808</v>
      </c>
      <c r="R67" s="20" t="n">
        <v>0.26130603</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3107</v>
      </c>
      <c r="C70" s="18">
        <f>(2328.0/B70*100)</f>
        <v/>
      </c>
      <c r="D70" s="19" t="n">
        <v>779</v>
      </c>
      <c r="E70" s="18" t="n">
        <v>35.5154136</v>
      </c>
      <c r="F70" s="20" t="n">
        <v>2.44842142</v>
      </c>
      <c r="G70" s="18" t="n">
        <v>64.25624564</v>
      </c>
      <c r="H70" s="20" t="n">
        <v>2.46172584</v>
      </c>
      <c r="I70" s="18" t="s">
        <v>105</v>
      </c>
      <c r="J70" s="20" t="s">
        <v>105</v>
      </c>
      <c r="K70" s="18" t="n">
        <v>0</v>
      </c>
      <c r="L70" s="20" t="n">
        <v>0</v>
      </c>
      <c r="M70" s="18" t="n">
        <v>0</v>
      </c>
      <c r="N70" s="20" t="n">
        <v>0</v>
      </c>
      <c r="O70" s="18" t="n">
        <v>0</v>
      </c>
      <c r="P70" s="20" t="n">
        <v>0</v>
      </c>
      <c r="Q70" s="18" t="n">
        <v>0.22834076</v>
      </c>
      <c r="R70" s="20" t="n">
        <v>0.16474028</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29.xml><?xml version="1.0" encoding="utf-8"?>
<worksheet xmlns="http://schemas.openxmlformats.org/spreadsheetml/2006/main">
  <sheetPr>
    <outlinePr summaryBelow="1" summaryRight="1"/>
    <pageSetUpPr/>
  </sheetPr>
  <dimension ref="A1:V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2">
      <c r="A1" s="4" t="s">
        <v>87</v>
      </c>
    </row>
    <row r="2" spans="1:22">
      <c r="A2" s="5" t="s">
        <v>234</v>
      </c>
    </row>
    <row customHeight="1" ht="30" r="4" spans="1:22">
      <c r="A4" s="6" t="n"/>
      <c r="B4" s="7" t="s">
        <v>89</v>
      </c>
      <c r="C4" s="7" t="s">
        <v>90</v>
      </c>
      <c r="D4" s="8" t="s">
        <v>89</v>
      </c>
      <c r="E4" s="9" t="s">
        <v>202</v>
      </c>
      <c r="F4" s="10" t="n"/>
      <c r="G4" s="9" t="s">
        <v>203</v>
      </c>
      <c r="H4" s="10" t="n"/>
      <c r="I4" s="9" t="s">
        <v>204</v>
      </c>
      <c r="J4" s="10" t="n"/>
      <c r="K4" s="9" t="s">
        <v>222</v>
      </c>
      <c r="L4" s="10" t="n"/>
      <c r="M4" s="9" t="s">
        <v>93</v>
      </c>
      <c r="N4" s="10" t="n"/>
      <c r="O4" s="9" t="s">
        <v>94</v>
      </c>
      <c r="P4" s="10" t="n"/>
      <c r="Q4" s="9" t="s">
        <v>95</v>
      </c>
      <c r="R4" s="10" t="n"/>
      <c r="S4" s="9" t="s">
        <v>96</v>
      </c>
      <c r="T4" s="10" t="n"/>
      <c r="U4" s="9" t="s">
        <v>97</v>
      </c>
      <c r="V4" s="10" t="n"/>
    </row>
    <row r="5" spans="1:22">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c r="S5" s="12" t="s">
        <v>101</v>
      </c>
      <c r="T5" s="11" t="s">
        <v>102</v>
      </c>
      <c r="U5" s="12" t="s">
        <v>101</v>
      </c>
      <c r="V5" s="11" t="s">
        <v>102</v>
      </c>
    </row>
    <row r="6" spans="1:22">
      <c r="A6" s="13" t="s">
        <v>103</v>
      </c>
      <c r="B6" s="14" t="n"/>
      <c r="C6" s="14" t="n"/>
      <c r="D6" s="15" t="n"/>
      <c r="E6" s="14" t="n"/>
      <c r="F6" s="15" t="n"/>
      <c r="G6" s="14" t="n"/>
      <c r="H6" s="15" t="n"/>
      <c r="I6" s="14" t="n"/>
      <c r="J6" s="15" t="n"/>
      <c r="K6" s="14" t="n"/>
      <c r="L6" s="15" t="n"/>
      <c r="M6" s="14" t="n"/>
      <c r="N6" s="15" t="n"/>
      <c r="O6" s="14" t="n"/>
      <c r="P6" s="15" t="n"/>
      <c r="Q6" s="14" t="n"/>
      <c r="R6" s="15" t="n"/>
      <c r="S6" s="14" t="n"/>
      <c r="T6" s="15" t="n"/>
      <c r="U6" s="14" t="n"/>
      <c r="V6" s="16" t="n"/>
    </row>
    <row r="7" spans="1:22">
      <c r="A7" s="15" t="s">
        <v>104</v>
      </c>
      <c r="B7" s="17" t="n">
        <v>7163</v>
      </c>
      <c r="C7" s="18">
        <f>(327.0/B7*100)</f>
        <v/>
      </c>
      <c r="D7" s="19" t="n">
        <v>6836</v>
      </c>
      <c r="E7" s="18" t="n">
        <v>14.00138795</v>
      </c>
      <c r="F7" s="20" t="n">
        <v>0.45849029</v>
      </c>
      <c r="G7" s="18" t="n">
        <v>78.50398211</v>
      </c>
      <c r="H7" s="20" t="n">
        <v>0.64168703</v>
      </c>
      <c r="I7" s="18" t="n">
        <v>0.60668249</v>
      </c>
      <c r="J7" s="20" t="n">
        <v>0.10122929</v>
      </c>
      <c r="K7" s="18" t="n">
        <v>0.6489768</v>
      </c>
      <c r="L7" s="20" t="n">
        <v>0.1167217</v>
      </c>
      <c r="M7" s="18" t="s">
        <v>105</v>
      </c>
      <c r="N7" s="20" t="s">
        <v>105</v>
      </c>
      <c r="O7" s="18" t="n">
        <v>0.29678895</v>
      </c>
      <c r="P7" s="20" t="n">
        <v>0.07210505</v>
      </c>
      <c r="Q7" s="18" t="n">
        <v>0.01110913</v>
      </c>
      <c r="R7" s="20" t="n">
        <v>0.00290493</v>
      </c>
      <c r="S7" s="18" t="n">
        <v>0</v>
      </c>
      <c r="T7" s="20" t="n">
        <v>0</v>
      </c>
      <c r="U7" s="18" t="n">
        <v>5.93107257</v>
      </c>
      <c r="V7" s="20" t="n">
        <v>0.39110215</v>
      </c>
    </row>
    <row r="8" spans="1:22">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c r="S8" s="21" t="s">
        <v>107</v>
      </c>
      <c r="T8" s="22" t="s">
        <v>107</v>
      </c>
      <c r="U8" s="21" t="s">
        <v>107</v>
      </c>
      <c r="V8" s="22" t="s">
        <v>107</v>
      </c>
    </row>
    <row r="9" spans="1:22">
      <c r="A9" s="15" t="s">
        <v>108</v>
      </c>
      <c r="B9" s="17" t="n">
        <v>2795</v>
      </c>
      <c r="C9" s="18">
        <f>(2144.0/B9*100)</f>
        <v/>
      </c>
      <c r="D9" s="19" t="n">
        <v>651</v>
      </c>
      <c r="E9" s="18" t="n">
        <v>8.514189630000001</v>
      </c>
      <c r="F9" s="20" t="n">
        <v>1.14370882</v>
      </c>
      <c r="G9" s="18" t="n">
        <v>86.18172771</v>
      </c>
      <c r="H9" s="20" t="n">
        <v>1.56901969</v>
      </c>
      <c r="I9" s="18" t="n">
        <v>1.97654536</v>
      </c>
      <c r="J9" s="20" t="n">
        <v>0.5224853699999999</v>
      </c>
      <c r="K9" s="18" t="n">
        <v>0.12686769</v>
      </c>
      <c r="L9" s="20" t="n">
        <v>0.12568315</v>
      </c>
      <c r="M9" s="18" t="s">
        <v>105</v>
      </c>
      <c r="N9" s="20" t="s">
        <v>105</v>
      </c>
      <c r="O9" s="18" t="n">
        <v>0.16800893</v>
      </c>
      <c r="P9" s="20" t="n">
        <v>0.26611722</v>
      </c>
      <c r="Q9" s="18" t="n">
        <v>0.78547594</v>
      </c>
      <c r="R9" s="20" t="n">
        <v>0.30301005</v>
      </c>
      <c r="S9" s="18" t="n">
        <v>0</v>
      </c>
      <c r="T9" s="20" t="n">
        <v>0</v>
      </c>
      <c r="U9" s="18" t="n">
        <v>2.24718473</v>
      </c>
      <c r="V9" s="20" t="n">
        <v>0.55290615</v>
      </c>
    </row>
    <row r="10" spans="1:22">
      <c r="A10" s="15" t="s">
        <v>109</v>
      </c>
      <c r="B10" s="17" t="n">
        <v>6602</v>
      </c>
      <c r="C10" s="18">
        <f>(5010.0/B10*100)</f>
        <v/>
      </c>
      <c r="D10" s="19" t="n">
        <v>1592</v>
      </c>
      <c r="E10" s="18" t="n">
        <v>8.8979841</v>
      </c>
      <c r="F10" s="20" t="n">
        <v>0.97822592</v>
      </c>
      <c r="G10" s="18" t="n">
        <v>87.49704119</v>
      </c>
      <c r="H10" s="20" t="n">
        <v>1.2198351</v>
      </c>
      <c r="I10" s="18" t="n">
        <v>0.61398505</v>
      </c>
      <c r="J10" s="20" t="n">
        <v>0.30554772</v>
      </c>
      <c r="K10" s="18" t="n">
        <v>0.56666515</v>
      </c>
      <c r="L10" s="20" t="n">
        <v>0.31275745</v>
      </c>
      <c r="M10" s="18" t="s">
        <v>105</v>
      </c>
      <c r="N10" s="20" t="s">
        <v>105</v>
      </c>
      <c r="O10" s="18" t="n">
        <v>0.1986262</v>
      </c>
      <c r="P10" s="20" t="n">
        <v>0.19860827</v>
      </c>
      <c r="Q10" s="18" t="n">
        <v>0.21958026</v>
      </c>
      <c r="R10" s="20" t="n">
        <v>0.1862472</v>
      </c>
      <c r="S10" s="18" t="n">
        <v>0</v>
      </c>
      <c r="T10" s="20" t="n">
        <v>0</v>
      </c>
      <c r="U10" s="18" t="n">
        <v>2.00611805</v>
      </c>
      <c r="V10" s="20" t="n">
        <v>0.47028711</v>
      </c>
    </row>
    <row r="11" spans="1:22">
      <c r="A11" s="15" t="s">
        <v>110</v>
      </c>
      <c r="B11" s="17" t="n">
        <v>3500</v>
      </c>
      <c r="C11" s="18">
        <f>(2611.0/B11*100)</f>
        <v/>
      </c>
      <c r="D11" s="19" t="n">
        <v>889</v>
      </c>
      <c r="E11" s="18" t="n">
        <v>18.46561073</v>
      </c>
      <c r="F11" s="20" t="n">
        <v>1.68970357</v>
      </c>
      <c r="G11" s="18" t="n">
        <v>71.4177067</v>
      </c>
      <c r="H11" s="20" t="n">
        <v>2.10012969</v>
      </c>
      <c r="I11" s="18" t="n">
        <v>0.21750473</v>
      </c>
      <c r="J11" s="20" t="n">
        <v>0.21511172</v>
      </c>
      <c r="K11" s="18" t="n">
        <v>0</v>
      </c>
      <c r="L11" s="20" t="n">
        <v>0</v>
      </c>
      <c r="M11" s="18" t="s">
        <v>105</v>
      </c>
      <c r="N11" s="20" t="s">
        <v>105</v>
      </c>
      <c r="O11" s="18" t="n">
        <v>0.30863972</v>
      </c>
      <c r="P11" s="20" t="n">
        <v>0.23683558</v>
      </c>
      <c r="Q11" s="18" t="n">
        <v>0.04916305</v>
      </c>
      <c r="R11" s="20" t="n">
        <v>0.05394232</v>
      </c>
      <c r="S11" s="18" t="n">
        <v>0</v>
      </c>
      <c r="T11" s="20" t="n">
        <v>0</v>
      </c>
      <c r="U11" s="18" t="n">
        <v>9.541375070000001</v>
      </c>
      <c r="V11" s="20" t="n">
        <v>1.43926063</v>
      </c>
    </row>
    <row r="12" spans="1:22">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c r="S12" s="21" t="s">
        <v>107</v>
      </c>
      <c r="T12" s="22" t="s">
        <v>107</v>
      </c>
      <c r="U12" s="21" t="s">
        <v>107</v>
      </c>
      <c r="V12" s="22" t="s">
        <v>107</v>
      </c>
    </row>
    <row r="13" spans="1:22">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c r="S13" s="21" t="s">
        <v>107</v>
      </c>
      <c r="T13" s="22" t="s">
        <v>107</v>
      </c>
      <c r="U13" s="21" t="s">
        <v>107</v>
      </c>
      <c r="V13" s="22" t="s">
        <v>107</v>
      </c>
    </row>
    <row r="14" spans="1:22">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c r="S14" s="21" t="s">
        <v>107</v>
      </c>
      <c r="T14" s="22" t="s">
        <v>107</v>
      </c>
      <c r="U14" s="21" t="s">
        <v>107</v>
      </c>
      <c r="V14" s="22" t="s">
        <v>107</v>
      </c>
    </row>
    <row r="15" spans="1:22">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c r="S15" s="21" t="s">
        <v>107</v>
      </c>
      <c r="T15" s="22" t="s">
        <v>107</v>
      </c>
      <c r="U15" s="21" t="s">
        <v>107</v>
      </c>
      <c r="V15" s="22" t="s">
        <v>107</v>
      </c>
    </row>
    <row r="16" spans="1:22">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c r="S16" s="21" t="s">
        <v>107</v>
      </c>
      <c r="T16" s="22" t="s">
        <v>107</v>
      </c>
      <c r="U16" s="21" t="s">
        <v>107</v>
      </c>
      <c r="V16" s="22" t="s">
        <v>107</v>
      </c>
    </row>
    <row r="17" spans="1:22">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c r="S17" s="21" t="s">
        <v>107</v>
      </c>
      <c r="T17" s="22" t="s">
        <v>107</v>
      </c>
      <c r="U17" s="21" t="s">
        <v>107</v>
      </c>
      <c r="V17" s="22" t="s">
        <v>107</v>
      </c>
    </row>
    <row r="18" spans="1:22">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c r="S18" s="21" t="s">
        <v>107</v>
      </c>
      <c r="T18" s="22" t="s">
        <v>107</v>
      </c>
      <c r="U18" s="21" t="s">
        <v>107</v>
      </c>
      <c r="V18" s="22" t="s">
        <v>107</v>
      </c>
    </row>
    <row r="19" spans="1:22">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c r="S19" s="21" t="s">
        <v>107</v>
      </c>
      <c r="T19" s="22" t="s">
        <v>107</v>
      </c>
      <c r="U19" s="21" t="s">
        <v>107</v>
      </c>
      <c r="V19" s="22" t="s">
        <v>107</v>
      </c>
    </row>
    <row r="20" spans="1:22">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c r="S20" s="21" t="s">
        <v>107</v>
      </c>
      <c r="T20" s="22" t="s">
        <v>107</v>
      </c>
      <c r="U20" s="21" t="s">
        <v>107</v>
      </c>
      <c r="V20" s="22" t="s">
        <v>107</v>
      </c>
    </row>
    <row r="21" spans="1:22">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c r="S21" s="21" t="s">
        <v>107</v>
      </c>
      <c r="T21" s="22" t="s">
        <v>107</v>
      </c>
      <c r="U21" s="21" t="s">
        <v>107</v>
      </c>
      <c r="V21" s="22" t="s">
        <v>107</v>
      </c>
    </row>
    <row r="22" spans="1:22">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c r="S22" s="21" t="s">
        <v>107</v>
      </c>
      <c r="T22" s="22" t="s">
        <v>107</v>
      </c>
      <c r="U22" s="21" t="s">
        <v>107</v>
      </c>
      <c r="V22" s="22" t="s">
        <v>107</v>
      </c>
    </row>
    <row r="23" spans="1:22">
      <c r="A23" s="15" t="s">
        <v>122</v>
      </c>
      <c r="B23" s="17" t="n">
        <v>5792</v>
      </c>
      <c r="C23" s="18">
        <f>(4451.0/B23*100)</f>
        <v/>
      </c>
      <c r="D23" s="19" t="n">
        <v>1341</v>
      </c>
      <c r="E23" s="18" t="n">
        <v>11.28979414</v>
      </c>
      <c r="F23" s="20" t="n">
        <v>1.32667077</v>
      </c>
      <c r="G23" s="18" t="n">
        <v>80.45362897</v>
      </c>
      <c r="H23" s="20" t="n">
        <v>1.52743052</v>
      </c>
      <c r="I23" s="18" t="n">
        <v>0.07296229</v>
      </c>
      <c r="J23" s="20" t="n">
        <v>0.06319814</v>
      </c>
      <c r="K23" s="18" t="n">
        <v>0.21596779</v>
      </c>
      <c r="L23" s="20" t="n">
        <v>0.17083611</v>
      </c>
      <c r="M23" s="18" t="s">
        <v>105</v>
      </c>
      <c r="N23" s="20" t="s">
        <v>105</v>
      </c>
      <c r="O23" s="18" t="n">
        <v>0.2345443</v>
      </c>
      <c r="P23" s="20" t="n">
        <v>0.16720806</v>
      </c>
      <c r="Q23" s="18" t="n">
        <v>0</v>
      </c>
      <c r="R23" s="20" t="n">
        <v>0</v>
      </c>
      <c r="S23" s="18" t="n">
        <v>0</v>
      </c>
      <c r="T23" s="20" t="n">
        <v>0</v>
      </c>
      <c r="U23" s="18" t="n">
        <v>7.73310251</v>
      </c>
      <c r="V23" s="20" t="n">
        <v>1.04890644</v>
      </c>
    </row>
    <row r="24" spans="1:22">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c r="S24" s="21" t="s">
        <v>107</v>
      </c>
      <c r="T24" s="22" t="s">
        <v>107</v>
      </c>
      <c r="U24" s="21" t="s">
        <v>107</v>
      </c>
      <c r="V24" s="22" t="s">
        <v>107</v>
      </c>
    </row>
    <row r="25" spans="1:22">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c r="S25" s="21" t="s">
        <v>107</v>
      </c>
      <c r="T25" s="22" t="s">
        <v>107</v>
      </c>
      <c r="U25" s="21" t="s">
        <v>107</v>
      </c>
      <c r="V25" s="22" t="s">
        <v>107</v>
      </c>
    </row>
    <row r="26" spans="1:22">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c r="S26" s="21" t="s">
        <v>107</v>
      </c>
      <c r="T26" s="22" t="s">
        <v>107</v>
      </c>
      <c r="U26" s="21" t="s">
        <v>107</v>
      </c>
      <c r="V26" s="22" t="s">
        <v>107</v>
      </c>
    </row>
    <row r="27" spans="1:22">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c r="S27" s="21" t="s">
        <v>107</v>
      </c>
      <c r="T27" s="22" t="s">
        <v>107</v>
      </c>
      <c r="U27" s="21" t="s">
        <v>107</v>
      </c>
      <c r="V27" s="22" t="s">
        <v>107</v>
      </c>
    </row>
    <row r="28" spans="1:22">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c r="S28" s="21" t="s">
        <v>107</v>
      </c>
      <c r="T28" s="22" t="s">
        <v>107</v>
      </c>
      <c r="U28" s="21" t="s">
        <v>107</v>
      </c>
      <c r="V28" s="22" t="s">
        <v>107</v>
      </c>
    </row>
    <row r="29" spans="1:22">
      <c r="A29" s="15" t="s">
        <v>128</v>
      </c>
      <c r="B29" s="17" t="n">
        <v>2700</v>
      </c>
      <c r="C29" s="18">
        <f>(2021.0/B29*100)</f>
        <v/>
      </c>
      <c r="D29" s="19" t="n">
        <v>679</v>
      </c>
      <c r="E29" s="18" t="n">
        <v>7.31636737</v>
      </c>
      <c r="F29" s="20" t="n">
        <v>0.9273049</v>
      </c>
      <c r="G29" s="18" t="n">
        <v>87.59430964000001</v>
      </c>
      <c r="H29" s="20" t="n">
        <v>1.2758793</v>
      </c>
      <c r="I29" s="18" t="n">
        <v>1.27410346</v>
      </c>
      <c r="J29" s="20" t="n">
        <v>0.4499445</v>
      </c>
      <c r="K29" s="18" t="n">
        <v>0.28375959</v>
      </c>
      <c r="L29" s="20" t="n">
        <v>0.20152671</v>
      </c>
      <c r="M29" s="18" t="s">
        <v>105</v>
      </c>
      <c r="N29" s="20" t="s">
        <v>105</v>
      </c>
      <c r="O29" s="18" t="n">
        <v>0</v>
      </c>
      <c r="P29" s="20" t="n">
        <v>0</v>
      </c>
      <c r="Q29" s="18" t="n">
        <v>0</v>
      </c>
      <c r="R29" s="20" t="n">
        <v>0</v>
      </c>
      <c r="S29" s="18" t="n">
        <v>0</v>
      </c>
      <c r="T29" s="20" t="n">
        <v>0</v>
      </c>
      <c r="U29" s="18" t="n">
        <v>3.53145994</v>
      </c>
      <c r="V29" s="20" t="n">
        <v>0.78255639</v>
      </c>
    </row>
    <row r="30" spans="1:22">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c r="S30" s="21" t="s">
        <v>107</v>
      </c>
      <c r="T30" s="22" t="s">
        <v>107</v>
      </c>
      <c r="U30" s="21" t="s">
        <v>107</v>
      </c>
      <c r="V30" s="22" t="s">
        <v>107</v>
      </c>
    </row>
    <row r="31" spans="1:22">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c r="S31" s="21" t="s">
        <v>107</v>
      </c>
      <c r="T31" s="22" t="s">
        <v>107</v>
      </c>
      <c r="U31" s="21" t="s">
        <v>107</v>
      </c>
      <c r="V31" s="22" t="s">
        <v>107</v>
      </c>
    </row>
    <row r="32" spans="1:22">
      <c r="A32" s="15" t="s">
        <v>131</v>
      </c>
      <c r="B32" s="17" t="n">
        <v>2209</v>
      </c>
      <c r="C32" s="18">
        <f>(1358.0/B32*100)</f>
        <v/>
      </c>
      <c r="D32" s="19" t="n">
        <v>851</v>
      </c>
      <c r="E32" s="18" t="n">
        <v>13.01164641</v>
      </c>
      <c r="F32" s="20" t="n">
        <v>1.30264198</v>
      </c>
      <c r="G32" s="18" t="n">
        <v>77.86055383</v>
      </c>
      <c r="H32" s="20" t="n">
        <v>1.79535786</v>
      </c>
      <c r="I32" s="18" t="n">
        <v>0.36235187</v>
      </c>
      <c r="J32" s="20" t="n">
        <v>0.1969176</v>
      </c>
      <c r="K32" s="18" t="n">
        <v>0.4671616</v>
      </c>
      <c r="L32" s="20" t="n">
        <v>0.17291555</v>
      </c>
      <c r="M32" s="18" t="s">
        <v>105</v>
      </c>
      <c r="N32" s="20" t="s">
        <v>105</v>
      </c>
      <c r="O32" s="18" t="n">
        <v>0.24552268</v>
      </c>
      <c r="P32" s="20" t="n">
        <v>0.18160196</v>
      </c>
      <c r="Q32" s="18" t="n">
        <v>0.49865896</v>
      </c>
      <c r="R32" s="20" t="n">
        <v>0.53097216</v>
      </c>
      <c r="S32" s="18" t="n">
        <v>0</v>
      </c>
      <c r="T32" s="20" t="n">
        <v>0</v>
      </c>
      <c r="U32" s="18" t="n">
        <v>7.55410465</v>
      </c>
      <c r="V32" s="20" t="n">
        <v>1.08193867</v>
      </c>
    </row>
    <row r="33" spans="1:22">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c r="S33" s="21" t="s">
        <v>107</v>
      </c>
      <c r="T33" s="22" t="s">
        <v>107</v>
      </c>
      <c r="U33" s="21" t="s">
        <v>107</v>
      </c>
      <c r="V33" s="22" t="s">
        <v>107</v>
      </c>
    </row>
    <row r="34" spans="1:22">
      <c r="A34" s="15" t="s">
        <v>133</v>
      </c>
      <c r="B34" s="17" t="n">
        <v>3035</v>
      </c>
      <c r="C34" s="18">
        <f>(2303.0/B34*100)</f>
        <v/>
      </c>
      <c r="D34" s="19" t="n">
        <v>732</v>
      </c>
      <c r="E34" s="18" t="n">
        <v>22.09580013</v>
      </c>
      <c r="F34" s="20" t="n">
        <v>1.59456709</v>
      </c>
      <c r="G34" s="18" t="n">
        <v>65.45902909</v>
      </c>
      <c r="H34" s="20" t="n">
        <v>2.21779082</v>
      </c>
      <c r="I34" s="18" t="n">
        <v>0.34224642</v>
      </c>
      <c r="J34" s="20" t="n">
        <v>0.2578513</v>
      </c>
      <c r="K34" s="18" t="n">
        <v>0.2305807</v>
      </c>
      <c r="L34" s="20" t="n">
        <v>0.15501484</v>
      </c>
      <c r="M34" s="18" t="s">
        <v>105</v>
      </c>
      <c r="N34" s="20" t="s">
        <v>105</v>
      </c>
      <c r="O34" s="18" t="n">
        <v>0.3597026</v>
      </c>
      <c r="P34" s="20" t="n">
        <v>0.23695481</v>
      </c>
      <c r="Q34" s="18" t="n">
        <v>0</v>
      </c>
      <c r="R34" s="20" t="n">
        <v>0</v>
      </c>
      <c r="S34" s="18" t="n">
        <v>0</v>
      </c>
      <c r="T34" s="20" t="n">
        <v>0</v>
      </c>
      <c r="U34" s="18" t="n">
        <v>11.51264105</v>
      </c>
      <c r="V34" s="20" t="n">
        <v>1.63571094</v>
      </c>
    </row>
    <row r="35" spans="1:22">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c r="S35" s="21" t="s">
        <v>107</v>
      </c>
      <c r="T35" s="22" t="s">
        <v>107</v>
      </c>
      <c r="U35" s="21" t="s">
        <v>107</v>
      </c>
      <c r="V35" s="22" t="s">
        <v>107</v>
      </c>
    </row>
    <row r="36" spans="1:22">
      <c r="A36" s="15" t="s">
        <v>135</v>
      </c>
      <c r="B36" s="17" t="n">
        <v>3404</v>
      </c>
      <c r="C36" s="18">
        <f>(2533.0/B36*100)</f>
        <v/>
      </c>
      <c r="D36" s="19" t="n">
        <v>871</v>
      </c>
      <c r="E36" s="18" t="n">
        <v>15.36334113</v>
      </c>
      <c r="F36" s="20" t="n">
        <v>1.20579903</v>
      </c>
      <c r="G36" s="18" t="n">
        <v>75.53850417</v>
      </c>
      <c r="H36" s="20" t="n">
        <v>1.64861</v>
      </c>
      <c r="I36" s="18" t="n">
        <v>1.5804331</v>
      </c>
      <c r="J36" s="20" t="n">
        <v>0.46638795</v>
      </c>
      <c r="K36" s="18" t="n">
        <v>0.7804932</v>
      </c>
      <c r="L36" s="20" t="n">
        <v>0.30588989</v>
      </c>
      <c r="M36" s="18" t="s">
        <v>105</v>
      </c>
      <c r="N36" s="20" t="s">
        <v>105</v>
      </c>
      <c r="O36" s="18" t="n">
        <v>0.23884688</v>
      </c>
      <c r="P36" s="20" t="n">
        <v>0.16955254</v>
      </c>
      <c r="Q36" s="18" t="n">
        <v>0</v>
      </c>
      <c r="R36" s="20" t="n">
        <v>0</v>
      </c>
      <c r="S36" s="18" t="n">
        <v>0</v>
      </c>
      <c r="T36" s="20" t="n">
        <v>0</v>
      </c>
      <c r="U36" s="18" t="n">
        <v>6.49838151</v>
      </c>
      <c r="V36" s="20" t="n">
        <v>0.94102651</v>
      </c>
    </row>
    <row r="37" spans="1:22">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c r="S37" s="21" t="s">
        <v>107</v>
      </c>
      <c r="T37" s="22" t="s">
        <v>107</v>
      </c>
      <c r="U37" s="21" t="s">
        <v>107</v>
      </c>
      <c r="V37" s="22" t="s">
        <v>107</v>
      </c>
    </row>
    <row r="38" spans="1:22">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c r="S38" s="21" t="s">
        <v>107</v>
      </c>
      <c r="T38" s="22" t="s">
        <v>107</v>
      </c>
      <c r="U38" s="21" t="s">
        <v>107</v>
      </c>
      <c r="V38" s="22" t="s">
        <v>107</v>
      </c>
    </row>
    <row r="39" spans="1:22">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c r="S39" s="21" t="s">
        <v>107</v>
      </c>
      <c r="T39" s="22" t="s">
        <v>107</v>
      </c>
      <c r="U39" s="21" t="s">
        <v>107</v>
      </c>
      <c r="V39" s="22" t="s">
        <v>107</v>
      </c>
    </row>
    <row r="40" spans="1:22">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c r="S40" s="21" t="s">
        <v>107</v>
      </c>
      <c r="T40" s="22" t="s">
        <v>107</v>
      </c>
      <c r="U40" s="21" t="s">
        <v>107</v>
      </c>
      <c r="V40" s="22" t="s">
        <v>107</v>
      </c>
    </row>
    <row r="41" spans="1:22">
      <c r="A41" s="15" t="s">
        <v>140</v>
      </c>
      <c r="B41" s="17" t="n">
        <v>2854</v>
      </c>
      <c r="C41" s="18">
        <f>(2128.0/B41*100)</f>
        <v/>
      </c>
      <c r="D41" s="19" t="n">
        <v>726</v>
      </c>
      <c r="E41" s="18" t="n">
        <v>16.12423605</v>
      </c>
      <c r="F41" s="20" t="n">
        <v>1.68154745</v>
      </c>
      <c r="G41" s="18" t="n">
        <v>78.20748867</v>
      </c>
      <c r="H41" s="20" t="n">
        <v>1.778425</v>
      </c>
      <c r="I41" s="18" t="n">
        <v>2.86177473</v>
      </c>
      <c r="J41" s="20" t="n">
        <v>0.64061514</v>
      </c>
      <c r="K41" s="18" t="n">
        <v>1.06358208</v>
      </c>
      <c r="L41" s="20" t="n">
        <v>0.39016793</v>
      </c>
      <c r="M41" s="18" t="s">
        <v>105</v>
      </c>
      <c r="N41" s="20" t="s">
        <v>105</v>
      </c>
      <c r="O41" s="18" t="n">
        <v>0</v>
      </c>
      <c r="P41" s="20" t="n">
        <v>0</v>
      </c>
      <c r="Q41" s="18" t="n">
        <v>0</v>
      </c>
      <c r="R41" s="20" t="n">
        <v>0</v>
      </c>
      <c r="S41" s="18" t="n">
        <v>0</v>
      </c>
      <c r="T41" s="20" t="n">
        <v>0</v>
      </c>
      <c r="U41" s="18" t="n">
        <v>1.74291847</v>
      </c>
      <c r="V41" s="20" t="n">
        <v>0.51554425</v>
      </c>
    </row>
    <row r="42" spans="1:22">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row>
    <row r="43" spans="1:22">
      <c r="A43" s="13" t="s">
        <v>142</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6" t="n"/>
    </row>
    <row r="44" spans="1:22">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c r="S44" s="21" t="s">
        <v>107</v>
      </c>
      <c r="T44" s="22" t="s">
        <v>107</v>
      </c>
      <c r="U44" s="21" t="s">
        <v>107</v>
      </c>
      <c r="V44" s="22" t="s">
        <v>107</v>
      </c>
    </row>
    <row r="45" spans="1:22">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c r="S45" s="21" t="s">
        <v>107</v>
      </c>
      <c r="T45" s="22" t="s">
        <v>107</v>
      </c>
      <c r="U45" s="21" t="s">
        <v>107</v>
      </c>
      <c r="V45" s="22" t="s">
        <v>107</v>
      </c>
    </row>
    <row r="46" spans="1:22">
      <c r="A46" s="15" t="s">
        <v>145</v>
      </c>
      <c r="B46" s="17" t="n">
        <v>12073</v>
      </c>
      <c r="C46" s="18">
        <f>(9483.0/B46*100)</f>
        <v/>
      </c>
      <c r="D46" s="19" t="n">
        <v>2590</v>
      </c>
      <c r="E46" s="18" t="n">
        <v>30.21748987</v>
      </c>
      <c r="F46" s="20" t="n">
        <v>1.12533241</v>
      </c>
      <c r="G46" s="18" t="n">
        <v>48.63333237</v>
      </c>
      <c r="H46" s="20" t="n">
        <v>1.4745149</v>
      </c>
      <c r="I46" s="18" t="n">
        <v>0.44933387</v>
      </c>
      <c r="J46" s="20" t="n">
        <v>0.17715282</v>
      </c>
      <c r="K46" s="18" t="n">
        <v>0.18450146</v>
      </c>
      <c r="L46" s="20" t="n">
        <v>0.09889835</v>
      </c>
      <c r="M46" s="18" t="s">
        <v>105</v>
      </c>
      <c r="N46" s="20" t="s">
        <v>105</v>
      </c>
      <c r="O46" s="18" t="n">
        <v>1.35791665</v>
      </c>
      <c r="P46" s="20" t="n">
        <v>0.3458368</v>
      </c>
      <c r="Q46" s="18" t="n">
        <v>0</v>
      </c>
      <c r="R46" s="20" t="n">
        <v>0</v>
      </c>
      <c r="S46" s="18" t="n">
        <v>0</v>
      </c>
      <c r="T46" s="20" t="n">
        <v>0</v>
      </c>
      <c r="U46" s="18" t="n">
        <v>19.15742578</v>
      </c>
      <c r="V46" s="20" t="n">
        <v>1.01137147</v>
      </c>
    </row>
    <row r="47" spans="1:22">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c r="S47" s="21" t="s">
        <v>107</v>
      </c>
      <c r="T47" s="22" t="s">
        <v>107</v>
      </c>
      <c r="U47" s="21" t="s">
        <v>107</v>
      </c>
      <c r="V47" s="22" t="s">
        <v>107</v>
      </c>
    </row>
    <row r="48" spans="1:22">
      <c r="A48" s="15" t="s">
        <v>147</v>
      </c>
      <c r="B48" s="17" t="n">
        <v>4682</v>
      </c>
      <c r="C48" s="18">
        <f>(3490.0/B48*100)</f>
        <v/>
      </c>
      <c r="D48" s="19" t="n">
        <v>1192</v>
      </c>
      <c r="E48" s="18" t="n">
        <v>7.39922032</v>
      </c>
      <c r="F48" s="20" t="n">
        <v>0.9813271099999999</v>
      </c>
      <c r="G48" s="18" t="n">
        <v>89.70153116</v>
      </c>
      <c r="H48" s="20" t="n">
        <v>1.28401567</v>
      </c>
      <c r="I48" s="18" t="n">
        <v>0.00066239</v>
      </c>
      <c r="J48" s="20" t="n">
        <v>0.00066343</v>
      </c>
      <c r="K48" s="18" t="n">
        <v>0.26836499</v>
      </c>
      <c r="L48" s="20" t="n">
        <v>0.13419035</v>
      </c>
      <c r="M48" s="18" t="s">
        <v>105</v>
      </c>
      <c r="N48" s="20" t="s">
        <v>105</v>
      </c>
      <c r="O48" s="18" t="n">
        <v>0</v>
      </c>
      <c r="P48" s="20" t="n">
        <v>0</v>
      </c>
      <c r="Q48" s="18" t="n">
        <v>0</v>
      </c>
      <c r="R48" s="20" t="n">
        <v>0</v>
      </c>
      <c r="S48" s="18" t="n">
        <v>0</v>
      </c>
      <c r="T48" s="20" t="n">
        <v>0</v>
      </c>
      <c r="U48" s="18" t="n">
        <v>2.63022114</v>
      </c>
      <c r="V48" s="20" t="n">
        <v>0.74291117</v>
      </c>
    </row>
    <row r="49" spans="1:22">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c r="S49" s="21" t="s">
        <v>107</v>
      </c>
      <c r="T49" s="22" t="s">
        <v>107</v>
      </c>
      <c r="U49" s="21" t="s">
        <v>107</v>
      </c>
      <c r="V49" s="22" t="s">
        <v>107</v>
      </c>
    </row>
    <row r="50" spans="1:22">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c r="S50" s="21" t="s">
        <v>107</v>
      </c>
      <c r="T50" s="22" t="s">
        <v>107</v>
      </c>
      <c r="U50" s="21" t="s">
        <v>107</v>
      </c>
      <c r="V50" s="22" t="s">
        <v>107</v>
      </c>
    </row>
    <row r="51" spans="1:22">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c r="S51" s="21" t="s">
        <v>107</v>
      </c>
      <c r="T51" s="22" t="s">
        <v>107</v>
      </c>
      <c r="U51" s="21" t="s">
        <v>107</v>
      </c>
      <c r="V51" s="22" t="s">
        <v>107</v>
      </c>
    </row>
    <row r="52" spans="1:22">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c r="S52" s="21" t="s">
        <v>107</v>
      </c>
      <c r="T52" s="22" t="s">
        <v>107</v>
      </c>
      <c r="U52" s="21" t="s">
        <v>107</v>
      </c>
      <c r="V52" s="22" t="s">
        <v>107</v>
      </c>
    </row>
    <row r="53" spans="1:22">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c r="S53" s="21" t="s">
        <v>107</v>
      </c>
      <c r="T53" s="22" t="s">
        <v>107</v>
      </c>
      <c r="U53" s="21" t="s">
        <v>107</v>
      </c>
      <c r="V53" s="22" t="s">
        <v>107</v>
      </c>
    </row>
    <row r="54" spans="1:22">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c r="S54" s="21" t="s">
        <v>107</v>
      </c>
      <c r="T54" s="22" t="s">
        <v>107</v>
      </c>
      <c r="U54" s="21" t="s">
        <v>107</v>
      </c>
      <c r="V54" s="22" t="s">
        <v>107</v>
      </c>
    </row>
    <row r="55" spans="1:22">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c r="S55" s="21" t="s">
        <v>107</v>
      </c>
      <c r="T55" s="22" t="s">
        <v>107</v>
      </c>
      <c r="U55" s="21" t="s">
        <v>107</v>
      </c>
      <c r="V55" s="22" t="s">
        <v>107</v>
      </c>
    </row>
    <row r="56" spans="1:22">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c r="S56" s="21" t="s">
        <v>107</v>
      </c>
      <c r="T56" s="22" t="s">
        <v>107</v>
      </c>
      <c r="U56" s="21" t="s">
        <v>107</v>
      </c>
      <c r="V56" s="22" t="s">
        <v>107</v>
      </c>
    </row>
    <row r="57" spans="1:22">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c r="S57" s="21" t="s">
        <v>107</v>
      </c>
      <c r="T57" s="22" t="s">
        <v>107</v>
      </c>
      <c r="U57" s="21" t="s">
        <v>107</v>
      </c>
      <c r="V57" s="22" t="s">
        <v>107</v>
      </c>
    </row>
    <row r="58" spans="1:22">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c r="S58" s="21" t="s">
        <v>107</v>
      </c>
      <c r="T58" s="22" t="s">
        <v>107</v>
      </c>
      <c r="U58" s="21" t="s">
        <v>107</v>
      </c>
      <c r="V58" s="22" t="s">
        <v>107</v>
      </c>
    </row>
    <row r="59" spans="1:22">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c r="S59" s="21" t="s">
        <v>107</v>
      </c>
      <c r="T59" s="22" t="s">
        <v>107</v>
      </c>
      <c r="U59" s="21" t="s">
        <v>107</v>
      </c>
      <c r="V59" s="22" t="s">
        <v>107</v>
      </c>
    </row>
    <row r="60" spans="1:22">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c r="S60" s="21" t="s">
        <v>107</v>
      </c>
      <c r="T60" s="22" t="s">
        <v>107</v>
      </c>
      <c r="U60" s="21" t="s">
        <v>107</v>
      </c>
      <c r="V60" s="22" t="s">
        <v>107</v>
      </c>
    </row>
    <row r="61" spans="1:22">
      <c r="A61" s="15" t="s">
        <v>160</v>
      </c>
      <c r="B61" s="17" t="n">
        <v>3201</v>
      </c>
      <c r="C61" s="18">
        <f>(2359.0/B61*100)</f>
        <v/>
      </c>
      <c r="D61" s="19" t="n">
        <v>842</v>
      </c>
      <c r="E61" s="18" t="n">
        <v>18.71932761</v>
      </c>
      <c r="F61" s="20" t="n">
        <v>1.62028057</v>
      </c>
      <c r="G61" s="18" t="n">
        <v>70.93053264</v>
      </c>
      <c r="H61" s="20" t="n">
        <v>1.97237434</v>
      </c>
      <c r="I61" s="18" t="n">
        <v>0.52395569</v>
      </c>
      <c r="J61" s="20" t="n">
        <v>0.25906709</v>
      </c>
      <c r="K61" s="18" t="n">
        <v>0.65088162</v>
      </c>
      <c r="L61" s="20" t="n">
        <v>0.33446525</v>
      </c>
      <c r="M61" s="18" t="s">
        <v>105</v>
      </c>
      <c r="N61" s="20" t="s">
        <v>105</v>
      </c>
      <c r="O61" s="18" t="n">
        <v>0.15233772</v>
      </c>
      <c r="P61" s="20" t="n">
        <v>0.15847621</v>
      </c>
      <c r="Q61" s="18" t="n">
        <v>0.13917818</v>
      </c>
      <c r="R61" s="20" t="n">
        <v>0.12531181</v>
      </c>
      <c r="S61" s="18" t="n">
        <v>0</v>
      </c>
      <c r="T61" s="20" t="n">
        <v>0</v>
      </c>
      <c r="U61" s="18" t="n">
        <v>8.883786539999999</v>
      </c>
      <c r="V61" s="20" t="n">
        <v>1.12686096</v>
      </c>
    </row>
    <row r="62" spans="1:22">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c r="S62" s="21" t="s">
        <v>107</v>
      </c>
      <c r="T62" s="22" t="s">
        <v>107</v>
      </c>
      <c r="U62" s="21" t="s">
        <v>107</v>
      </c>
      <c r="V62" s="22" t="s">
        <v>107</v>
      </c>
    </row>
    <row r="63" spans="1:22">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c r="S63" s="21" t="s">
        <v>107</v>
      </c>
      <c r="T63" s="22" t="s">
        <v>107</v>
      </c>
      <c r="U63" s="21" t="s">
        <v>107</v>
      </c>
      <c r="V63" s="22" t="s">
        <v>107</v>
      </c>
    </row>
    <row r="64" spans="1:22">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c r="S64" s="21" t="s">
        <v>107</v>
      </c>
      <c r="T64" s="22" t="s">
        <v>107</v>
      </c>
      <c r="U64" s="21" t="s">
        <v>107</v>
      </c>
      <c r="V64" s="22" t="s">
        <v>107</v>
      </c>
    </row>
    <row r="65" spans="1:22">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c r="S65" s="21" t="s">
        <v>107</v>
      </c>
      <c r="T65" s="22" t="s">
        <v>107</v>
      </c>
      <c r="U65" s="21" t="s">
        <v>107</v>
      </c>
      <c r="V65" s="22" t="s">
        <v>107</v>
      </c>
    </row>
    <row r="66" spans="1:22">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c r="S66" s="21" t="s">
        <v>107</v>
      </c>
      <c r="T66" s="22" t="s">
        <v>107</v>
      </c>
      <c r="U66" s="21" t="s">
        <v>107</v>
      </c>
      <c r="V66" s="22" t="s">
        <v>107</v>
      </c>
    </row>
    <row r="67" spans="1:22">
      <c r="A67" s="15" t="s">
        <v>166</v>
      </c>
      <c r="B67" s="17" t="n">
        <v>3460</v>
      </c>
      <c r="C67" s="18">
        <f>(2595.0/B67*100)</f>
        <v/>
      </c>
      <c r="D67" s="19" t="n">
        <v>865</v>
      </c>
      <c r="E67" s="18" t="n">
        <v>43.75219826</v>
      </c>
      <c r="F67" s="20" t="n">
        <v>1.85003917</v>
      </c>
      <c r="G67" s="18" t="n">
        <v>50.57563569</v>
      </c>
      <c r="H67" s="20" t="n">
        <v>1.92153358</v>
      </c>
      <c r="I67" s="18" t="n">
        <v>0.54220764</v>
      </c>
      <c r="J67" s="20" t="n">
        <v>0.27254412</v>
      </c>
      <c r="K67" s="18" t="n">
        <v>1.28866889</v>
      </c>
      <c r="L67" s="20" t="n">
        <v>0.37946098</v>
      </c>
      <c r="M67" s="18" t="s">
        <v>105</v>
      </c>
      <c r="N67" s="20" t="s">
        <v>105</v>
      </c>
      <c r="O67" s="18" t="n">
        <v>0</v>
      </c>
      <c r="P67" s="20" t="n">
        <v>0</v>
      </c>
      <c r="Q67" s="18" t="n">
        <v>0</v>
      </c>
      <c r="R67" s="20" t="n">
        <v>0</v>
      </c>
      <c r="S67" s="18" t="n">
        <v>0</v>
      </c>
      <c r="T67" s="20" t="n">
        <v>0</v>
      </c>
      <c r="U67" s="18" t="n">
        <v>3.84128952</v>
      </c>
      <c r="V67" s="20" t="n">
        <v>0.77095486</v>
      </c>
    </row>
    <row r="68" spans="1:22">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c r="S68" s="21" t="s">
        <v>107</v>
      </c>
      <c r="T68" s="22" t="s">
        <v>107</v>
      </c>
      <c r="U68" s="21" t="s">
        <v>107</v>
      </c>
      <c r="V68" s="22" t="s">
        <v>107</v>
      </c>
    </row>
    <row r="69" spans="1:22">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c r="S69" s="21" t="s">
        <v>107</v>
      </c>
      <c r="T69" s="22" t="s">
        <v>107</v>
      </c>
      <c r="U69" s="21" t="s">
        <v>107</v>
      </c>
      <c r="V69" s="22" t="s">
        <v>107</v>
      </c>
    </row>
    <row r="70" spans="1:22">
      <c r="A70" s="15" t="s">
        <v>169</v>
      </c>
      <c r="B70" s="17" t="n">
        <v>3107</v>
      </c>
      <c r="C70" s="18">
        <f>(2333.0/B70*100)</f>
        <v/>
      </c>
      <c r="D70" s="19" t="n">
        <v>774</v>
      </c>
      <c r="E70" s="18" t="n">
        <v>16.04716362</v>
      </c>
      <c r="F70" s="20" t="n">
        <v>1.65967182</v>
      </c>
      <c r="G70" s="18" t="n">
        <v>77.45948629</v>
      </c>
      <c r="H70" s="20" t="n">
        <v>1.95445202</v>
      </c>
      <c r="I70" s="18" t="n">
        <v>0.18401696</v>
      </c>
      <c r="J70" s="20" t="n">
        <v>0.10942773</v>
      </c>
      <c r="K70" s="18" t="n">
        <v>1.08069203</v>
      </c>
      <c r="L70" s="20" t="n">
        <v>0.32350949</v>
      </c>
      <c r="M70" s="18" t="s">
        <v>105</v>
      </c>
      <c r="N70" s="20" t="s">
        <v>105</v>
      </c>
      <c r="O70" s="18" t="n">
        <v>0.30278404</v>
      </c>
      <c r="P70" s="20" t="n">
        <v>0.29925514</v>
      </c>
      <c r="Q70" s="18" t="n">
        <v>0</v>
      </c>
      <c r="R70" s="20" t="n">
        <v>0</v>
      </c>
      <c r="S70" s="18" t="n">
        <v>0</v>
      </c>
      <c r="T70" s="20" t="n">
        <v>0</v>
      </c>
      <c r="U70" s="18" t="n">
        <v>4.92585705</v>
      </c>
      <c r="V70" s="20" t="n">
        <v>0.88412612</v>
      </c>
    </row>
    <row r="71" spans="1:22">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c r="S71" s="21" t="s">
        <v>107</v>
      </c>
      <c r="T71" s="22" t="s">
        <v>107</v>
      </c>
      <c r="U71" s="21" t="s">
        <v>107</v>
      </c>
      <c r="V71" s="22" t="s">
        <v>107</v>
      </c>
    </row>
    <row r="72" spans="1:22">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c r="S72" s="21" t="s">
        <v>107</v>
      </c>
      <c r="T72" s="22" t="s">
        <v>107</v>
      </c>
      <c r="U72" s="21" t="s">
        <v>107</v>
      </c>
      <c r="V72" s="22" t="s">
        <v>107</v>
      </c>
    </row>
    <row r="73" spans="1:22">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c r="S73" s="21" t="s">
        <v>107</v>
      </c>
      <c r="T73" s="22" t="s">
        <v>107</v>
      </c>
      <c r="U73" s="21" t="s">
        <v>107</v>
      </c>
      <c r="V73" s="22" t="s">
        <v>107</v>
      </c>
    </row>
    <row r="74" spans="1:22">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c r="S74" s="21" t="s">
        <v>107</v>
      </c>
      <c r="T74" s="22" t="s">
        <v>107</v>
      </c>
      <c r="U74" s="21" t="s">
        <v>107</v>
      </c>
      <c r="V74" s="22" t="s">
        <v>107</v>
      </c>
    </row>
    <row r="75" spans="1:22">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c r="S75" s="21" t="s">
        <v>107</v>
      </c>
      <c r="T75" s="22" t="s">
        <v>107</v>
      </c>
      <c r="U75" s="21" t="s">
        <v>107</v>
      </c>
      <c r="V75" s="22" t="s">
        <v>107</v>
      </c>
    </row>
    <row r="76" spans="1:22">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c r="S76" s="21" t="s">
        <v>107</v>
      </c>
      <c r="T76" s="22" t="s">
        <v>107</v>
      </c>
      <c r="U76" s="21" t="s">
        <v>107</v>
      </c>
      <c r="V76" s="22" t="s">
        <v>107</v>
      </c>
    </row>
    <row r="77" spans="1:22">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c r="S77" s="21" t="s">
        <v>107</v>
      </c>
      <c r="T77" s="22" t="s">
        <v>107</v>
      </c>
      <c r="U77" s="21" t="s">
        <v>107</v>
      </c>
      <c r="V77" s="22" t="s">
        <v>107</v>
      </c>
    </row>
    <row r="78" spans="1:22">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c r="S78" s="21" t="s">
        <v>107</v>
      </c>
      <c r="T78" s="22" t="s">
        <v>107</v>
      </c>
      <c r="U78" s="21" t="s">
        <v>107</v>
      </c>
      <c r="V78" s="22" t="s">
        <v>107</v>
      </c>
    </row>
    <row customHeight="1" ht="25" r="79" spans="1:22">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c r="S79" s="21" t="s">
        <v>107</v>
      </c>
      <c r="T79" s="22" t="s">
        <v>107</v>
      </c>
      <c r="U79" s="21" t="s">
        <v>107</v>
      </c>
      <c r="V79" s="22" t="s">
        <v>107</v>
      </c>
    </row>
    <row r="80" spans="1:22">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c r="S80" s="21" t="s">
        <v>107</v>
      </c>
      <c r="T80" s="22" t="s">
        <v>107</v>
      </c>
      <c r="U80" s="21" t="s">
        <v>107</v>
      </c>
      <c r="V80" s="22" t="s">
        <v>107</v>
      </c>
    </row>
    <row r="81" spans="1:22">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c r="S81" s="21" t="s">
        <v>107</v>
      </c>
      <c r="T81" s="22" t="s">
        <v>107</v>
      </c>
      <c r="U81" s="21" t="s">
        <v>107</v>
      </c>
      <c r="V81" s="22" t="s">
        <v>107</v>
      </c>
    </row>
    <row r="82" spans="1:22">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c r="S82" s="24" t="s">
        <v>181</v>
      </c>
      <c r="T82" s="24" t="s">
        <v>181</v>
      </c>
      <c r="U82" s="24" t="s">
        <v>181</v>
      </c>
      <c r="V82" s="24" t="s">
        <v>181</v>
      </c>
    </row>
    <row r="83" spans="1:22">
      <c r="A83" s="3" t="s">
        <v>182</v>
      </c>
    </row>
    <row r="84" spans="1:22">
      <c r="A84" s="25" t="s">
        <v>183</v>
      </c>
    </row>
    <row r="85" spans="1:22">
      <c r="A85" s="25" t="s">
        <v>184</v>
      </c>
    </row>
    <row customHeight="1" ht="30" r="86" spans="1:22">
      <c r="A86" s="25" t="s">
        <v>185</v>
      </c>
    </row>
    <row customHeight="1" ht="30" r="87" spans="1:22">
      <c r="A87" s="25" t="s">
        <v>181</v>
      </c>
    </row>
    <row customHeight="1" ht="30" r="88" spans="1:22">
      <c r="A88" s="25" t="s">
        <v>186</v>
      </c>
    </row>
    <row customHeight="1" ht="30" r="89" spans="1:22">
      <c r="A89" s="25" t="s">
        <v>187</v>
      </c>
    </row>
    <row customHeight="1" ht="30" r="90" spans="1:22">
      <c r="A90" s="25" t="s">
        <v>188</v>
      </c>
    </row>
    <row customHeight="1" ht="30" r="91" spans="1:22">
      <c r="A91" s="25" t="s">
        <v>189</v>
      </c>
    </row>
    <row customHeight="1" ht="30" r="92" spans="1:22">
      <c r="A92" s="25" t="s">
        <v>190</v>
      </c>
    </row>
    <row customHeight="1" ht="30" r="93" spans="1:22">
      <c r="A93" s="25" t="s">
        <v>191</v>
      </c>
    </row>
    <row customHeight="1" ht="30" r="94" spans="1:22">
      <c r="A94" s="25" t="s">
        <v>192</v>
      </c>
    </row>
    <row customHeight="1" ht="30" r="95" spans="1:22">
      <c r="A95" s="25" t="s">
        <v>193</v>
      </c>
    </row>
    <row customHeight="1" ht="30" r="96" spans="1:22">
      <c r="A96" s="25" t="s">
        <v>194</v>
      </c>
    </row>
    <row customHeight="1" ht="30" r="97" spans="1:22">
      <c r="A97" s="25" t="s">
        <v>195</v>
      </c>
    </row>
  </sheetData>
  <mergeCells count="25">
    <mergeCell ref="E4:F4"/>
    <mergeCell ref="G4:H4"/>
    <mergeCell ref="I4:J4"/>
    <mergeCell ref="K4:L4"/>
    <mergeCell ref="M4:N4"/>
    <mergeCell ref="O4:P4"/>
    <mergeCell ref="Q4:R4"/>
    <mergeCell ref="S4:T4"/>
    <mergeCell ref="U4:V4"/>
    <mergeCell ref="A1:V1"/>
    <mergeCell ref="A2:V2"/>
    <mergeCell ref="A84:V84"/>
    <mergeCell ref="A85:V85"/>
    <mergeCell ref="A86:V86"/>
    <mergeCell ref="A87:V87"/>
    <mergeCell ref="A88:V88"/>
    <mergeCell ref="A89:V89"/>
    <mergeCell ref="A90:V90"/>
    <mergeCell ref="A91:V91"/>
    <mergeCell ref="A92:V92"/>
    <mergeCell ref="A93:V93"/>
    <mergeCell ref="A94:V94"/>
    <mergeCell ref="A95:V95"/>
    <mergeCell ref="A96:V96"/>
    <mergeCell ref="A97:V97"/>
  </mergeCells>
  <pageMargins bottom="1" footer="0.5" header="0.5" left="0.75" right="0.75" top="1"/>
</worksheet>
</file>

<file path=xl/worksheets/sheet3.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196</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7163</v>
      </c>
      <c r="C7" s="18">
        <f>(285.0/B7*100)</f>
        <v/>
      </c>
      <c r="D7" s="19" t="n">
        <v>6878</v>
      </c>
      <c r="E7" s="18" t="n">
        <v>10.16682702</v>
      </c>
      <c r="F7" s="20" t="n">
        <v>0.46825054</v>
      </c>
      <c r="G7" s="18" t="n">
        <v>88.65167852</v>
      </c>
      <c r="H7" s="20" t="n">
        <v>0.53787418</v>
      </c>
      <c r="I7" s="18" t="s">
        <v>105</v>
      </c>
      <c r="J7" s="20" t="s">
        <v>105</v>
      </c>
      <c r="K7" s="18" t="n">
        <v>0.34950335</v>
      </c>
      <c r="L7" s="20" t="n">
        <v>0.08912634</v>
      </c>
      <c r="M7" s="18" t="n">
        <v>0</v>
      </c>
      <c r="N7" s="20" t="n">
        <v>0</v>
      </c>
      <c r="O7" s="18" t="n">
        <v>0</v>
      </c>
      <c r="P7" s="20" t="n">
        <v>0</v>
      </c>
      <c r="Q7" s="18" t="n">
        <v>0.83199111</v>
      </c>
      <c r="R7" s="20" t="n">
        <v>0.16329452</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2795</v>
      </c>
      <c r="C9" s="18">
        <f>(2143.0/B9*100)</f>
        <v/>
      </c>
      <c r="D9" s="19" t="n">
        <v>652</v>
      </c>
      <c r="E9" s="18" t="n">
        <v>9.10492906</v>
      </c>
      <c r="F9" s="20" t="n">
        <v>1.16192875</v>
      </c>
      <c r="G9" s="18" t="n">
        <v>90.89507094</v>
      </c>
      <c r="H9" s="20" t="n">
        <v>1.16192875</v>
      </c>
      <c r="I9" s="18" t="s">
        <v>105</v>
      </c>
      <c r="J9" s="20" t="s">
        <v>105</v>
      </c>
      <c r="K9" s="18" t="n">
        <v>0</v>
      </c>
      <c r="L9" s="20" t="n">
        <v>0</v>
      </c>
      <c r="M9" s="18" t="n">
        <v>0</v>
      </c>
      <c r="N9" s="20" t="n">
        <v>0</v>
      </c>
      <c r="O9" s="18" t="n">
        <v>0</v>
      </c>
      <c r="P9" s="20" t="n">
        <v>0</v>
      </c>
      <c r="Q9" s="18" t="n">
        <v>0</v>
      </c>
      <c r="R9" s="20" t="n">
        <v>0</v>
      </c>
    </row>
    <row r="10" spans="1:18">
      <c r="A10" s="15" t="s">
        <v>109</v>
      </c>
      <c r="B10" s="17" t="n">
        <v>6602</v>
      </c>
      <c r="C10" s="18">
        <f>(5012.0/B10*100)</f>
        <v/>
      </c>
      <c r="D10" s="19" t="n">
        <v>1590</v>
      </c>
      <c r="E10" s="18" t="n">
        <v>3.56347777</v>
      </c>
      <c r="F10" s="20" t="n">
        <v>0.78859198</v>
      </c>
      <c r="G10" s="18" t="n">
        <v>95.77689098</v>
      </c>
      <c r="H10" s="20" t="n">
        <v>0.84000754</v>
      </c>
      <c r="I10" s="18" t="s">
        <v>105</v>
      </c>
      <c r="J10" s="20" t="s">
        <v>105</v>
      </c>
      <c r="K10" s="18" t="n">
        <v>0.02403624</v>
      </c>
      <c r="L10" s="20" t="n">
        <v>0.02538196</v>
      </c>
      <c r="M10" s="18" t="n">
        <v>0</v>
      </c>
      <c r="N10" s="20" t="n">
        <v>0</v>
      </c>
      <c r="O10" s="18" t="n">
        <v>0</v>
      </c>
      <c r="P10" s="20" t="n">
        <v>0</v>
      </c>
      <c r="Q10" s="18" t="n">
        <v>0.635595</v>
      </c>
      <c r="R10" s="20" t="n">
        <v>0.30209718</v>
      </c>
    </row>
    <row r="11" spans="1:18">
      <c r="A11" s="15" t="s">
        <v>110</v>
      </c>
      <c r="B11" s="17" t="n">
        <v>3500</v>
      </c>
      <c r="C11" s="18">
        <f>(2606.0/B11*100)</f>
        <v/>
      </c>
      <c r="D11" s="19" t="n">
        <v>894</v>
      </c>
      <c r="E11" s="18" t="n">
        <v>22.55843404</v>
      </c>
      <c r="F11" s="20" t="n">
        <v>1.63889432</v>
      </c>
      <c r="G11" s="18" t="n">
        <v>76.43692969</v>
      </c>
      <c r="H11" s="20" t="n">
        <v>1.65908984</v>
      </c>
      <c r="I11" s="18" t="s">
        <v>105</v>
      </c>
      <c r="J11" s="20" t="s">
        <v>105</v>
      </c>
      <c r="K11" s="18" t="n">
        <v>0.21574873</v>
      </c>
      <c r="L11" s="20" t="n">
        <v>0.19574579</v>
      </c>
      <c r="M11" s="18" t="n">
        <v>0</v>
      </c>
      <c r="N11" s="20" t="n">
        <v>0</v>
      </c>
      <c r="O11" s="18" t="n">
        <v>0</v>
      </c>
      <c r="P11" s="20" t="n">
        <v>0</v>
      </c>
      <c r="Q11" s="18" t="n">
        <v>0.7888875400000001</v>
      </c>
      <c r="R11" s="20" t="n">
        <v>0.29709299</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5792</v>
      </c>
      <c r="C23" s="18">
        <f>(4448.0/B23*100)</f>
        <v/>
      </c>
      <c r="D23" s="19" t="n">
        <v>1344</v>
      </c>
      <c r="E23" s="18" t="n">
        <v>8.03078927</v>
      </c>
      <c r="F23" s="20" t="n">
        <v>1.3378804</v>
      </c>
      <c r="G23" s="18" t="n">
        <v>91.25184484</v>
      </c>
      <c r="H23" s="20" t="n">
        <v>1.35716547</v>
      </c>
      <c r="I23" s="18" t="s">
        <v>105</v>
      </c>
      <c r="J23" s="20" t="s">
        <v>105</v>
      </c>
      <c r="K23" s="18" t="n">
        <v>0.22913622</v>
      </c>
      <c r="L23" s="20" t="n">
        <v>0.1661516</v>
      </c>
      <c r="M23" s="18" t="n">
        <v>0</v>
      </c>
      <c r="N23" s="20" t="n">
        <v>0</v>
      </c>
      <c r="O23" s="18" t="n">
        <v>0</v>
      </c>
      <c r="P23" s="20" t="n">
        <v>0</v>
      </c>
      <c r="Q23" s="18" t="n">
        <v>0.48822966</v>
      </c>
      <c r="R23" s="20" t="n">
        <v>0.24385013</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2700</v>
      </c>
      <c r="C29" s="18">
        <f>(2020.0/B29*100)</f>
        <v/>
      </c>
      <c r="D29" s="19" t="n">
        <v>680</v>
      </c>
      <c r="E29" s="18" t="n">
        <v>15.99223556</v>
      </c>
      <c r="F29" s="20" t="n">
        <v>1.11587017</v>
      </c>
      <c r="G29" s="18" t="n">
        <v>83.87949798</v>
      </c>
      <c r="H29" s="20" t="n">
        <v>1.1181143</v>
      </c>
      <c r="I29" s="18" t="s">
        <v>105</v>
      </c>
      <c r="J29" s="20" t="s">
        <v>105</v>
      </c>
      <c r="K29" s="18" t="n">
        <v>0.12826646</v>
      </c>
      <c r="L29" s="20" t="n">
        <v>0.13672156</v>
      </c>
      <c r="M29" s="18" t="n">
        <v>0</v>
      </c>
      <c r="N29" s="20" t="n">
        <v>0</v>
      </c>
      <c r="O29" s="18" t="n">
        <v>0</v>
      </c>
      <c r="P29" s="20" t="n">
        <v>0</v>
      </c>
      <c r="Q29" s="18" t="n">
        <v>0</v>
      </c>
      <c r="R29" s="20" t="n">
        <v>0</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2209</v>
      </c>
      <c r="C32" s="18">
        <f>(1355.0/B32*100)</f>
        <v/>
      </c>
      <c r="D32" s="19" t="n">
        <v>854</v>
      </c>
      <c r="E32" s="18" t="n">
        <v>7.812959</v>
      </c>
      <c r="F32" s="20" t="n">
        <v>0.95932744</v>
      </c>
      <c r="G32" s="18" t="n">
        <v>91.84147163999999</v>
      </c>
      <c r="H32" s="20" t="n">
        <v>0.98411279</v>
      </c>
      <c r="I32" s="18" t="s">
        <v>105</v>
      </c>
      <c r="J32" s="20" t="s">
        <v>105</v>
      </c>
      <c r="K32" s="18" t="n">
        <v>0.13847374</v>
      </c>
      <c r="L32" s="20" t="n">
        <v>0.14614768</v>
      </c>
      <c r="M32" s="18" t="n">
        <v>0</v>
      </c>
      <c r="N32" s="20" t="n">
        <v>0</v>
      </c>
      <c r="O32" s="18" t="n">
        <v>0</v>
      </c>
      <c r="P32" s="20" t="n">
        <v>0</v>
      </c>
      <c r="Q32" s="18" t="n">
        <v>0.20709562</v>
      </c>
      <c r="R32" s="20" t="n">
        <v>0.14603818</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3035</v>
      </c>
      <c r="C34" s="18">
        <f>(2300.0/B34*100)</f>
        <v/>
      </c>
      <c r="D34" s="19" t="n">
        <v>735</v>
      </c>
      <c r="E34" s="18" t="n">
        <v>25.32522407</v>
      </c>
      <c r="F34" s="20" t="n">
        <v>2.11709209</v>
      </c>
      <c r="G34" s="18" t="n">
        <v>73.07251092</v>
      </c>
      <c r="H34" s="20" t="n">
        <v>2.1476867</v>
      </c>
      <c r="I34" s="18" t="s">
        <v>105</v>
      </c>
      <c r="J34" s="20" t="s">
        <v>105</v>
      </c>
      <c r="K34" s="18" t="n">
        <v>0.10041724</v>
      </c>
      <c r="L34" s="20" t="n">
        <v>0.09961396</v>
      </c>
      <c r="M34" s="18" t="n">
        <v>0</v>
      </c>
      <c r="N34" s="20" t="n">
        <v>0</v>
      </c>
      <c r="O34" s="18" t="n">
        <v>0</v>
      </c>
      <c r="P34" s="20" t="n">
        <v>0</v>
      </c>
      <c r="Q34" s="18" t="n">
        <v>1.50184776</v>
      </c>
      <c r="R34" s="20" t="n">
        <v>0.40399971</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3404</v>
      </c>
      <c r="C36" s="18">
        <f>(2529.0/B36*100)</f>
        <v/>
      </c>
      <c r="D36" s="19" t="n">
        <v>875</v>
      </c>
      <c r="E36" s="18" t="n">
        <v>16.46426944</v>
      </c>
      <c r="F36" s="20" t="n">
        <v>1.47129048</v>
      </c>
      <c r="G36" s="18" t="n">
        <v>83.30488087000001</v>
      </c>
      <c r="H36" s="20" t="n">
        <v>1.52129229</v>
      </c>
      <c r="I36" s="18" t="s">
        <v>105</v>
      </c>
      <c r="J36" s="20" t="s">
        <v>105</v>
      </c>
      <c r="K36" s="18" t="n">
        <v>0</v>
      </c>
      <c r="L36" s="20" t="n">
        <v>0</v>
      </c>
      <c r="M36" s="18" t="n">
        <v>0</v>
      </c>
      <c r="N36" s="20" t="n">
        <v>0</v>
      </c>
      <c r="O36" s="18" t="n">
        <v>0</v>
      </c>
      <c r="P36" s="20" t="n">
        <v>0</v>
      </c>
      <c r="Q36" s="18" t="n">
        <v>0.23084968</v>
      </c>
      <c r="R36" s="20" t="n">
        <v>0.1616032</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2854</v>
      </c>
      <c r="C41" s="18">
        <f>(2130.0/B41*100)</f>
        <v/>
      </c>
      <c r="D41" s="19" t="n">
        <v>724</v>
      </c>
      <c r="E41" s="18" t="n">
        <v>8.691056489999999</v>
      </c>
      <c r="F41" s="20" t="n">
        <v>1.09851974</v>
      </c>
      <c r="G41" s="18" t="n">
        <v>90.97593123999999</v>
      </c>
      <c r="H41" s="20" t="n">
        <v>1.14961058</v>
      </c>
      <c r="I41" s="18" t="s">
        <v>105</v>
      </c>
      <c r="J41" s="20" t="s">
        <v>105</v>
      </c>
      <c r="K41" s="18" t="n">
        <v>0</v>
      </c>
      <c r="L41" s="20" t="n">
        <v>0</v>
      </c>
      <c r="M41" s="18" t="n">
        <v>0</v>
      </c>
      <c r="N41" s="20" t="n">
        <v>0</v>
      </c>
      <c r="O41" s="18" t="n">
        <v>0</v>
      </c>
      <c r="P41" s="20" t="n">
        <v>0</v>
      </c>
      <c r="Q41" s="18" t="n">
        <v>0.33301227</v>
      </c>
      <c r="R41" s="20" t="n">
        <v>0.19643039</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12073</v>
      </c>
      <c r="C46" s="18">
        <f>(9337.0/B46*100)</f>
        <v/>
      </c>
      <c r="D46" s="19" t="n">
        <v>2736</v>
      </c>
      <c r="E46" s="18" t="n">
        <v>32.75226675</v>
      </c>
      <c r="F46" s="20" t="n">
        <v>1.27619516</v>
      </c>
      <c r="G46" s="18" t="n">
        <v>61.62340027</v>
      </c>
      <c r="H46" s="20" t="n">
        <v>1.41333413</v>
      </c>
      <c r="I46" s="18" t="s">
        <v>105</v>
      </c>
      <c r="J46" s="20" t="s">
        <v>105</v>
      </c>
      <c r="K46" s="18" t="n">
        <v>0.72604903</v>
      </c>
      <c r="L46" s="20" t="n">
        <v>0.21489006</v>
      </c>
      <c r="M46" s="18" t="n">
        <v>0</v>
      </c>
      <c r="N46" s="20" t="n">
        <v>0</v>
      </c>
      <c r="O46" s="18" t="n">
        <v>0</v>
      </c>
      <c r="P46" s="20" t="n">
        <v>0</v>
      </c>
      <c r="Q46" s="18" t="n">
        <v>4.89828395</v>
      </c>
      <c r="R46" s="20" t="n">
        <v>0.72190202</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4682</v>
      </c>
      <c r="C48" s="18">
        <f>(3490.0/B48*100)</f>
        <v/>
      </c>
      <c r="D48" s="19" t="n">
        <v>1192</v>
      </c>
      <c r="E48" s="18" t="n">
        <v>36.05622043</v>
      </c>
      <c r="F48" s="20" t="n">
        <v>1.98586088</v>
      </c>
      <c r="G48" s="18" t="n">
        <v>63.87943521</v>
      </c>
      <c r="H48" s="20" t="n">
        <v>1.98466462</v>
      </c>
      <c r="I48" s="18" t="s">
        <v>105</v>
      </c>
      <c r="J48" s="20" t="s">
        <v>105</v>
      </c>
      <c r="K48" s="18" t="n">
        <v>0.06434436</v>
      </c>
      <c r="L48" s="20" t="n">
        <v>0.06451257000000001</v>
      </c>
      <c r="M48" s="18" t="n">
        <v>0</v>
      </c>
      <c r="N48" s="20" t="n">
        <v>0</v>
      </c>
      <c r="O48" s="18" t="n">
        <v>0</v>
      </c>
      <c r="P48" s="20" t="n">
        <v>0</v>
      </c>
      <c r="Q48" s="18" t="n">
        <v>0</v>
      </c>
      <c r="R48" s="20" t="n">
        <v>0</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3201</v>
      </c>
      <c r="C61" s="18">
        <f>(2357.0/B61*100)</f>
        <v/>
      </c>
      <c r="D61" s="19" t="n">
        <v>844</v>
      </c>
      <c r="E61" s="18" t="n">
        <v>14.94450324</v>
      </c>
      <c r="F61" s="20" t="n">
        <v>1.5109604</v>
      </c>
      <c r="G61" s="18" t="n">
        <v>84.41879795</v>
      </c>
      <c r="H61" s="20" t="n">
        <v>1.50951538</v>
      </c>
      <c r="I61" s="18" t="s">
        <v>105</v>
      </c>
      <c r="J61" s="20" t="s">
        <v>105</v>
      </c>
      <c r="K61" s="18" t="n">
        <v>0.15209773</v>
      </c>
      <c r="L61" s="20" t="n">
        <v>0.1584732</v>
      </c>
      <c r="M61" s="18" t="n">
        <v>0</v>
      </c>
      <c r="N61" s="20" t="n">
        <v>0</v>
      </c>
      <c r="O61" s="18" t="n">
        <v>0</v>
      </c>
      <c r="P61" s="20" t="n">
        <v>0</v>
      </c>
      <c r="Q61" s="18" t="n">
        <v>0.48460108</v>
      </c>
      <c r="R61" s="20" t="n">
        <v>0.24780038</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3460</v>
      </c>
      <c r="C67" s="18">
        <f>(2570.0/B67*100)</f>
        <v/>
      </c>
      <c r="D67" s="19" t="n">
        <v>890</v>
      </c>
      <c r="E67" s="18" t="n">
        <v>41.20816132</v>
      </c>
      <c r="F67" s="20" t="n">
        <v>1.82662836</v>
      </c>
      <c r="G67" s="18" t="n">
        <v>58.28365552</v>
      </c>
      <c r="H67" s="20" t="n">
        <v>1.85474569</v>
      </c>
      <c r="I67" s="18" t="s">
        <v>105</v>
      </c>
      <c r="J67" s="20" t="s">
        <v>105</v>
      </c>
      <c r="K67" s="18" t="n">
        <v>0</v>
      </c>
      <c r="L67" s="20" t="n">
        <v>0</v>
      </c>
      <c r="M67" s="18" t="n">
        <v>0</v>
      </c>
      <c r="N67" s="20" t="n">
        <v>0</v>
      </c>
      <c r="O67" s="18" t="n">
        <v>0</v>
      </c>
      <c r="P67" s="20" t="n">
        <v>0</v>
      </c>
      <c r="Q67" s="18" t="n">
        <v>0.50818317</v>
      </c>
      <c r="R67" s="20" t="n">
        <v>0.229585</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3107</v>
      </c>
      <c r="C70" s="18">
        <f>(2315.0/B70*100)</f>
        <v/>
      </c>
      <c r="D70" s="19" t="n">
        <v>792</v>
      </c>
      <c r="E70" s="18" t="n">
        <v>9.34132393</v>
      </c>
      <c r="F70" s="20" t="n">
        <v>1.02629549</v>
      </c>
      <c r="G70" s="18" t="n">
        <v>90.46308332</v>
      </c>
      <c r="H70" s="20" t="n">
        <v>1.03265901</v>
      </c>
      <c r="I70" s="18" t="s">
        <v>105</v>
      </c>
      <c r="J70" s="20" t="s">
        <v>105</v>
      </c>
      <c r="K70" s="18" t="n">
        <v>0</v>
      </c>
      <c r="L70" s="20" t="n">
        <v>0</v>
      </c>
      <c r="M70" s="18" t="n">
        <v>0</v>
      </c>
      <c r="N70" s="20" t="n">
        <v>0</v>
      </c>
      <c r="O70" s="18" t="n">
        <v>0</v>
      </c>
      <c r="P70" s="20" t="n">
        <v>0</v>
      </c>
      <c r="Q70" s="18" t="n">
        <v>0.19559276</v>
      </c>
      <c r="R70" s="20" t="n">
        <v>0.11965141</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30.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235</v>
      </c>
    </row>
    <row customHeight="1" ht="30" r="4" spans="1:18">
      <c r="A4" s="6" t="n"/>
      <c r="B4" s="7" t="s">
        <v>89</v>
      </c>
      <c r="C4" s="7" t="s">
        <v>90</v>
      </c>
      <c r="D4" s="8" t="s">
        <v>89</v>
      </c>
      <c r="E4" s="9" t="s">
        <v>199</v>
      </c>
      <c r="F4" s="10" t="n"/>
      <c r="G4" s="9" t="s">
        <v>200</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7163</v>
      </c>
      <c r="C7" s="18">
        <f>(317.0/B7*100)</f>
        <v/>
      </c>
      <c r="D7" s="19" t="n">
        <v>6846</v>
      </c>
      <c r="E7" s="18" t="n">
        <v>46.87964</v>
      </c>
      <c r="F7" s="20" t="n">
        <v>0.81018194</v>
      </c>
      <c r="G7" s="18" t="n">
        <v>45.16374495</v>
      </c>
      <c r="H7" s="20" t="n">
        <v>0.76875836</v>
      </c>
      <c r="I7" s="18" t="s">
        <v>105</v>
      </c>
      <c r="J7" s="20" t="s">
        <v>105</v>
      </c>
      <c r="K7" s="18" t="n">
        <v>0.3327479</v>
      </c>
      <c r="L7" s="20" t="n">
        <v>0.07637829</v>
      </c>
      <c r="M7" s="18" t="n">
        <v>0.01109916</v>
      </c>
      <c r="N7" s="20" t="n">
        <v>0.00290239</v>
      </c>
      <c r="O7" s="18" t="n">
        <v>0</v>
      </c>
      <c r="P7" s="20" t="n">
        <v>0</v>
      </c>
      <c r="Q7" s="18" t="n">
        <v>7.61276799</v>
      </c>
      <c r="R7" s="20" t="n">
        <v>0.41029817</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2795</v>
      </c>
      <c r="C9" s="18">
        <f>(2144.0/B9*100)</f>
        <v/>
      </c>
      <c r="D9" s="19" t="n">
        <v>651</v>
      </c>
      <c r="E9" s="18" t="n">
        <v>31.93923518</v>
      </c>
      <c r="F9" s="20" t="n">
        <v>1.66761572</v>
      </c>
      <c r="G9" s="18" t="n">
        <v>63.20675797</v>
      </c>
      <c r="H9" s="20" t="n">
        <v>1.8268006</v>
      </c>
      <c r="I9" s="18" t="s">
        <v>105</v>
      </c>
      <c r="J9" s="20" t="s">
        <v>105</v>
      </c>
      <c r="K9" s="18" t="n">
        <v>0.16800893</v>
      </c>
      <c r="L9" s="20" t="n">
        <v>0.26611722</v>
      </c>
      <c r="M9" s="18" t="n">
        <v>0.78547594</v>
      </c>
      <c r="N9" s="20" t="n">
        <v>0.30301005</v>
      </c>
      <c r="O9" s="18" t="n">
        <v>0</v>
      </c>
      <c r="P9" s="20" t="n">
        <v>0</v>
      </c>
      <c r="Q9" s="18" t="n">
        <v>3.90052198</v>
      </c>
      <c r="R9" s="20" t="n">
        <v>0.86567087</v>
      </c>
    </row>
    <row r="10" spans="1:18">
      <c r="A10" s="15" t="s">
        <v>109</v>
      </c>
      <c r="B10" s="17" t="n">
        <v>6602</v>
      </c>
      <c r="C10" s="18">
        <f>(5010.0/B10*100)</f>
        <v/>
      </c>
      <c r="D10" s="19" t="n">
        <v>1592</v>
      </c>
      <c r="E10" s="18" t="n">
        <v>33.65443664</v>
      </c>
      <c r="F10" s="20" t="n">
        <v>1.79845457</v>
      </c>
      <c r="G10" s="18" t="n">
        <v>62.90786056</v>
      </c>
      <c r="H10" s="20" t="n">
        <v>1.84368434</v>
      </c>
      <c r="I10" s="18" t="s">
        <v>105</v>
      </c>
      <c r="J10" s="20" t="s">
        <v>105</v>
      </c>
      <c r="K10" s="18" t="n">
        <v>0.1986262</v>
      </c>
      <c r="L10" s="20" t="n">
        <v>0.19860827</v>
      </c>
      <c r="M10" s="18" t="n">
        <v>0.21958026</v>
      </c>
      <c r="N10" s="20" t="n">
        <v>0.1862472</v>
      </c>
      <c r="O10" s="18" t="n">
        <v>0</v>
      </c>
      <c r="P10" s="20" t="n">
        <v>0</v>
      </c>
      <c r="Q10" s="18" t="n">
        <v>3.01949634</v>
      </c>
      <c r="R10" s="20" t="n">
        <v>0.64197539</v>
      </c>
    </row>
    <row r="11" spans="1:18">
      <c r="A11" s="15" t="s">
        <v>110</v>
      </c>
      <c r="B11" s="17" t="n">
        <v>3500</v>
      </c>
      <c r="C11" s="18">
        <f>(2610.0/B11*100)</f>
        <v/>
      </c>
      <c r="D11" s="19" t="n">
        <v>890</v>
      </c>
      <c r="E11" s="18" t="n">
        <v>63.80440222</v>
      </c>
      <c r="F11" s="20" t="n">
        <v>2.00845284</v>
      </c>
      <c r="G11" s="18" t="n">
        <v>24.86872223</v>
      </c>
      <c r="H11" s="20" t="n">
        <v>1.8443395</v>
      </c>
      <c r="I11" s="18" t="s">
        <v>105</v>
      </c>
      <c r="J11" s="20" t="s">
        <v>105</v>
      </c>
      <c r="K11" s="18" t="n">
        <v>0.30822715</v>
      </c>
      <c r="L11" s="20" t="n">
        <v>0.23651739</v>
      </c>
      <c r="M11" s="18" t="n">
        <v>1.40338968</v>
      </c>
      <c r="N11" s="20" t="n">
        <v>0.61511212</v>
      </c>
      <c r="O11" s="18" t="n">
        <v>0</v>
      </c>
      <c r="P11" s="20" t="n">
        <v>0</v>
      </c>
      <c r="Q11" s="18" t="n">
        <v>9.61525874</v>
      </c>
      <c r="R11" s="20" t="n">
        <v>1.41049407</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5792</v>
      </c>
      <c r="C23" s="18">
        <f>(4451.0/B23*100)</f>
        <v/>
      </c>
      <c r="D23" s="19" t="n">
        <v>1341</v>
      </c>
      <c r="E23" s="18" t="n">
        <v>66.59176764999999</v>
      </c>
      <c r="F23" s="20" t="n">
        <v>1.97636154</v>
      </c>
      <c r="G23" s="18" t="n">
        <v>21.4116587</v>
      </c>
      <c r="H23" s="20" t="n">
        <v>1.57642659</v>
      </c>
      <c r="I23" s="18" t="s">
        <v>105</v>
      </c>
      <c r="J23" s="20" t="s">
        <v>105</v>
      </c>
      <c r="K23" s="18" t="n">
        <v>0.23444431</v>
      </c>
      <c r="L23" s="20" t="n">
        <v>0.1671512</v>
      </c>
      <c r="M23" s="18" t="n">
        <v>0</v>
      </c>
      <c r="N23" s="20" t="n">
        <v>0</v>
      </c>
      <c r="O23" s="18" t="n">
        <v>0</v>
      </c>
      <c r="P23" s="20" t="n">
        <v>0</v>
      </c>
      <c r="Q23" s="18" t="n">
        <v>11.76212934</v>
      </c>
      <c r="R23" s="20" t="n">
        <v>1.37716428</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2700</v>
      </c>
      <c r="C29" s="18">
        <f>(2020.0/B29*100)</f>
        <v/>
      </c>
      <c r="D29" s="19" t="n">
        <v>680</v>
      </c>
      <c r="E29" s="18" t="n">
        <v>46.89446873</v>
      </c>
      <c r="F29" s="20" t="n">
        <v>2.03633222</v>
      </c>
      <c r="G29" s="18" t="n">
        <v>49.75941656</v>
      </c>
      <c r="H29" s="20" t="n">
        <v>2.01613259</v>
      </c>
      <c r="I29" s="18" t="s">
        <v>105</v>
      </c>
      <c r="J29" s="20" t="s">
        <v>105</v>
      </c>
      <c r="K29" s="18" t="n">
        <v>0</v>
      </c>
      <c r="L29" s="20" t="n">
        <v>0</v>
      </c>
      <c r="M29" s="18" t="n">
        <v>0</v>
      </c>
      <c r="N29" s="20" t="n">
        <v>0</v>
      </c>
      <c r="O29" s="18" t="n">
        <v>0</v>
      </c>
      <c r="P29" s="20" t="n">
        <v>0</v>
      </c>
      <c r="Q29" s="18" t="n">
        <v>3.34611471</v>
      </c>
      <c r="R29" s="20" t="n">
        <v>0.79482821</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2209</v>
      </c>
      <c r="C32" s="18">
        <f>(1356.0/B32*100)</f>
        <v/>
      </c>
      <c r="D32" s="19" t="n">
        <v>853</v>
      </c>
      <c r="E32" s="18" t="n">
        <v>57.05648206</v>
      </c>
      <c r="F32" s="20" t="n">
        <v>1.70223559</v>
      </c>
      <c r="G32" s="18" t="n">
        <v>33.35152131</v>
      </c>
      <c r="H32" s="20" t="n">
        <v>1.54283176</v>
      </c>
      <c r="I32" s="18" t="s">
        <v>105</v>
      </c>
      <c r="J32" s="20" t="s">
        <v>105</v>
      </c>
      <c r="K32" s="18" t="n">
        <v>0.24469358</v>
      </c>
      <c r="L32" s="20" t="n">
        <v>0.18098644</v>
      </c>
      <c r="M32" s="18" t="n">
        <v>0.49697506</v>
      </c>
      <c r="N32" s="20" t="n">
        <v>0.52915958</v>
      </c>
      <c r="O32" s="18" t="n">
        <v>0</v>
      </c>
      <c r="P32" s="20" t="n">
        <v>0</v>
      </c>
      <c r="Q32" s="18" t="n">
        <v>8.850327979999999</v>
      </c>
      <c r="R32" s="20" t="n">
        <v>1.20938362</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3035</v>
      </c>
      <c r="C34" s="18">
        <f>(2302.0/B34*100)</f>
        <v/>
      </c>
      <c r="D34" s="19" t="n">
        <v>733</v>
      </c>
      <c r="E34" s="18" t="n">
        <v>62.43144816</v>
      </c>
      <c r="F34" s="20" t="n">
        <v>1.9730545</v>
      </c>
      <c r="G34" s="18" t="n">
        <v>24.13552652</v>
      </c>
      <c r="H34" s="20" t="n">
        <v>1.91825918</v>
      </c>
      <c r="I34" s="18" t="s">
        <v>105</v>
      </c>
      <c r="J34" s="20" t="s">
        <v>105</v>
      </c>
      <c r="K34" s="18" t="n">
        <v>0.35927861</v>
      </c>
      <c r="L34" s="20" t="n">
        <v>0.23667531</v>
      </c>
      <c r="M34" s="18" t="n">
        <v>0</v>
      </c>
      <c r="N34" s="20" t="n">
        <v>0</v>
      </c>
      <c r="O34" s="18" t="n">
        <v>0</v>
      </c>
      <c r="P34" s="20" t="n">
        <v>0</v>
      </c>
      <c r="Q34" s="18" t="n">
        <v>13.07374671</v>
      </c>
      <c r="R34" s="20" t="n">
        <v>1.43792587</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3404</v>
      </c>
      <c r="C36" s="18">
        <f>(2533.0/B36*100)</f>
        <v/>
      </c>
      <c r="D36" s="19" t="n">
        <v>871</v>
      </c>
      <c r="E36" s="18" t="n">
        <v>49.10736799</v>
      </c>
      <c r="F36" s="20" t="n">
        <v>1.77793558</v>
      </c>
      <c r="G36" s="18" t="n">
        <v>41.00597544</v>
      </c>
      <c r="H36" s="20" t="n">
        <v>1.79077146</v>
      </c>
      <c r="I36" s="18" t="s">
        <v>105</v>
      </c>
      <c r="J36" s="20" t="s">
        <v>105</v>
      </c>
      <c r="K36" s="18" t="n">
        <v>0.23884688</v>
      </c>
      <c r="L36" s="20" t="n">
        <v>0.16955254</v>
      </c>
      <c r="M36" s="18" t="n">
        <v>0</v>
      </c>
      <c r="N36" s="20" t="n">
        <v>0</v>
      </c>
      <c r="O36" s="18" t="n">
        <v>0</v>
      </c>
      <c r="P36" s="20" t="n">
        <v>0</v>
      </c>
      <c r="Q36" s="18" t="n">
        <v>9.64780968</v>
      </c>
      <c r="R36" s="20" t="n">
        <v>1.12967491</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2854</v>
      </c>
      <c r="C41" s="18">
        <f>(2128.0/B41*100)</f>
        <v/>
      </c>
      <c r="D41" s="19" t="n">
        <v>726</v>
      </c>
      <c r="E41" s="18" t="n">
        <v>54.57707506</v>
      </c>
      <c r="F41" s="20" t="n">
        <v>2.13608535</v>
      </c>
      <c r="G41" s="18" t="n">
        <v>43.52179123</v>
      </c>
      <c r="H41" s="20" t="n">
        <v>2.19933268</v>
      </c>
      <c r="I41" s="18" t="s">
        <v>105</v>
      </c>
      <c r="J41" s="20" t="s">
        <v>105</v>
      </c>
      <c r="K41" s="18" t="n">
        <v>0</v>
      </c>
      <c r="L41" s="20" t="n">
        <v>0</v>
      </c>
      <c r="M41" s="18" t="n">
        <v>0</v>
      </c>
      <c r="N41" s="20" t="n">
        <v>0</v>
      </c>
      <c r="O41" s="18" t="n">
        <v>0</v>
      </c>
      <c r="P41" s="20" t="n">
        <v>0</v>
      </c>
      <c r="Q41" s="18" t="n">
        <v>1.90113371</v>
      </c>
      <c r="R41" s="20" t="n">
        <v>0.58596526</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12073</v>
      </c>
      <c r="C46" s="18">
        <f>(9462.0/B46*100)</f>
        <v/>
      </c>
      <c r="D46" s="19" t="n">
        <v>2611</v>
      </c>
      <c r="E46" s="18" t="n">
        <v>61.2850104</v>
      </c>
      <c r="F46" s="20" t="n">
        <v>1.3330246</v>
      </c>
      <c r="G46" s="18" t="n">
        <v>16.33922193</v>
      </c>
      <c r="H46" s="20" t="n">
        <v>1.1455793</v>
      </c>
      <c r="I46" s="18" t="s">
        <v>105</v>
      </c>
      <c r="J46" s="20" t="s">
        <v>105</v>
      </c>
      <c r="K46" s="18" t="n">
        <v>1.5708086</v>
      </c>
      <c r="L46" s="20" t="n">
        <v>0.36073608</v>
      </c>
      <c r="M46" s="18" t="n">
        <v>0</v>
      </c>
      <c r="N46" s="20" t="n">
        <v>0</v>
      </c>
      <c r="O46" s="18" t="n">
        <v>0</v>
      </c>
      <c r="P46" s="20" t="n">
        <v>0</v>
      </c>
      <c r="Q46" s="18" t="n">
        <v>20.80495907</v>
      </c>
      <c r="R46" s="20" t="n">
        <v>1.05252632</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4682</v>
      </c>
      <c r="C48" s="18">
        <f>(3490.0/B48*100)</f>
        <v/>
      </c>
      <c r="D48" s="19" t="n">
        <v>1192</v>
      </c>
      <c r="E48" s="18" t="n">
        <v>33.66361193</v>
      </c>
      <c r="F48" s="20" t="n">
        <v>1.96527411</v>
      </c>
      <c r="G48" s="18" t="n">
        <v>62.98348964</v>
      </c>
      <c r="H48" s="20" t="n">
        <v>2.14878316</v>
      </c>
      <c r="I48" s="18" t="s">
        <v>105</v>
      </c>
      <c r="J48" s="20" t="s">
        <v>105</v>
      </c>
      <c r="K48" s="18" t="n">
        <v>0</v>
      </c>
      <c r="L48" s="20" t="n">
        <v>0</v>
      </c>
      <c r="M48" s="18" t="n">
        <v>0</v>
      </c>
      <c r="N48" s="20" t="n">
        <v>0</v>
      </c>
      <c r="O48" s="18" t="n">
        <v>0</v>
      </c>
      <c r="P48" s="20" t="n">
        <v>0</v>
      </c>
      <c r="Q48" s="18" t="n">
        <v>3.35289843</v>
      </c>
      <c r="R48" s="20" t="n">
        <v>0.66910149</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3201</v>
      </c>
      <c r="C61" s="18">
        <f>(2358.0/B61*100)</f>
        <v/>
      </c>
      <c r="D61" s="19" t="n">
        <v>843</v>
      </c>
      <c r="E61" s="18" t="n">
        <v>64.19041798000001</v>
      </c>
      <c r="F61" s="20" t="n">
        <v>1.63165052</v>
      </c>
      <c r="G61" s="18" t="n">
        <v>23.60668125</v>
      </c>
      <c r="H61" s="20" t="n">
        <v>1.34481519</v>
      </c>
      <c r="I61" s="18" t="s">
        <v>105</v>
      </c>
      <c r="J61" s="20" t="s">
        <v>105</v>
      </c>
      <c r="K61" s="18" t="n">
        <v>0.15212997</v>
      </c>
      <c r="L61" s="20" t="n">
        <v>0.15825606</v>
      </c>
      <c r="M61" s="18" t="n">
        <v>0.13898838</v>
      </c>
      <c r="N61" s="20" t="n">
        <v>0.12513775</v>
      </c>
      <c r="O61" s="18" t="n">
        <v>0</v>
      </c>
      <c r="P61" s="20" t="n">
        <v>0</v>
      </c>
      <c r="Q61" s="18" t="n">
        <v>11.91178242</v>
      </c>
      <c r="R61" s="20" t="n">
        <v>1.33693923</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3460</v>
      </c>
      <c r="C67" s="18">
        <f>(2595.0/B67*100)</f>
        <v/>
      </c>
      <c r="D67" s="19" t="n">
        <v>865</v>
      </c>
      <c r="E67" s="18" t="n">
        <v>63.01539682</v>
      </c>
      <c r="F67" s="20" t="n">
        <v>1.68948335</v>
      </c>
      <c r="G67" s="18" t="n">
        <v>32.26789656</v>
      </c>
      <c r="H67" s="20" t="n">
        <v>1.71845168</v>
      </c>
      <c r="I67" s="18" t="s">
        <v>105</v>
      </c>
      <c r="J67" s="20" t="s">
        <v>105</v>
      </c>
      <c r="K67" s="18" t="n">
        <v>0</v>
      </c>
      <c r="L67" s="20" t="n">
        <v>0</v>
      </c>
      <c r="M67" s="18" t="n">
        <v>0</v>
      </c>
      <c r="N67" s="20" t="n">
        <v>0</v>
      </c>
      <c r="O67" s="18" t="n">
        <v>0</v>
      </c>
      <c r="P67" s="20" t="n">
        <v>0</v>
      </c>
      <c r="Q67" s="18" t="n">
        <v>4.71670662</v>
      </c>
      <c r="R67" s="20" t="n">
        <v>0.8339949</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3107</v>
      </c>
      <c r="C70" s="18">
        <f>(2332.0/B70*100)</f>
        <v/>
      </c>
      <c r="D70" s="19" t="n">
        <v>775</v>
      </c>
      <c r="E70" s="18" t="n">
        <v>58.58105115</v>
      </c>
      <c r="F70" s="20" t="n">
        <v>2.03386015</v>
      </c>
      <c r="G70" s="18" t="n">
        <v>33.35741017</v>
      </c>
      <c r="H70" s="20" t="n">
        <v>1.97623254</v>
      </c>
      <c r="I70" s="18" t="s">
        <v>105</v>
      </c>
      <c r="J70" s="20" t="s">
        <v>105</v>
      </c>
      <c r="K70" s="18" t="n">
        <v>0.30247799</v>
      </c>
      <c r="L70" s="20" t="n">
        <v>0.29895569</v>
      </c>
      <c r="M70" s="18" t="n">
        <v>0.06828776</v>
      </c>
      <c r="N70" s="20" t="n">
        <v>0.09773829000000001</v>
      </c>
      <c r="O70" s="18" t="n">
        <v>0</v>
      </c>
      <c r="P70" s="20" t="n">
        <v>0</v>
      </c>
      <c r="Q70" s="18" t="n">
        <v>7.69077293</v>
      </c>
      <c r="R70" s="20" t="n">
        <v>1.18813469</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31.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236</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7163</v>
      </c>
      <c r="C7" s="18">
        <f>(355.0/B7*100)</f>
        <v/>
      </c>
      <c r="D7" s="19" t="n">
        <v>6808</v>
      </c>
      <c r="E7" s="18" t="n">
        <v>24.09933304</v>
      </c>
      <c r="F7" s="20" t="n">
        <v>0.75075125</v>
      </c>
      <c r="G7" s="18" t="n">
        <v>74.31455543</v>
      </c>
      <c r="H7" s="20" t="n">
        <v>0.7892633</v>
      </c>
      <c r="I7" s="18" t="s">
        <v>105</v>
      </c>
      <c r="J7" s="20" t="s">
        <v>105</v>
      </c>
      <c r="K7" s="18" t="n">
        <v>0.34923849</v>
      </c>
      <c r="L7" s="20" t="n">
        <v>0.07840366999999999</v>
      </c>
      <c r="M7" s="18" t="n">
        <v>0</v>
      </c>
      <c r="N7" s="20" t="n">
        <v>0</v>
      </c>
      <c r="O7" s="18" t="n">
        <v>0</v>
      </c>
      <c r="P7" s="20" t="n">
        <v>0</v>
      </c>
      <c r="Q7" s="18" t="n">
        <v>1.23687304</v>
      </c>
      <c r="R7" s="20" t="n">
        <v>0.15693364</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2795</v>
      </c>
      <c r="C9" s="18">
        <f>(2145.0/B9*100)</f>
        <v/>
      </c>
      <c r="D9" s="19" t="n">
        <v>650</v>
      </c>
      <c r="E9" s="18" t="n">
        <v>19.18081477</v>
      </c>
      <c r="F9" s="20" t="n">
        <v>1.65025461</v>
      </c>
      <c r="G9" s="18" t="n">
        <v>79.95658254</v>
      </c>
      <c r="H9" s="20" t="n">
        <v>1.65650812</v>
      </c>
      <c r="I9" s="18" t="s">
        <v>105</v>
      </c>
      <c r="J9" s="20" t="s">
        <v>105</v>
      </c>
      <c r="K9" s="18" t="n">
        <v>0.31515127</v>
      </c>
      <c r="L9" s="20" t="n">
        <v>0.34253609</v>
      </c>
      <c r="M9" s="18" t="n">
        <v>0</v>
      </c>
      <c r="N9" s="20" t="n">
        <v>0</v>
      </c>
      <c r="O9" s="18" t="n">
        <v>0</v>
      </c>
      <c r="P9" s="20" t="n">
        <v>0</v>
      </c>
      <c r="Q9" s="18" t="n">
        <v>0.54745142</v>
      </c>
      <c r="R9" s="20" t="n">
        <v>0.32306428</v>
      </c>
    </row>
    <row r="10" spans="1:18">
      <c r="A10" s="15" t="s">
        <v>109</v>
      </c>
      <c r="B10" s="17" t="n">
        <v>6602</v>
      </c>
      <c r="C10" s="18">
        <f>(5013.0/B10*100)</f>
        <v/>
      </c>
      <c r="D10" s="19" t="n">
        <v>1589</v>
      </c>
      <c r="E10" s="18" t="n">
        <v>23.71322949</v>
      </c>
      <c r="F10" s="20" t="n">
        <v>1.41493451</v>
      </c>
      <c r="G10" s="18" t="n">
        <v>75.84305426</v>
      </c>
      <c r="H10" s="20" t="n">
        <v>1.46030257</v>
      </c>
      <c r="I10" s="18" t="s">
        <v>105</v>
      </c>
      <c r="J10" s="20" t="s">
        <v>105</v>
      </c>
      <c r="K10" s="18" t="n">
        <v>0.19898456</v>
      </c>
      <c r="L10" s="20" t="n">
        <v>0.19896541</v>
      </c>
      <c r="M10" s="18" t="n">
        <v>0</v>
      </c>
      <c r="N10" s="20" t="n">
        <v>0</v>
      </c>
      <c r="O10" s="18" t="n">
        <v>0</v>
      </c>
      <c r="P10" s="20" t="n">
        <v>0</v>
      </c>
      <c r="Q10" s="18" t="n">
        <v>0.24473169</v>
      </c>
      <c r="R10" s="20" t="n">
        <v>0.14902031</v>
      </c>
    </row>
    <row r="11" spans="1:18">
      <c r="A11" s="15" t="s">
        <v>110</v>
      </c>
      <c r="B11" s="17" t="n">
        <v>3500</v>
      </c>
      <c r="C11" s="18">
        <f>(2610.0/B11*100)</f>
        <v/>
      </c>
      <c r="D11" s="19" t="n">
        <v>890</v>
      </c>
      <c r="E11" s="18" t="n">
        <v>45.87301832</v>
      </c>
      <c r="F11" s="20" t="n">
        <v>1.86756719</v>
      </c>
      <c r="G11" s="18" t="n">
        <v>52.35634429</v>
      </c>
      <c r="H11" s="20" t="n">
        <v>1.8986007</v>
      </c>
      <c r="I11" s="18" t="s">
        <v>105</v>
      </c>
      <c r="J11" s="20" t="s">
        <v>105</v>
      </c>
      <c r="K11" s="18" t="n">
        <v>0.30822715</v>
      </c>
      <c r="L11" s="20" t="n">
        <v>0.23651739</v>
      </c>
      <c r="M11" s="18" t="n">
        <v>0</v>
      </c>
      <c r="N11" s="20" t="n">
        <v>0</v>
      </c>
      <c r="O11" s="18" t="n">
        <v>0</v>
      </c>
      <c r="P11" s="20" t="n">
        <v>0</v>
      </c>
      <c r="Q11" s="18" t="n">
        <v>1.46241024</v>
      </c>
      <c r="R11" s="20" t="n">
        <v>0.45419072</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5792</v>
      </c>
      <c r="C23" s="18">
        <f>(4455.0/B23*100)</f>
        <v/>
      </c>
      <c r="D23" s="19" t="n">
        <v>1337</v>
      </c>
      <c r="E23" s="18" t="n">
        <v>35.66405904</v>
      </c>
      <c r="F23" s="20" t="n">
        <v>1.94720996</v>
      </c>
      <c r="G23" s="18" t="n">
        <v>63.50673203</v>
      </c>
      <c r="H23" s="20" t="n">
        <v>2.00025324</v>
      </c>
      <c r="I23" s="18" t="s">
        <v>105</v>
      </c>
      <c r="J23" s="20" t="s">
        <v>105</v>
      </c>
      <c r="K23" s="18" t="n">
        <v>0.23525241</v>
      </c>
      <c r="L23" s="20" t="n">
        <v>0.16768997</v>
      </c>
      <c r="M23" s="18" t="n">
        <v>0</v>
      </c>
      <c r="N23" s="20" t="n">
        <v>0</v>
      </c>
      <c r="O23" s="18" t="n">
        <v>0</v>
      </c>
      <c r="P23" s="20" t="n">
        <v>0</v>
      </c>
      <c r="Q23" s="18" t="n">
        <v>0.59395651</v>
      </c>
      <c r="R23" s="20" t="n">
        <v>0.34261009</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2700</v>
      </c>
      <c r="C29" s="18">
        <f>(2020.0/B29*100)</f>
        <v/>
      </c>
      <c r="D29" s="19" t="n">
        <v>680</v>
      </c>
      <c r="E29" s="18" t="n">
        <v>30.76039986</v>
      </c>
      <c r="F29" s="20" t="n">
        <v>1.64314884</v>
      </c>
      <c r="G29" s="18" t="n">
        <v>68.89419546000001</v>
      </c>
      <c r="H29" s="20" t="n">
        <v>1.64373912</v>
      </c>
      <c r="I29" s="18" t="s">
        <v>105</v>
      </c>
      <c r="J29" s="20" t="s">
        <v>105</v>
      </c>
      <c r="K29" s="18" t="n">
        <v>0</v>
      </c>
      <c r="L29" s="20" t="n">
        <v>0</v>
      </c>
      <c r="M29" s="18" t="n">
        <v>0</v>
      </c>
      <c r="N29" s="20" t="n">
        <v>0</v>
      </c>
      <c r="O29" s="18" t="n">
        <v>0</v>
      </c>
      <c r="P29" s="20" t="n">
        <v>0</v>
      </c>
      <c r="Q29" s="18" t="n">
        <v>0.34540467</v>
      </c>
      <c r="R29" s="20" t="n">
        <v>0.03605208</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2209</v>
      </c>
      <c r="C32" s="18">
        <f>(1356.0/B32*100)</f>
        <v/>
      </c>
      <c r="D32" s="19" t="n">
        <v>853</v>
      </c>
      <c r="E32" s="18" t="n">
        <v>26.8810932</v>
      </c>
      <c r="F32" s="20" t="n">
        <v>1.70383454</v>
      </c>
      <c r="G32" s="18" t="n">
        <v>72.77531653</v>
      </c>
      <c r="H32" s="20" t="n">
        <v>1.75661595</v>
      </c>
      <c r="I32" s="18" t="s">
        <v>105</v>
      </c>
      <c r="J32" s="20" t="s">
        <v>105</v>
      </c>
      <c r="K32" s="18" t="n">
        <v>0.24469358</v>
      </c>
      <c r="L32" s="20" t="n">
        <v>0.18098644</v>
      </c>
      <c r="M32" s="18" t="n">
        <v>0</v>
      </c>
      <c r="N32" s="20" t="n">
        <v>0</v>
      </c>
      <c r="O32" s="18" t="n">
        <v>0</v>
      </c>
      <c r="P32" s="20" t="n">
        <v>0</v>
      </c>
      <c r="Q32" s="18" t="n">
        <v>0.09889669</v>
      </c>
      <c r="R32" s="20" t="n">
        <v>0.09879382</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3035</v>
      </c>
      <c r="C34" s="18">
        <f>(2304.0/B34*100)</f>
        <v/>
      </c>
      <c r="D34" s="19" t="n">
        <v>731</v>
      </c>
      <c r="E34" s="18" t="n">
        <v>49.55945649</v>
      </c>
      <c r="F34" s="20" t="n">
        <v>2.12018285</v>
      </c>
      <c r="G34" s="18" t="n">
        <v>48.20199253</v>
      </c>
      <c r="H34" s="20" t="n">
        <v>2.06262349</v>
      </c>
      <c r="I34" s="18" t="s">
        <v>105</v>
      </c>
      <c r="J34" s="20" t="s">
        <v>105</v>
      </c>
      <c r="K34" s="18" t="n">
        <v>0.36006979</v>
      </c>
      <c r="L34" s="20" t="n">
        <v>0.23719601</v>
      </c>
      <c r="M34" s="18" t="n">
        <v>0</v>
      </c>
      <c r="N34" s="20" t="n">
        <v>0</v>
      </c>
      <c r="O34" s="18" t="n">
        <v>0</v>
      </c>
      <c r="P34" s="20" t="n">
        <v>0</v>
      </c>
      <c r="Q34" s="18" t="n">
        <v>1.87848119</v>
      </c>
      <c r="R34" s="20" t="n">
        <v>0.5533085</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3404</v>
      </c>
      <c r="C36" s="18">
        <f>(2534.0/B36*100)</f>
        <v/>
      </c>
      <c r="D36" s="19" t="n">
        <v>870</v>
      </c>
      <c r="E36" s="18" t="n">
        <v>33.6629076</v>
      </c>
      <c r="F36" s="20" t="n">
        <v>1.90961793</v>
      </c>
      <c r="G36" s="18" t="n">
        <v>65.49954425</v>
      </c>
      <c r="H36" s="20" t="n">
        <v>1.9805168</v>
      </c>
      <c r="I36" s="18" t="s">
        <v>105</v>
      </c>
      <c r="J36" s="20" t="s">
        <v>105</v>
      </c>
      <c r="K36" s="18" t="n">
        <v>0.32556564</v>
      </c>
      <c r="L36" s="20" t="n">
        <v>0.19039245</v>
      </c>
      <c r="M36" s="18" t="n">
        <v>0</v>
      </c>
      <c r="N36" s="20" t="n">
        <v>0</v>
      </c>
      <c r="O36" s="18" t="n">
        <v>0</v>
      </c>
      <c r="P36" s="20" t="n">
        <v>0</v>
      </c>
      <c r="Q36" s="18" t="n">
        <v>0.5119825099999999</v>
      </c>
      <c r="R36" s="20" t="n">
        <v>0.24821023</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2854</v>
      </c>
      <c r="C41" s="18">
        <f>(2130.0/B41*100)</f>
        <v/>
      </c>
      <c r="D41" s="19" t="n">
        <v>724</v>
      </c>
      <c r="E41" s="18" t="n">
        <v>34.0009258</v>
      </c>
      <c r="F41" s="20" t="n">
        <v>1.76103515</v>
      </c>
      <c r="G41" s="18" t="n">
        <v>65.68070919</v>
      </c>
      <c r="H41" s="20" t="n">
        <v>1.76966932</v>
      </c>
      <c r="I41" s="18" t="s">
        <v>105</v>
      </c>
      <c r="J41" s="20" t="s">
        <v>105</v>
      </c>
      <c r="K41" s="18" t="n">
        <v>0</v>
      </c>
      <c r="L41" s="20" t="n">
        <v>0</v>
      </c>
      <c r="M41" s="18" t="n">
        <v>0</v>
      </c>
      <c r="N41" s="20" t="n">
        <v>0</v>
      </c>
      <c r="O41" s="18" t="n">
        <v>0</v>
      </c>
      <c r="P41" s="20" t="n">
        <v>0</v>
      </c>
      <c r="Q41" s="18" t="n">
        <v>0.318365</v>
      </c>
      <c r="R41" s="20" t="n">
        <v>0.22380554</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12073</v>
      </c>
      <c r="C46" s="18">
        <f>(9508.0/B46*100)</f>
        <v/>
      </c>
      <c r="D46" s="19" t="n">
        <v>2565</v>
      </c>
      <c r="E46" s="18" t="n">
        <v>51.90837768</v>
      </c>
      <c r="F46" s="20" t="n">
        <v>1.32956237</v>
      </c>
      <c r="G46" s="18" t="n">
        <v>41.54740474</v>
      </c>
      <c r="H46" s="20" t="n">
        <v>1.32911585</v>
      </c>
      <c r="I46" s="18" t="s">
        <v>105</v>
      </c>
      <c r="J46" s="20" t="s">
        <v>105</v>
      </c>
      <c r="K46" s="18" t="n">
        <v>1.68351887</v>
      </c>
      <c r="L46" s="20" t="n">
        <v>0.37559571</v>
      </c>
      <c r="M46" s="18" t="n">
        <v>0</v>
      </c>
      <c r="N46" s="20" t="n">
        <v>0</v>
      </c>
      <c r="O46" s="18" t="n">
        <v>0</v>
      </c>
      <c r="P46" s="20" t="n">
        <v>0</v>
      </c>
      <c r="Q46" s="18" t="n">
        <v>4.86069871</v>
      </c>
      <c r="R46" s="20" t="n">
        <v>0.66728658</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4682</v>
      </c>
      <c r="C48" s="18">
        <f>(3491.0/B48*100)</f>
        <v/>
      </c>
      <c r="D48" s="19" t="n">
        <v>1191</v>
      </c>
      <c r="E48" s="18" t="n">
        <v>33.42798906</v>
      </c>
      <c r="F48" s="20" t="n">
        <v>1.83660546</v>
      </c>
      <c r="G48" s="18" t="n">
        <v>66.36153404</v>
      </c>
      <c r="H48" s="20" t="n">
        <v>1.85675167</v>
      </c>
      <c r="I48" s="18" t="s">
        <v>105</v>
      </c>
      <c r="J48" s="20" t="s">
        <v>105</v>
      </c>
      <c r="K48" s="18" t="n">
        <v>0</v>
      </c>
      <c r="L48" s="20" t="n">
        <v>0</v>
      </c>
      <c r="M48" s="18" t="n">
        <v>0</v>
      </c>
      <c r="N48" s="20" t="n">
        <v>0</v>
      </c>
      <c r="O48" s="18" t="n">
        <v>0</v>
      </c>
      <c r="P48" s="20" t="n">
        <v>0</v>
      </c>
      <c r="Q48" s="18" t="n">
        <v>0.2104769</v>
      </c>
      <c r="R48" s="20" t="n">
        <v>0.15973795</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3201</v>
      </c>
      <c r="C61" s="18">
        <f>(2359.0/B61*100)</f>
        <v/>
      </c>
      <c r="D61" s="19" t="n">
        <v>842</v>
      </c>
      <c r="E61" s="18" t="n">
        <v>39.34603909</v>
      </c>
      <c r="F61" s="20" t="n">
        <v>1.98329672</v>
      </c>
      <c r="G61" s="18" t="n">
        <v>59.45025525</v>
      </c>
      <c r="H61" s="20" t="n">
        <v>2.00915757</v>
      </c>
      <c r="I61" s="18" t="s">
        <v>105</v>
      </c>
      <c r="J61" s="20" t="s">
        <v>105</v>
      </c>
      <c r="K61" s="18" t="n">
        <v>0.15217317</v>
      </c>
      <c r="L61" s="20" t="n">
        <v>0.15830124</v>
      </c>
      <c r="M61" s="18" t="n">
        <v>0</v>
      </c>
      <c r="N61" s="20" t="n">
        <v>0</v>
      </c>
      <c r="O61" s="18" t="n">
        <v>0</v>
      </c>
      <c r="P61" s="20" t="n">
        <v>0</v>
      </c>
      <c r="Q61" s="18" t="n">
        <v>1.05153249</v>
      </c>
      <c r="R61" s="20" t="n">
        <v>0.40277843</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3460</v>
      </c>
      <c r="C67" s="18">
        <f>(2607.0/B67*100)</f>
        <v/>
      </c>
      <c r="D67" s="19" t="n">
        <v>853</v>
      </c>
      <c r="E67" s="18" t="n">
        <v>56.47344965</v>
      </c>
      <c r="F67" s="20" t="n">
        <v>1.90092507</v>
      </c>
      <c r="G67" s="18" t="n">
        <v>43.52655035</v>
      </c>
      <c r="H67" s="20" t="n">
        <v>1.90092507</v>
      </c>
      <c r="I67" s="18" t="s">
        <v>105</v>
      </c>
      <c r="J67" s="20" t="s">
        <v>105</v>
      </c>
      <c r="K67" s="18" t="n">
        <v>0</v>
      </c>
      <c r="L67" s="20" t="n">
        <v>0</v>
      </c>
      <c r="M67" s="18" t="n">
        <v>0</v>
      </c>
      <c r="N67" s="20" t="n">
        <v>0</v>
      </c>
      <c r="O67" s="18" t="n">
        <v>0</v>
      </c>
      <c r="P67" s="20" t="n">
        <v>0</v>
      </c>
      <c r="Q67" s="18" t="n">
        <v>0</v>
      </c>
      <c r="R67" s="20" t="n">
        <v>0</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3107</v>
      </c>
      <c r="C70" s="18">
        <f>(2334.0/B70*100)</f>
        <v/>
      </c>
      <c r="D70" s="19" t="n">
        <v>773</v>
      </c>
      <c r="E70" s="18" t="n">
        <v>45.00517173</v>
      </c>
      <c r="F70" s="20" t="n">
        <v>2.15546683</v>
      </c>
      <c r="G70" s="18" t="n">
        <v>54.40555356</v>
      </c>
      <c r="H70" s="20" t="n">
        <v>2.24914681</v>
      </c>
      <c r="I70" s="18" t="s">
        <v>105</v>
      </c>
      <c r="J70" s="20" t="s">
        <v>105</v>
      </c>
      <c r="K70" s="18" t="n">
        <v>0.30381839</v>
      </c>
      <c r="L70" s="20" t="n">
        <v>0.30026141</v>
      </c>
      <c r="M70" s="18" t="n">
        <v>0</v>
      </c>
      <c r="N70" s="20" t="n">
        <v>0</v>
      </c>
      <c r="O70" s="18" t="n">
        <v>0</v>
      </c>
      <c r="P70" s="20" t="n">
        <v>0</v>
      </c>
      <c r="Q70" s="18" t="n">
        <v>0.28545631</v>
      </c>
      <c r="R70" s="20" t="n">
        <v>0.170676</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32.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237</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7163</v>
      </c>
      <c r="C7" s="18">
        <f>(369.0/B7*100)</f>
        <v/>
      </c>
      <c r="D7" s="19" t="n">
        <v>6794</v>
      </c>
      <c r="E7" s="18" t="n">
        <v>41.51562263</v>
      </c>
      <c r="F7" s="20" t="n">
        <v>0.70052417</v>
      </c>
      <c r="G7" s="18" t="n">
        <v>56.34117977</v>
      </c>
      <c r="H7" s="20" t="n">
        <v>0.7665349299999999</v>
      </c>
      <c r="I7" s="18" t="s">
        <v>105</v>
      </c>
      <c r="J7" s="20" t="s">
        <v>105</v>
      </c>
      <c r="K7" s="18" t="n">
        <v>0.43384828</v>
      </c>
      <c r="L7" s="20" t="n">
        <v>0.08606542</v>
      </c>
      <c r="M7" s="18" t="n">
        <v>0</v>
      </c>
      <c r="N7" s="20" t="n">
        <v>0</v>
      </c>
      <c r="O7" s="18" t="n">
        <v>0</v>
      </c>
      <c r="P7" s="20" t="n">
        <v>0</v>
      </c>
      <c r="Q7" s="18" t="n">
        <v>1.70934932</v>
      </c>
      <c r="R7" s="20" t="n">
        <v>0.20317796</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2795</v>
      </c>
      <c r="C9" s="18">
        <f>(2145.0/B9*100)</f>
        <v/>
      </c>
      <c r="D9" s="19" t="n">
        <v>650</v>
      </c>
      <c r="E9" s="18" t="n">
        <v>26.88857534</v>
      </c>
      <c r="F9" s="20" t="n">
        <v>2.1125088</v>
      </c>
      <c r="G9" s="18" t="n">
        <v>72.30930222000001</v>
      </c>
      <c r="H9" s="20" t="n">
        <v>2.21219706</v>
      </c>
      <c r="I9" s="18" t="s">
        <v>105</v>
      </c>
      <c r="J9" s="20" t="s">
        <v>105</v>
      </c>
      <c r="K9" s="18" t="n">
        <v>0.31515127</v>
      </c>
      <c r="L9" s="20" t="n">
        <v>0.34253609</v>
      </c>
      <c r="M9" s="18" t="n">
        <v>0</v>
      </c>
      <c r="N9" s="20" t="n">
        <v>0</v>
      </c>
      <c r="O9" s="18" t="n">
        <v>0</v>
      </c>
      <c r="P9" s="20" t="n">
        <v>0</v>
      </c>
      <c r="Q9" s="18" t="n">
        <v>0.48697118</v>
      </c>
      <c r="R9" s="20" t="n">
        <v>0.23609932</v>
      </c>
    </row>
    <row r="10" spans="1:18">
      <c r="A10" s="15" t="s">
        <v>109</v>
      </c>
      <c r="B10" s="17" t="n">
        <v>6602</v>
      </c>
      <c r="C10" s="18">
        <f>(5013.0/B10*100)</f>
        <v/>
      </c>
      <c r="D10" s="19" t="n">
        <v>1589</v>
      </c>
      <c r="E10" s="18" t="n">
        <v>35.41145389</v>
      </c>
      <c r="F10" s="20" t="n">
        <v>1.56174886</v>
      </c>
      <c r="G10" s="18" t="n">
        <v>63.87251148</v>
      </c>
      <c r="H10" s="20" t="n">
        <v>1.60619513</v>
      </c>
      <c r="I10" s="18" t="s">
        <v>105</v>
      </c>
      <c r="J10" s="20" t="s">
        <v>105</v>
      </c>
      <c r="K10" s="18" t="n">
        <v>0.19898456</v>
      </c>
      <c r="L10" s="20" t="n">
        <v>0.19896541</v>
      </c>
      <c r="M10" s="18" t="n">
        <v>0</v>
      </c>
      <c r="N10" s="20" t="n">
        <v>0</v>
      </c>
      <c r="O10" s="18" t="n">
        <v>0</v>
      </c>
      <c r="P10" s="20" t="n">
        <v>0</v>
      </c>
      <c r="Q10" s="18" t="n">
        <v>0.51705007</v>
      </c>
      <c r="R10" s="20" t="n">
        <v>0.23078463</v>
      </c>
    </row>
    <row r="11" spans="1:18">
      <c r="A11" s="15" t="s">
        <v>110</v>
      </c>
      <c r="B11" s="17" t="n">
        <v>3500</v>
      </c>
      <c r="C11" s="18">
        <f>(2611.0/B11*100)</f>
        <v/>
      </c>
      <c r="D11" s="19" t="n">
        <v>889</v>
      </c>
      <c r="E11" s="18" t="n">
        <v>52.96808093</v>
      </c>
      <c r="F11" s="20" t="n">
        <v>2.15229884</v>
      </c>
      <c r="G11" s="18" t="n">
        <v>44.63026723</v>
      </c>
      <c r="H11" s="20" t="n">
        <v>2.1353986</v>
      </c>
      <c r="I11" s="18" t="s">
        <v>105</v>
      </c>
      <c r="J11" s="20" t="s">
        <v>105</v>
      </c>
      <c r="K11" s="18" t="n">
        <v>0.30864292</v>
      </c>
      <c r="L11" s="20" t="n">
        <v>0.23685677</v>
      </c>
      <c r="M11" s="18" t="n">
        <v>0</v>
      </c>
      <c r="N11" s="20" t="n">
        <v>0</v>
      </c>
      <c r="O11" s="18" t="n">
        <v>0</v>
      </c>
      <c r="P11" s="20" t="n">
        <v>0</v>
      </c>
      <c r="Q11" s="18" t="n">
        <v>2.09300892</v>
      </c>
      <c r="R11" s="20" t="n">
        <v>0.49210696</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5792</v>
      </c>
      <c r="C23" s="18">
        <f>(4455.0/B23*100)</f>
        <v/>
      </c>
      <c r="D23" s="19" t="n">
        <v>1337</v>
      </c>
      <c r="E23" s="18" t="n">
        <v>27.72158325</v>
      </c>
      <c r="F23" s="20" t="n">
        <v>1.89728161</v>
      </c>
      <c r="G23" s="18" t="n">
        <v>70.77208917999999</v>
      </c>
      <c r="H23" s="20" t="n">
        <v>1.91695091</v>
      </c>
      <c r="I23" s="18" t="s">
        <v>105</v>
      </c>
      <c r="J23" s="20" t="s">
        <v>105</v>
      </c>
      <c r="K23" s="18" t="n">
        <v>0.23525241</v>
      </c>
      <c r="L23" s="20" t="n">
        <v>0.16768997</v>
      </c>
      <c r="M23" s="18" t="n">
        <v>0</v>
      </c>
      <c r="N23" s="20" t="n">
        <v>0</v>
      </c>
      <c r="O23" s="18" t="n">
        <v>0</v>
      </c>
      <c r="P23" s="20" t="n">
        <v>0</v>
      </c>
      <c r="Q23" s="18" t="n">
        <v>1.27107516</v>
      </c>
      <c r="R23" s="20" t="n">
        <v>0.42624517</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2700</v>
      </c>
      <c r="C29" s="18">
        <f>(2020.0/B29*100)</f>
        <v/>
      </c>
      <c r="D29" s="19" t="n">
        <v>680</v>
      </c>
      <c r="E29" s="18" t="n">
        <v>35.47987178</v>
      </c>
      <c r="F29" s="20" t="n">
        <v>2.0021061</v>
      </c>
      <c r="G29" s="18" t="n">
        <v>63.52533657</v>
      </c>
      <c r="H29" s="20" t="n">
        <v>2.02476313</v>
      </c>
      <c r="I29" s="18" t="s">
        <v>105</v>
      </c>
      <c r="J29" s="20" t="s">
        <v>105</v>
      </c>
      <c r="K29" s="18" t="n">
        <v>0.12826646</v>
      </c>
      <c r="L29" s="20" t="n">
        <v>0.13672156</v>
      </c>
      <c r="M29" s="18" t="n">
        <v>0</v>
      </c>
      <c r="N29" s="20" t="n">
        <v>0</v>
      </c>
      <c r="O29" s="18" t="n">
        <v>0</v>
      </c>
      <c r="P29" s="20" t="n">
        <v>0</v>
      </c>
      <c r="Q29" s="18" t="n">
        <v>0.8665251899999999</v>
      </c>
      <c r="R29" s="20" t="n">
        <v>0.28331376</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2209</v>
      </c>
      <c r="C32" s="18">
        <f>(1356.0/B32*100)</f>
        <v/>
      </c>
      <c r="D32" s="19" t="n">
        <v>853</v>
      </c>
      <c r="E32" s="18" t="n">
        <v>41.49628174</v>
      </c>
      <c r="F32" s="20" t="n">
        <v>2.03309826</v>
      </c>
      <c r="G32" s="18" t="n">
        <v>57.94320698</v>
      </c>
      <c r="H32" s="20" t="n">
        <v>2.02726666</v>
      </c>
      <c r="I32" s="18" t="s">
        <v>105</v>
      </c>
      <c r="J32" s="20" t="s">
        <v>105</v>
      </c>
      <c r="K32" s="18" t="n">
        <v>0.24469358</v>
      </c>
      <c r="L32" s="20" t="n">
        <v>0.18098644</v>
      </c>
      <c r="M32" s="18" t="n">
        <v>0</v>
      </c>
      <c r="N32" s="20" t="n">
        <v>0</v>
      </c>
      <c r="O32" s="18" t="n">
        <v>0</v>
      </c>
      <c r="P32" s="20" t="n">
        <v>0</v>
      </c>
      <c r="Q32" s="18" t="n">
        <v>0.31581769</v>
      </c>
      <c r="R32" s="20" t="n">
        <v>0.18143893</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3035</v>
      </c>
      <c r="C34" s="18">
        <f>(2303.0/B34*100)</f>
        <v/>
      </c>
      <c r="D34" s="19" t="n">
        <v>732</v>
      </c>
      <c r="E34" s="18" t="n">
        <v>49.21974593</v>
      </c>
      <c r="F34" s="20" t="n">
        <v>2.13829208</v>
      </c>
      <c r="G34" s="18" t="n">
        <v>49.34059115</v>
      </c>
      <c r="H34" s="20" t="n">
        <v>2.18351977</v>
      </c>
      <c r="I34" s="18" t="s">
        <v>105</v>
      </c>
      <c r="J34" s="20" t="s">
        <v>105</v>
      </c>
      <c r="K34" s="18" t="n">
        <v>0.35974955</v>
      </c>
      <c r="L34" s="20" t="n">
        <v>0.23697287</v>
      </c>
      <c r="M34" s="18" t="n">
        <v>0</v>
      </c>
      <c r="N34" s="20" t="n">
        <v>0</v>
      </c>
      <c r="O34" s="18" t="n">
        <v>0</v>
      </c>
      <c r="P34" s="20" t="n">
        <v>0</v>
      </c>
      <c r="Q34" s="18" t="n">
        <v>1.07991337</v>
      </c>
      <c r="R34" s="20" t="n">
        <v>0.35348403</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3404</v>
      </c>
      <c r="C36" s="18">
        <f>(2535.0/B36*100)</f>
        <v/>
      </c>
      <c r="D36" s="19" t="n">
        <v>869</v>
      </c>
      <c r="E36" s="18" t="n">
        <v>46.9242012</v>
      </c>
      <c r="F36" s="20" t="n">
        <v>2.01611703</v>
      </c>
      <c r="G36" s="18" t="n">
        <v>51.49089341</v>
      </c>
      <c r="H36" s="20" t="n">
        <v>2.00627295</v>
      </c>
      <c r="I36" s="18" t="s">
        <v>105</v>
      </c>
      <c r="J36" s="20" t="s">
        <v>105</v>
      </c>
      <c r="K36" s="18" t="n">
        <v>0.32589913</v>
      </c>
      <c r="L36" s="20" t="n">
        <v>0.19059001</v>
      </c>
      <c r="M36" s="18" t="n">
        <v>0</v>
      </c>
      <c r="N36" s="20" t="n">
        <v>0</v>
      </c>
      <c r="O36" s="18" t="n">
        <v>0</v>
      </c>
      <c r="P36" s="20" t="n">
        <v>0</v>
      </c>
      <c r="Q36" s="18" t="n">
        <v>1.25900627</v>
      </c>
      <c r="R36" s="20" t="n">
        <v>0.40311281</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2854</v>
      </c>
      <c r="C41" s="18">
        <f>(2131.0/B41*100)</f>
        <v/>
      </c>
      <c r="D41" s="19" t="n">
        <v>723</v>
      </c>
      <c r="E41" s="18" t="n">
        <v>44.89292763</v>
      </c>
      <c r="F41" s="20" t="n">
        <v>2.23274647</v>
      </c>
      <c r="G41" s="18" t="n">
        <v>54.75257117</v>
      </c>
      <c r="H41" s="20" t="n">
        <v>2.25451396</v>
      </c>
      <c r="I41" s="18" t="s">
        <v>105</v>
      </c>
      <c r="J41" s="20" t="s">
        <v>105</v>
      </c>
      <c r="K41" s="18" t="n">
        <v>0</v>
      </c>
      <c r="L41" s="20" t="n">
        <v>0</v>
      </c>
      <c r="M41" s="18" t="n">
        <v>0</v>
      </c>
      <c r="N41" s="20" t="n">
        <v>0</v>
      </c>
      <c r="O41" s="18" t="n">
        <v>0</v>
      </c>
      <c r="P41" s="20" t="n">
        <v>0</v>
      </c>
      <c r="Q41" s="18" t="n">
        <v>0.35450121</v>
      </c>
      <c r="R41" s="20" t="n">
        <v>0.21785992</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12073</v>
      </c>
      <c r="C46" s="18">
        <f>(9548.0/B46*100)</f>
        <v/>
      </c>
      <c r="D46" s="19" t="n">
        <v>2525</v>
      </c>
      <c r="E46" s="18" t="n">
        <v>53.58357273</v>
      </c>
      <c r="F46" s="20" t="n">
        <v>1.31634022</v>
      </c>
      <c r="G46" s="18" t="n">
        <v>37.83279839</v>
      </c>
      <c r="H46" s="20" t="n">
        <v>1.33874526</v>
      </c>
      <c r="I46" s="18" t="s">
        <v>105</v>
      </c>
      <c r="J46" s="20" t="s">
        <v>105</v>
      </c>
      <c r="K46" s="18" t="n">
        <v>1.83951615</v>
      </c>
      <c r="L46" s="20" t="n">
        <v>0.39762888</v>
      </c>
      <c r="M46" s="18" t="n">
        <v>0</v>
      </c>
      <c r="N46" s="20" t="n">
        <v>0</v>
      </c>
      <c r="O46" s="18" t="n">
        <v>0</v>
      </c>
      <c r="P46" s="20" t="n">
        <v>0</v>
      </c>
      <c r="Q46" s="18" t="n">
        <v>6.74411273</v>
      </c>
      <c r="R46" s="20" t="n">
        <v>0.70485794</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4682</v>
      </c>
      <c r="C48" s="18">
        <f>(3492.0/B48*100)</f>
        <v/>
      </c>
      <c r="D48" s="19" t="n">
        <v>1190</v>
      </c>
      <c r="E48" s="18" t="n">
        <v>33.08916007</v>
      </c>
      <c r="F48" s="20" t="n">
        <v>2.20372285</v>
      </c>
      <c r="G48" s="18" t="n">
        <v>66.84640106000001</v>
      </c>
      <c r="H48" s="20" t="n">
        <v>2.20535486</v>
      </c>
      <c r="I48" s="18" t="s">
        <v>105</v>
      </c>
      <c r="J48" s="20" t="s">
        <v>105</v>
      </c>
      <c r="K48" s="18" t="n">
        <v>0</v>
      </c>
      <c r="L48" s="20" t="n">
        <v>0</v>
      </c>
      <c r="M48" s="18" t="n">
        <v>0</v>
      </c>
      <c r="N48" s="20" t="n">
        <v>0</v>
      </c>
      <c r="O48" s="18" t="n">
        <v>0</v>
      </c>
      <c r="P48" s="20" t="n">
        <v>0</v>
      </c>
      <c r="Q48" s="18" t="n">
        <v>0.06443887</v>
      </c>
      <c r="R48" s="20" t="n">
        <v>0.06460638</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3201</v>
      </c>
      <c r="C61" s="18">
        <f>(2360.0/B61*100)</f>
        <v/>
      </c>
      <c r="D61" s="19" t="n">
        <v>841</v>
      </c>
      <c r="E61" s="18" t="n">
        <v>57.8031013</v>
      </c>
      <c r="F61" s="20" t="n">
        <v>2.01227761</v>
      </c>
      <c r="G61" s="18" t="n">
        <v>40.58538481</v>
      </c>
      <c r="H61" s="20" t="n">
        <v>2.02268905</v>
      </c>
      <c r="I61" s="18" t="s">
        <v>105</v>
      </c>
      <c r="J61" s="20" t="s">
        <v>105</v>
      </c>
      <c r="K61" s="18" t="n">
        <v>0.15240509</v>
      </c>
      <c r="L61" s="20" t="n">
        <v>0.15879369</v>
      </c>
      <c r="M61" s="18" t="n">
        <v>0</v>
      </c>
      <c r="N61" s="20" t="n">
        <v>0</v>
      </c>
      <c r="O61" s="18" t="n">
        <v>0</v>
      </c>
      <c r="P61" s="20" t="n">
        <v>0</v>
      </c>
      <c r="Q61" s="18" t="n">
        <v>1.4591088</v>
      </c>
      <c r="R61" s="20" t="n">
        <v>0.48869246</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3460</v>
      </c>
      <c r="C67" s="18">
        <f>(2617.0/B67*100)</f>
        <v/>
      </c>
      <c r="D67" s="19" t="n">
        <v>843</v>
      </c>
      <c r="E67" s="18" t="n">
        <v>58.64235676</v>
      </c>
      <c r="F67" s="20" t="n">
        <v>1.93332853</v>
      </c>
      <c r="G67" s="18" t="n">
        <v>40.59028526</v>
      </c>
      <c r="H67" s="20" t="n">
        <v>2.02291244</v>
      </c>
      <c r="I67" s="18" t="s">
        <v>105</v>
      </c>
      <c r="J67" s="20" t="s">
        <v>105</v>
      </c>
      <c r="K67" s="18" t="n">
        <v>0</v>
      </c>
      <c r="L67" s="20" t="n">
        <v>0</v>
      </c>
      <c r="M67" s="18" t="n">
        <v>0</v>
      </c>
      <c r="N67" s="20" t="n">
        <v>0</v>
      </c>
      <c r="O67" s="18" t="n">
        <v>0</v>
      </c>
      <c r="P67" s="20" t="n">
        <v>0</v>
      </c>
      <c r="Q67" s="18" t="n">
        <v>0.7673579699999999</v>
      </c>
      <c r="R67" s="20" t="n">
        <v>0.33682509</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3107</v>
      </c>
      <c r="C70" s="18">
        <f>(2336.0/B70*100)</f>
        <v/>
      </c>
      <c r="D70" s="19" t="n">
        <v>771</v>
      </c>
      <c r="E70" s="18" t="n">
        <v>37.54528098</v>
      </c>
      <c r="F70" s="20" t="n">
        <v>2.23136837</v>
      </c>
      <c r="G70" s="18" t="n">
        <v>61.27628315</v>
      </c>
      <c r="H70" s="20" t="n">
        <v>2.29771666</v>
      </c>
      <c r="I70" s="18" t="s">
        <v>105</v>
      </c>
      <c r="J70" s="20" t="s">
        <v>105</v>
      </c>
      <c r="K70" s="18" t="n">
        <v>0.45067953</v>
      </c>
      <c r="L70" s="20" t="n">
        <v>0.33298488</v>
      </c>
      <c r="M70" s="18" t="n">
        <v>0</v>
      </c>
      <c r="N70" s="20" t="n">
        <v>0</v>
      </c>
      <c r="O70" s="18" t="n">
        <v>0</v>
      </c>
      <c r="P70" s="20" t="n">
        <v>0</v>
      </c>
      <c r="Q70" s="18" t="n">
        <v>0.72775634</v>
      </c>
      <c r="R70" s="20" t="n">
        <v>0.2518913</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33.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238</v>
      </c>
    </row>
    <row customHeight="1" ht="30" r="4" spans="1:18">
      <c r="A4" s="6" t="n"/>
      <c r="B4" s="7" t="s">
        <v>89</v>
      </c>
      <c r="C4" s="7" t="s">
        <v>90</v>
      </c>
      <c r="D4" s="8" t="s">
        <v>89</v>
      </c>
      <c r="E4" s="9" t="s">
        <v>199</v>
      </c>
      <c r="F4" s="10" t="n"/>
      <c r="G4" s="9" t="s">
        <v>200</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7163</v>
      </c>
      <c r="C7" s="18">
        <f>(390.0/B7*100)</f>
        <v/>
      </c>
      <c r="D7" s="19" t="n">
        <v>6773</v>
      </c>
      <c r="E7" s="18" t="n">
        <v>14.87423195</v>
      </c>
      <c r="F7" s="20" t="n">
        <v>0.51419895</v>
      </c>
      <c r="G7" s="18" t="n">
        <v>78.2821996</v>
      </c>
      <c r="H7" s="20" t="n">
        <v>0.63338929</v>
      </c>
      <c r="I7" s="18" t="s">
        <v>105</v>
      </c>
      <c r="J7" s="20" t="s">
        <v>105</v>
      </c>
      <c r="K7" s="18" t="n">
        <v>0.44455886</v>
      </c>
      <c r="L7" s="20" t="n">
        <v>0.08599024</v>
      </c>
      <c r="M7" s="18" t="n">
        <v>0.008195900000000001</v>
      </c>
      <c r="N7" s="20" t="n">
        <v>0.00361774</v>
      </c>
      <c r="O7" s="18" t="n">
        <v>0</v>
      </c>
      <c r="P7" s="20" t="n">
        <v>0</v>
      </c>
      <c r="Q7" s="18" t="n">
        <v>6.39081368</v>
      </c>
      <c r="R7" s="20" t="n">
        <v>0.39604658</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2795</v>
      </c>
      <c r="C9" s="18">
        <f>(2146.0/B9*100)</f>
        <v/>
      </c>
      <c r="D9" s="19" t="n">
        <v>649</v>
      </c>
      <c r="E9" s="18" t="n">
        <v>11.14400172</v>
      </c>
      <c r="F9" s="20" t="n">
        <v>1.23815163</v>
      </c>
      <c r="G9" s="18" t="n">
        <v>82.48959692</v>
      </c>
      <c r="H9" s="20" t="n">
        <v>1.62581872</v>
      </c>
      <c r="I9" s="18" t="s">
        <v>105</v>
      </c>
      <c r="J9" s="20" t="s">
        <v>105</v>
      </c>
      <c r="K9" s="18" t="n">
        <v>0.31564952</v>
      </c>
      <c r="L9" s="20" t="n">
        <v>0.34308457</v>
      </c>
      <c r="M9" s="18" t="n">
        <v>0.78794046</v>
      </c>
      <c r="N9" s="20" t="n">
        <v>0.30384777</v>
      </c>
      <c r="O9" s="18" t="n">
        <v>0</v>
      </c>
      <c r="P9" s="20" t="n">
        <v>0</v>
      </c>
      <c r="Q9" s="18" t="n">
        <v>5.26281138</v>
      </c>
      <c r="R9" s="20" t="n">
        <v>0.69044519</v>
      </c>
    </row>
    <row r="10" spans="1:18">
      <c r="A10" s="15" t="s">
        <v>109</v>
      </c>
      <c r="B10" s="17" t="n">
        <v>6602</v>
      </c>
      <c r="C10" s="18">
        <f>(5014.0/B10*100)</f>
        <v/>
      </c>
      <c r="D10" s="19" t="n">
        <v>1588</v>
      </c>
      <c r="E10" s="18" t="n">
        <v>14.94396796</v>
      </c>
      <c r="F10" s="20" t="n">
        <v>1.20476127</v>
      </c>
      <c r="G10" s="18" t="n">
        <v>81.39595725</v>
      </c>
      <c r="H10" s="20" t="n">
        <v>1.58275588</v>
      </c>
      <c r="I10" s="18" t="s">
        <v>105</v>
      </c>
      <c r="J10" s="20" t="s">
        <v>105</v>
      </c>
      <c r="K10" s="18" t="n">
        <v>0.19923903</v>
      </c>
      <c r="L10" s="20" t="n">
        <v>0.19922532</v>
      </c>
      <c r="M10" s="18" t="n">
        <v>0.22025774</v>
      </c>
      <c r="N10" s="20" t="n">
        <v>0.18683163</v>
      </c>
      <c r="O10" s="18" t="n">
        <v>0</v>
      </c>
      <c r="P10" s="20" t="n">
        <v>0</v>
      </c>
      <c r="Q10" s="18" t="n">
        <v>3.24057802</v>
      </c>
      <c r="R10" s="20" t="n">
        <v>0.72532143</v>
      </c>
    </row>
    <row r="11" spans="1:18">
      <c r="A11" s="15" t="s">
        <v>110</v>
      </c>
      <c r="B11" s="17" t="n">
        <v>3500</v>
      </c>
      <c r="C11" s="18">
        <f>(2615.0/B11*100)</f>
        <v/>
      </c>
      <c r="D11" s="19" t="n">
        <v>885</v>
      </c>
      <c r="E11" s="18" t="n">
        <v>19.82289316</v>
      </c>
      <c r="F11" s="20" t="n">
        <v>1.42769184</v>
      </c>
      <c r="G11" s="18" t="n">
        <v>66.83635750000001</v>
      </c>
      <c r="H11" s="20" t="n">
        <v>2.12308036</v>
      </c>
      <c r="I11" s="18" t="s">
        <v>105</v>
      </c>
      <c r="J11" s="20" t="s">
        <v>105</v>
      </c>
      <c r="K11" s="18" t="n">
        <v>0.30938829</v>
      </c>
      <c r="L11" s="20" t="n">
        <v>0.2374329</v>
      </c>
      <c r="M11" s="18" t="n">
        <v>0.04928229</v>
      </c>
      <c r="N11" s="20" t="n">
        <v>0.05407466</v>
      </c>
      <c r="O11" s="18" t="n">
        <v>0</v>
      </c>
      <c r="P11" s="20" t="n">
        <v>0</v>
      </c>
      <c r="Q11" s="18" t="n">
        <v>12.98207876</v>
      </c>
      <c r="R11" s="20" t="n">
        <v>1.59521009</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5792</v>
      </c>
      <c r="C23" s="18">
        <f>(4459.0/B23*100)</f>
        <v/>
      </c>
      <c r="D23" s="19" t="n">
        <v>1333</v>
      </c>
      <c r="E23" s="18" t="n">
        <v>16.14162165</v>
      </c>
      <c r="F23" s="20" t="n">
        <v>1.23662978</v>
      </c>
      <c r="G23" s="18" t="n">
        <v>72.84348516</v>
      </c>
      <c r="H23" s="20" t="n">
        <v>1.91401768</v>
      </c>
      <c r="I23" s="18" t="s">
        <v>105</v>
      </c>
      <c r="J23" s="20" t="s">
        <v>105</v>
      </c>
      <c r="K23" s="18" t="n">
        <v>0.42558406</v>
      </c>
      <c r="L23" s="20" t="n">
        <v>0.26011381</v>
      </c>
      <c r="M23" s="18" t="n">
        <v>0</v>
      </c>
      <c r="N23" s="20" t="n">
        <v>0</v>
      </c>
      <c r="O23" s="18" t="n">
        <v>0</v>
      </c>
      <c r="P23" s="20" t="n">
        <v>0</v>
      </c>
      <c r="Q23" s="18" t="n">
        <v>10.58930912</v>
      </c>
      <c r="R23" s="20" t="n">
        <v>1.44697588</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2700</v>
      </c>
      <c r="C29" s="18">
        <f>(2020.0/B29*100)</f>
        <v/>
      </c>
      <c r="D29" s="19" t="n">
        <v>680</v>
      </c>
      <c r="E29" s="18" t="n">
        <v>16.3123184</v>
      </c>
      <c r="F29" s="20" t="n">
        <v>1.43739231</v>
      </c>
      <c r="G29" s="18" t="n">
        <v>80.56790307999999</v>
      </c>
      <c r="H29" s="20" t="n">
        <v>1.50195574</v>
      </c>
      <c r="I29" s="18" t="s">
        <v>105</v>
      </c>
      <c r="J29" s="20" t="s">
        <v>105</v>
      </c>
      <c r="K29" s="18" t="n">
        <v>0.12826646</v>
      </c>
      <c r="L29" s="20" t="n">
        <v>0.13672156</v>
      </c>
      <c r="M29" s="18" t="n">
        <v>0</v>
      </c>
      <c r="N29" s="20" t="n">
        <v>0</v>
      </c>
      <c r="O29" s="18" t="n">
        <v>0</v>
      </c>
      <c r="P29" s="20" t="n">
        <v>0</v>
      </c>
      <c r="Q29" s="18" t="n">
        <v>2.99151206</v>
      </c>
      <c r="R29" s="20" t="n">
        <v>0.6198973800000001</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2209</v>
      </c>
      <c r="C32" s="18">
        <f>(1356.0/B32*100)</f>
        <v/>
      </c>
      <c r="D32" s="19" t="n">
        <v>853</v>
      </c>
      <c r="E32" s="18" t="n">
        <v>25.06405753</v>
      </c>
      <c r="F32" s="20" t="n">
        <v>1.66933756</v>
      </c>
      <c r="G32" s="18" t="n">
        <v>58.48464211</v>
      </c>
      <c r="H32" s="20" t="n">
        <v>1.85570095</v>
      </c>
      <c r="I32" s="18" t="s">
        <v>105</v>
      </c>
      <c r="J32" s="20" t="s">
        <v>105</v>
      </c>
      <c r="K32" s="18" t="n">
        <v>0.24469358</v>
      </c>
      <c r="L32" s="20" t="n">
        <v>0.18098644</v>
      </c>
      <c r="M32" s="18" t="n">
        <v>0.49697506</v>
      </c>
      <c r="N32" s="20" t="n">
        <v>0.52915958</v>
      </c>
      <c r="O32" s="18" t="n">
        <v>0</v>
      </c>
      <c r="P32" s="20" t="n">
        <v>0</v>
      </c>
      <c r="Q32" s="18" t="n">
        <v>15.70963171</v>
      </c>
      <c r="R32" s="20" t="n">
        <v>1.18691981</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3035</v>
      </c>
      <c r="C34" s="18">
        <f>(2305.0/B34*100)</f>
        <v/>
      </c>
      <c r="D34" s="19" t="n">
        <v>730</v>
      </c>
      <c r="E34" s="18" t="n">
        <v>26.28132118</v>
      </c>
      <c r="F34" s="20" t="n">
        <v>1.5735365</v>
      </c>
      <c r="G34" s="18" t="n">
        <v>61.12720046</v>
      </c>
      <c r="H34" s="20" t="n">
        <v>1.94843176</v>
      </c>
      <c r="I34" s="18" t="s">
        <v>105</v>
      </c>
      <c r="J34" s="20" t="s">
        <v>105</v>
      </c>
      <c r="K34" s="18" t="n">
        <v>0.50401547</v>
      </c>
      <c r="L34" s="20" t="n">
        <v>0.3130976</v>
      </c>
      <c r="M34" s="18" t="n">
        <v>0</v>
      </c>
      <c r="N34" s="20" t="n">
        <v>0</v>
      </c>
      <c r="O34" s="18" t="n">
        <v>0</v>
      </c>
      <c r="P34" s="20" t="n">
        <v>0</v>
      </c>
      <c r="Q34" s="18" t="n">
        <v>12.08746289</v>
      </c>
      <c r="R34" s="20" t="n">
        <v>1.44247087</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3404</v>
      </c>
      <c r="C36" s="18">
        <f>(2536.0/B36*100)</f>
        <v/>
      </c>
      <c r="D36" s="19" t="n">
        <v>868</v>
      </c>
      <c r="E36" s="18" t="n">
        <v>19.48927878</v>
      </c>
      <c r="F36" s="20" t="n">
        <v>1.624063</v>
      </c>
      <c r="G36" s="18" t="n">
        <v>70.27394834</v>
      </c>
      <c r="H36" s="20" t="n">
        <v>1.83555515</v>
      </c>
      <c r="I36" s="18" t="s">
        <v>105</v>
      </c>
      <c r="J36" s="20" t="s">
        <v>105</v>
      </c>
      <c r="K36" s="18" t="n">
        <v>0.32609755</v>
      </c>
      <c r="L36" s="20" t="n">
        <v>0.19070847</v>
      </c>
      <c r="M36" s="18" t="n">
        <v>0</v>
      </c>
      <c r="N36" s="20" t="n">
        <v>0</v>
      </c>
      <c r="O36" s="18" t="n">
        <v>0</v>
      </c>
      <c r="P36" s="20" t="n">
        <v>0</v>
      </c>
      <c r="Q36" s="18" t="n">
        <v>9.910675319999999</v>
      </c>
      <c r="R36" s="20" t="n">
        <v>1.13278636</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2854</v>
      </c>
      <c r="C41" s="18">
        <f>(2132.0/B41*100)</f>
        <v/>
      </c>
      <c r="D41" s="19" t="n">
        <v>722</v>
      </c>
      <c r="E41" s="18" t="n">
        <v>20.53588713</v>
      </c>
      <c r="F41" s="20" t="n">
        <v>1.67275767</v>
      </c>
      <c r="G41" s="18" t="n">
        <v>76.69096365</v>
      </c>
      <c r="H41" s="20" t="n">
        <v>1.79237854</v>
      </c>
      <c r="I41" s="18" t="s">
        <v>105</v>
      </c>
      <c r="J41" s="20" t="s">
        <v>105</v>
      </c>
      <c r="K41" s="18" t="n">
        <v>0</v>
      </c>
      <c r="L41" s="20" t="n">
        <v>0</v>
      </c>
      <c r="M41" s="18" t="n">
        <v>0</v>
      </c>
      <c r="N41" s="20" t="n">
        <v>0</v>
      </c>
      <c r="O41" s="18" t="n">
        <v>0</v>
      </c>
      <c r="P41" s="20" t="n">
        <v>0</v>
      </c>
      <c r="Q41" s="18" t="n">
        <v>2.77314923</v>
      </c>
      <c r="R41" s="20" t="n">
        <v>0.66016715</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12073</v>
      </c>
      <c r="C46" s="18">
        <f>(9651.0/B46*100)</f>
        <v/>
      </c>
      <c r="D46" s="19" t="n">
        <v>2422</v>
      </c>
      <c r="E46" s="18" t="n">
        <v>20.87860418</v>
      </c>
      <c r="F46" s="20" t="n">
        <v>1.14086536</v>
      </c>
      <c r="G46" s="18" t="n">
        <v>56.11399481</v>
      </c>
      <c r="H46" s="20" t="n">
        <v>1.5181691</v>
      </c>
      <c r="I46" s="18" t="s">
        <v>105</v>
      </c>
      <c r="J46" s="20" t="s">
        <v>105</v>
      </c>
      <c r="K46" s="18" t="n">
        <v>2.20232515</v>
      </c>
      <c r="L46" s="20" t="n">
        <v>0.4217988</v>
      </c>
      <c r="M46" s="18" t="n">
        <v>0</v>
      </c>
      <c r="N46" s="20" t="n">
        <v>0</v>
      </c>
      <c r="O46" s="18" t="n">
        <v>0</v>
      </c>
      <c r="P46" s="20" t="n">
        <v>0</v>
      </c>
      <c r="Q46" s="18" t="n">
        <v>20.80507587</v>
      </c>
      <c r="R46" s="20" t="n">
        <v>1.21436277</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4682</v>
      </c>
      <c r="C48" s="18">
        <f>(3493.0/B48*100)</f>
        <v/>
      </c>
      <c r="D48" s="19" t="n">
        <v>1189</v>
      </c>
      <c r="E48" s="18" t="n">
        <v>9.372277739999999</v>
      </c>
      <c r="F48" s="20" t="n">
        <v>1.08210186</v>
      </c>
      <c r="G48" s="18" t="n">
        <v>85.72055637</v>
      </c>
      <c r="H48" s="20" t="n">
        <v>1.46573661</v>
      </c>
      <c r="I48" s="18" t="s">
        <v>105</v>
      </c>
      <c r="J48" s="20" t="s">
        <v>105</v>
      </c>
      <c r="K48" s="18" t="n">
        <v>0</v>
      </c>
      <c r="L48" s="20" t="n">
        <v>0</v>
      </c>
      <c r="M48" s="18" t="n">
        <v>0</v>
      </c>
      <c r="N48" s="20" t="n">
        <v>0</v>
      </c>
      <c r="O48" s="18" t="n">
        <v>0</v>
      </c>
      <c r="P48" s="20" t="n">
        <v>0</v>
      </c>
      <c r="Q48" s="18" t="n">
        <v>4.90716589</v>
      </c>
      <c r="R48" s="20" t="n">
        <v>0.93015436</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3201</v>
      </c>
      <c r="C61" s="18">
        <f>(2361.0/B61*100)</f>
        <v/>
      </c>
      <c r="D61" s="19" t="n">
        <v>840</v>
      </c>
      <c r="E61" s="18" t="n">
        <v>18.88070735</v>
      </c>
      <c r="F61" s="20" t="n">
        <v>1.55006789</v>
      </c>
      <c r="G61" s="18" t="n">
        <v>70.83657159000001</v>
      </c>
      <c r="H61" s="20" t="n">
        <v>1.91318388</v>
      </c>
      <c r="I61" s="18" t="s">
        <v>105</v>
      </c>
      <c r="J61" s="20" t="s">
        <v>105</v>
      </c>
      <c r="K61" s="18" t="n">
        <v>0.1799233</v>
      </c>
      <c r="L61" s="20" t="n">
        <v>0.16182111</v>
      </c>
      <c r="M61" s="18" t="n">
        <v>0.13950032</v>
      </c>
      <c r="N61" s="20" t="n">
        <v>0.12560784</v>
      </c>
      <c r="O61" s="18" t="n">
        <v>0</v>
      </c>
      <c r="P61" s="20" t="n">
        <v>0</v>
      </c>
      <c r="Q61" s="18" t="n">
        <v>9.96329744</v>
      </c>
      <c r="R61" s="20" t="n">
        <v>1.02618343</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3460</v>
      </c>
      <c r="C67" s="18">
        <f>(2623.0/B67*100)</f>
        <v/>
      </c>
      <c r="D67" s="19" t="n">
        <v>837</v>
      </c>
      <c r="E67" s="18" t="n">
        <v>33.80529627</v>
      </c>
      <c r="F67" s="20" t="n">
        <v>1.73669732</v>
      </c>
      <c r="G67" s="18" t="n">
        <v>59.07052349</v>
      </c>
      <c r="H67" s="20" t="n">
        <v>1.91717263</v>
      </c>
      <c r="I67" s="18" t="s">
        <v>105</v>
      </c>
      <c r="J67" s="20" t="s">
        <v>105</v>
      </c>
      <c r="K67" s="18" t="n">
        <v>0</v>
      </c>
      <c r="L67" s="20" t="n">
        <v>0</v>
      </c>
      <c r="M67" s="18" t="n">
        <v>0</v>
      </c>
      <c r="N67" s="20" t="n">
        <v>0</v>
      </c>
      <c r="O67" s="18" t="n">
        <v>0</v>
      </c>
      <c r="P67" s="20" t="n">
        <v>0</v>
      </c>
      <c r="Q67" s="18" t="n">
        <v>7.12418023</v>
      </c>
      <c r="R67" s="20" t="n">
        <v>0.92607503</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3107</v>
      </c>
      <c r="C70" s="18">
        <f>(2347.0/B70*100)</f>
        <v/>
      </c>
      <c r="D70" s="19" t="n">
        <v>760</v>
      </c>
      <c r="E70" s="18" t="n">
        <v>26.95016349</v>
      </c>
      <c r="F70" s="20" t="n">
        <v>1.48016281</v>
      </c>
      <c r="G70" s="18" t="n">
        <v>59.68311454</v>
      </c>
      <c r="H70" s="20" t="n">
        <v>2.03221698</v>
      </c>
      <c r="I70" s="18" t="s">
        <v>105</v>
      </c>
      <c r="J70" s="20" t="s">
        <v>105</v>
      </c>
      <c r="K70" s="18" t="n">
        <v>0.59309295</v>
      </c>
      <c r="L70" s="20" t="n">
        <v>0.30189025</v>
      </c>
      <c r="M70" s="18" t="n">
        <v>0</v>
      </c>
      <c r="N70" s="20" t="n">
        <v>0</v>
      </c>
      <c r="O70" s="18" t="n">
        <v>0</v>
      </c>
      <c r="P70" s="20" t="n">
        <v>0</v>
      </c>
      <c r="Q70" s="18" t="n">
        <v>12.77362902</v>
      </c>
      <c r="R70" s="20" t="n">
        <v>1.55418433</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34.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239</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7163</v>
      </c>
      <c r="C7" s="18">
        <f>(396.0/B7*100)</f>
        <v/>
      </c>
      <c r="D7" s="19" t="n">
        <v>6767</v>
      </c>
      <c r="E7" s="18" t="n">
        <v>51.70899225</v>
      </c>
      <c r="F7" s="20" t="n">
        <v>0.76950186</v>
      </c>
      <c r="G7" s="18" t="n">
        <v>45.55374758</v>
      </c>
      <c r="H7" s="20" t="n">
        <v>0.82025884</v>
      </c>
      <c r="I7" s="18" t="s">
        <v>105</v>
      </c>
      <c r="J7" s="20" t="s">
        <v>105</v>
      </c>
      <c r="K7" s="18" t="n">
        <v>0.5605561999999999</v>
      </c>
      <c r="L7" s="20" t="n">
        <v>0.09398279</v>
      </c>
      <c r="M7" s="18" t="n">
        <v>0</v>
      </c>
      <c r="N7" s="20" t="n">
        <v>0</v>
      </c>
      <c r="O7" s="18" t="n">
        <v>0</v>
      </c>
      <c r="P7" s="20" t="n">
        <v>0</v>
      </c>
      <c r="Q7" s="18" t="n">
        <v>2.17670397</v>
      </c>
      <c r="R7" s="20" t="n">
        <v>0.19144408</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2795</v>
      </c>
      <c r="C9" s="18">
        <f>(2146.0/B9*100)</f>
        <v/>
      </c>
      <c r="D9" s="19" t="n">
        <v>649</v>
      </c>
      <c r="E9" s="18" t="n">
        <v>47.46972089</v>
      </c>
      <c r="F9" s="20" t="n">
        <v>2.13839519</v>
      </c>
      <c r="G9" s="18" t="n">
        <v>51.09989726</v>
      </c>
      <c r="H9" s="20" t="n">
        <v>2.20330886</v>
      </c>
      <c r="I9" s="18" t="s">
        <v>105</v>
      </c>
      <c r="J9" s="20" t="s">
        <v>105</v>
      </c>
      <c r="K9" s="18" t="n">
        <v>0.31564952</v>
      </c>
      <c r="L9" s="20" t="n">
        <v>0.34308457</v>
      </c>
      <c r="M9" s="18" t="n">
        <v>0</v>
      </c>
      <c r="N9" s="20" t="n">
        <v>0</v>
      </c>
      <c r="O9" s="18" t="n">
        <v>0</v>
      </c>
      <c r="P9" s="20" t="n">
        <v>0</v>
      </c>
      <c r="Q9" s="18" t="n">
        <v>1.11473233</v>
      </c>
      <c r="R9" s="20" t="n">
        <v>0.40789198</v>
      </c>
    </row>
    <row r="10" spans="1:18">
      <c r="A10" s="15" t="s">
        <v>109</v>
      </c>
      <c r="B10" s="17" t="n">
        <v>6602</v>
      </c>
      <c r="C10" s="18">
        <f>(5014.0/B10*100)</f>
        <v/>
      </c>
      <c r="D10" s="19" t="n">
        <v>1588</v>
      </c>
      <c r="E10" s="18" t="n">
        <v>47.91201379</v>
      </c>
      <c r="F10" s="20" t="n">
        <v>1.95005073</v>
      </c>
      <c r="G10" s="18" t="n">
        <v>50.182689</v>
      </c>
      <c r="H10" s="20" t="n">
        <v>1.99172031</v>
      </c>
      <c r="I10" s="18" t="s">
        <v>105</v>
      </c>
      <c r="J10" s="20" t="s">
        <v>105</v>
      </c>
      <c r="K10" s="18" t="n">
        <v>0.22376781</v>
      </c>
      <c r="L10" s="20" t="n">
        <v>0.19969748</v>
      </c>
      <c r="M10" s="18" t="n">
        <v>0</v>
      </c>
      <c r="N10" s="20" t="n">
        <v>0</v>
      </c>
      <c r="O10" s="18" t="n">
        <v>0</v>
      </c>
      <c r="P10" s="20" t="n">
        <v>0</v>
      </c>
      <c r="Q10" s="18" t="n">
        <v>1.6815294</v>
      </c>
      <c r="R10" s="20" t="n">
        <v>0.58185933</v>
      </c>
    </row>
    <row r="11" spans="1:18">
      <c r="A11" s="15" t="s">
        <v>110</v>
      </c>
      <c r="B11" s="17" t="n">
        <v>3500</v>
      </c>
      <c r="C11" s="18">
        <f>(2613.0/B11*100)</f>
        <v/>
      </c>
      <c r="D11" s="19" t="n">
        <v>887</v>
      </c>
      <c r="E11" s="18" t="n">
        <v>58.26351839</v>
      </c>
      <c r="F11" s="20" t="n">
        <v>1.95504399</v>
      </c>
      <c r="G11" s="18" t="n">
        <v>37.7727773</v>
      </c>
      <c r="H11" s="20" t="n">
        <v>1.88281348</v>
      </c>
      <c r="I11" s="18" t="s">
        <v>105</v>
      </c>
      <c r="J11" s="20" t="s">
        <v>105</v>
      </c>
      <c r="K11" s="18" t="n">
        <v>0.30920931</v>
      </c>
      <c r="L11" s="20" t="n">
        <v>0.23730081</v>
      </c>
      <c r="M11" s="18" t="n">
        <v>0</v>
      </c>
      <c r="N11" s="20" t="n">
        <v>0</v>
      </c>
      <c r="O11" s="18" t="n">
        <v>0</v>
      </c>
      <c r="P11" s="20" t="n">
        <v>0</v>
      </c>
      <c r="Q11" s="18" t="n">
        <v>3.654495</v>
      </c>
      <c r="R11" s="20" t="n">
        <v>0.70407721</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5792</v>
      </c>
      <c r="C23" s="18">
        <f>(4456.0/B23*100)</f>
        <v/>
      </c>
      <c r="D23" s="19" t="n">
        <v>1336</v>
      </c>
      <c r="E23" s="18" t="n">
        <v>48.86587086</v>
      </c>
      <c r="F23" s="20" t="n">
        <v>1.97747336</v>
      </c>
      <c r="G23" s="18" t="n">
        <v>49.26999298</v>
      </c>
      <c r="H23" s="20" t="n">
        <v>1.94603823</v>
      </c>
      <c r="I23" s="18" t="s">
        <v>105</v>
      </c>
      <c r="J23" s="20" t="s">
        <v>105</v>
      </c>
      <c r="K23" s="18" t="n">
        <v>0.433595</v>
      </c>
      <c r="L23" s="20" t="n">
        <v>0.25963568</v>
      </c>
      <c r="M23" s="18" t="n">
        <v>0</v>
      </c>
      <c r="N23" s="20" t="n">
        <v>0</v>
      </c>
      <c r="O23" s="18" t="n">
        <v>0</v>
      </c>
      <c r="P23" s="20" t="n">
        <v>0</v>
      </c>
      <c r="Q23" s="18" t="n">
        <v>1.43054116</v>
      </c>
      <c r="R23" s="20" t="n">
        <v>0.41687155</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2700</v>
      </c>
      <c r="C29" s="18">
        <f>(2020.0/B29*100)</f>
        <v/>
      </c>
      <c r="D29" s="19" t="n">
        <v>680</v>
      </c>
      <c r="E29" s="18" t="n">
        <v>56.44048618</v>
      </c>
      <c r="F29" s="20" t="n">
        <v>2.04709938</v>
      </c>
      <c r="G29" s="18" t="n">
        <v>43.29976387</v>
      </c>
      <c r="H29" s="20" t="n">
        <v>2.0380628</v>
      </c>
      <c r="I29" s="18" t="s">
        <v>105</v>
      </c>
      <c r="J29" s="20" t="s">
        <v>105</v>
      </c>
      <c r="K29" s="18" t="n">
        <v>0.12826646</v>
      </c>
      <c r="L29" s="20" t="n">
        <v>0.13672156</v>
      </c>
      <c r="M29" s="18" t="n">
        <v>0</v>
      </c>
      <c r="N29" s="20" t="n">
        <v>0</v>
      </c>
      <c r="O29" s="18" t="n">
        <v>0</v>
      </c>
      <c r="P29" s="20" t="n">
        <v>0</v>
      </c>
      <c r="Q29" s="18" t="n">
        <v>0.13148348</v>
      </c>
      <c r="R29" s="20" t="n">
        <v>0.12334803</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2209</v>
      </c>
      <c r="C32" s="18">
        <f>(1357.0/B32*100)</f>
        <v/>
      </c>
      <c r="D32" s="19" t="n">
        <v>852</v>
      </c>
      <c r="E32" s="18" t="n">
        <v>55.55132702</v>
      </c>
      <c r="F32" s="20" t="n">
        <v>1.52317837</v>
      </c>
      <c r="G32" s="18" t="n">
        <v>43.3263502</v>
      </c>
      <c r="H32" s="20" t="n">
        <v>1.5704001</v>
      </c>
      <c r="I32" s="18" t="s">
        <v>105</v>
      </c>
      <c r="J32" s="20" t="s">
        <v>105</v>
      </c>
      <c r="K32" s="18" t="n">
        <v>0.24494153</v>
      </c>
      <c r="L32" s="20" t="n">
        <v>0.18117716</v>
      </c>
      <c r="M32" s="18" t="n">
        <v>0</v>
      </c>
      <c r="N32" s="20" t="n">
        <v>0</v>
      </c>
      <c r="O32" s="18" t="n">
        <v>0</v>
      </c>
      <c r="P32" s="20" t="n">
        <v>0</v>
      </c>
      <c r="Q32" s="18" t="n">
        <v>0.87738125</v>
      </c>
      <c r="R32" s="20" t="n">
        <v>0.31882904</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3035</v>
      </c>
      <c r="C34" s="18">
        <f>(2303.0/B34*100)</f>
        <v/>
      </c>
      <c r="D34" s="19" t="n">
        <v>732</v>
      </c>
      <c r="E34" s="18" t="n">
        <v>60.26057818</v>
      </c>
      <c r="F34" s="20" t="n">
        <v>2.00760247</v>
      </c>
      <c r="G34" s="18" t="n">
        <v>36.61854807</v>
      </c>
      <c r="H34" s="20" t="n">
        <v>1.92166157</v>
      </c>
      <c r="I34" s="18" t="s">
        <v>105</v>
      </c>
      <c r="J34" s="20" t="s">
        <v>105</v>
      </c>
      <c r="K34" s="18" t="n">
        <v>0.76242534</v>
      </c>
      <c r="L34" s="20" t="n">
        <v>0.36848166</v>
      </c>
      <c r="M34" s="18" t="n">
        <v>0</v>
      </c>
      <c r="N34" s="20" t="n">
        <v>0</v>
      </c>
      <c r="O34" s="18" t="n">
        <v>0</v>
      </c>
      <c r="P34" s="20" t="n">
        <v>0</v>
      </c>
      <c r="Q34" s="18" t="n">
        <v>2.35844841</v>
      </c>
      <c r="R34" s="20" t="n">
        <v>0.65008561</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3404</v>
      </c>
      <c r="C36" s="18">
        <f>(2536.0/B36*100)</f>
        <v/>
      </c>
      <c r="D36" s="19" t="n">
        <v>868</v>
      </c>
      <c r="E36" s="18" t="n">
        <v>59.60930696</v>
      </c>
      <c r="F36" s="20" t="n">
        <v>1.88395238</v>
      </c>
      <c r="G36" s="18" t="n">
        <v>38.4210327</v>
      </c>
      <c r="H36" s="20" t="n">
        <v>1.97205046</v>
      </c>
      <c r="I36" s="18" t="s">
        <v>105</v>
      </c>
      <c r="J36" s="20" t="s">
        <v>105</v>
      </c>
      <c r="K36" s="18" t="n">
        <v>0.32609755</v>
      </c>
      <c r="L36" s="20" t="n">
        <v>0.19070847</v>
      </c>
      <c r="M36" s="18" t="n">
        <v>0</v>
      </c>
      <c r="N36" s="20" t="n">
        <v>0</v>
      </c>
      <c r="O36" s="18" t="n">
        <v>0</v>
      </c>
      <c r="P36" s="20" t="n">
        <v>0</v>
      </c>
      <c r="Q36" s="18" t="n">
        <v>1.64356279</v>
      </c>
      <c r="R36" s="20" t="n">
        <v>0.42699022</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2854</v>
      </c>
      <c r="C41" s="18">
        <f>(2133.0/B41*100)</f>
        <v/>
      </c>
      <c r="D41" s="19" t="n">
        <v>721</v>
      </c>
      <c r="E41" s="18" t="n">
        <v>54.04092342</v>
      </c>
      <c r="F41" s="20" t="n">
        <v>2.20152714</v>
      </c>
      <c r="G41" s="18" t="n">
        <v>45.55699901</v>
      </c>
      <c r="H41" s="20" t="n">
        <v>2.10858115</v>
      </c>
      <c r="I41" s="18" t="s">
        <v>105</v>
      </c>
      <c r="J41" s="20" t="s">
        <v>105</v>
      </c>
      <c r="K41" s="18" t="n">
        <v>0</v>
      </c>
      <c r="L41" s="20" t="n">
        <v>0</v>
      </c>
      <c r="M41" s="18" t="n">
        <v>0</v>
      </c>
      <c r="N41" s="20" t="n">
        <v>0</v>
      </c>
      <c r="O41" s="18" t="n">
        <v>0</v>
      </c>
      <c r="P41" s="20" t="n">
        <v>0</v>
      </c>
      <c r="Q41" s="18" t="n">
        <v>0.40207757</v>
      </c>
      <c r="R41" s="20" t="n">
        <v>0.24337227</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12073</v>
      </c>
      <c r="C46" s="18">
        <f>(9620.0/B46*100)</f>
        <v/>
      </c>
      <c r="D46" s="19" t="n">
        <v>2453</v>
      </c>
      <c r="E46" s="18" t="n">
        <v>69.46816914</v>
      </c>
      <c r="F46" s="20" t="n">
        <v>1.11597331</v>
      </c>
      <c r="G46" s="18" t="n">
        <v>21.82210003</v>
      </c>
      <c r="H46" s="20" t="n">
        <v>0.9523942</v>
      </c>
      <c r="I46" s="18" t="s">
        <v>105</v>
      </c>
      <c r="J46" s="20" t="s">
        <v>105</v>
      </c>
      <c r="K46" s="18" t="n">
        <v>2.30785245</v>
      </c>
      <c r="L46" s="20" t="n">
        <v>0.42582002</v>
      </c>
      <c r="M46" s="18" t="n">
        <v>0</v>
      </c>
      <c r="N46" s="20" t="n">
        <v>0</v>
      </c>
      <c r="O46" s="18" t="n">
        <v>0</v>
      </c>
      <c r="P46" s="20" t="n">
        <v>0</v>
      </c>
      <c r="Q46" s="18" t="n">
        <v>6.40187838</v>
      </c>
      <c r="R46" s="20" t="n">
        <v>0.6645146</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4682</v>
      </c>
      <c r="C48" s="18">
        <f>(3494.0/B48*100)</f>
        <v/>
      </c>
      <c r="D48" s="19" t="n">
        <v>1188</v>
      </c>
      <c r="E48" s="18" t="n">
        <v>45.44758039</v>
      </c>
      <c r="F48" s="20" t="n">
        <v>2.05607418</v>
      </c>
      <c r="G48" s="18" t="n">
        <v>54.22015101</v>
      </c>
      <c r="H48" s="20" t="n">
        <v>2.02129712</v>
      </c>
      <c r="I48" s="18" t="s">
        <v>105</v>
      </c>
      <c r="J48" s="20" t="s">
        <v>105</v>
      </c>
      <c r="K48" s="18" t="n">
        <v>0</v>
      </c>
      <c r="L48" s="20" t="n">
        <v>0</v>
      </c>
      <c r="M48" s="18" t="n">
        <v>0</v>
      </c>
      <c r="N48" s="20" t="n">
        <v>0</v>
      </c>
      <c r="O48" s="18" t="n">
        <v>0</v>
      </c>
      <c r="P48" s="20" t="n">
        <v>0</v>
      </c>
      <c r="Q48" s="18" t="n">
        <v>0.3322686</v>
      </c>
      <c r="R48" s="20" t="n">
        <v>0.17116385</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3201</v>
      </c>
      <c r="C61" s="18">
        <f>(2360.0/B61*100)</f>
        <v/>
      </c>
      <c r="D61" s="19" t="n">
        <v>841</v>
      </c>
      <c r="E61" s="18" t="n">
        <v>58.54112053</v>
      </c>
      <c r="F61" s="20" t="n">
        <v>1.99775382</v>
      </c>
      <c r="G61" s="18" t="n">
        <v>39.03925793</v>
      </c>
      <c r="H61" s="20" t="n">
        <v>2.10212425</v>
      </c>
      <c r="I61" s="18" t="s">
        <v>105</v>
      </c>
      <c r="J61" s="20" t="s">
        <v>105</v>
      </c>
      <c r="K61" s="18" t="n">
        <v>0.17958721</v>
      </c>
      <c r="L61" s="20" t="n">
        <v>0.16151926</v>
      </c>
      <c r="M61" s="18" t="n">
        <v>0</v>
      </c>
      <c r="N61" s="20" t="n">
        <v>0</v>
      </c>
      <c r="O61" s="18" t="n">
        <v>0</v>
      </c>
      <c r="P61" s="20" t="n">
        <v>0</v>
      </c>
      <c r="Q61" s="18" t="n">
        <v>2.24003433</v>
      </c>
      <c r="R61" s="20" t="n">
        <v>0.54006554</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3460</v>
      </c>
      <c r="C67" s="18">
        <f>(2624.0/B67*100)</f>
        <v/>
      </c>
      <c r="D67" s="19" t="n">
        <v>836</v>
      </c>
      <c r="E67" s="18" t="n">
        <v>66.00642501</v>
      </c>
      <c r="F67" s="20" t="n">
        <v>1.69906565</v>
      </c>
      <c r="G67" s="18" t="n">
        <v>33.31142737</v>
      </c>
      <c r="H67" s="20" t="n">
        <v>1.65928169</v>
      </c>
      <c r="I67" s="18" t="s">
        <v>105</v>
      </c>
      <c r="J67" s="20" t="s">
        <v>105</v>
      </c>
      <c r="K67" s="18" t="n">
        <v>0</v>
      </c>
      <c r="L67" s="20" t="n">
        <v>0</v>
      </c>
      <c r="M67" s="18" t="n">
        <v>0</v>
      </c>
      <c r="N67" s="20" t="n">
        <v>0</v>
      </c>
      <c r="O67" s="18" t="n">
        <v>0</v>
      </c>
      <c r="P67" s="20" t="n">
        <v>0</v>
      </c>
      <c r="Q67" s="18" t="n">
        <v>0.68214762</v>
      </c>
      <c r="R67" s="20" t="n">
        <v>0.31851898</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3107</v>
      </c>
      <c r="C70" s="18">
        <f>(2347.0/B70*100)</f>
        <v/>
      </c>
      <c r="D70" s="19" t="n">
        <v>760</v>
      </c>
      <c r="E70" s="18" t="n">
        <v>54.21368432</v>
      </c>
      <c r="F70" s="20" t="n">
        <v>2.19499365</v>
      </c>
      <c r="G70" s="18" t="n">
        <v>44.2896713</v>
      </c>
      <c r="H70" s="20" t="n">
        <v>2.29270662</v>
      </c>
      <c r="I70" s="18" t="s">
        <v>105</v>
      </c>
      <c r="J70" s="20" t="s">
        <v>105</v>
      </c>
      <c r="K70" s="18" t="n">
        <v>0.59309295</v>
      </c>
      <c r="L70" s="20" t="n">
        <v>0.30189025</v>
      </c>
      <c r="M70" s="18" t="n">
        <v>0</v>
      </c>
      <c r="N70" s="20" t="n">
        <v>0</v>
      </c>
      <c r="O70" s="18" t="n">
        <v>0</v>
      </c>
      <c r="P70" s="20" t="n">
        <v>0</v>
      </c>
      <c r="Q70" s="18" t="n">
        <v>0.90355143</v>
      </c>
      <c r="R70" s="20" t="n">
        <v>0.22360873</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35.xml><?xml version="1.0" encoding="utf-8"?>
<worksheet xmlns="http://schemas.openxmlformats.org/spreadsheetml/2006/main">
  <sheetPr>
    <outlinePr summaryBelow="1" summaryRight="1"/>
    <pageSetUpPr/>
  </sheetPr>
  <dimension ref="A1:T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0">
      <c r="A1" s="4" t="s">
        <v>87</v>
      </c>
    </row>
    <row r="2" spans="1:20">
      <c r="A2" s="5" t="s">
        <v>240</v>
      </c>
    </row>
    <row customHeight="1" ht="30" r="4" spans="1:20">
      <c r="A4" s="6" t="n"/>
      <c r="B4" s="7" t="s">
        <v>89</v>
      </c>
      <c r="C4" s="7" t="s">
        <v>90</v>
      </c>
      <c r="D4" s="8" t="s">
        <v>89</v>
      </c>
      <c r="E4" s="9" t="s">
        <v>202</v>
      </c>
      <c r="F4" s="10" t="n"/>
      <c r="G4" s="9" t="s">
        <v>203</v>
      </c>
      <c r="H4" s="10" t="n"/>
      <c r="I4" s="9" t="s">
        <v>204</v>
      </c>
      <c r="J4" s="10" t="n"/>
      <c r="K4" s="9" t="s">
        <v>93</v>
      </c>
      <c r="L4" s="10" t="n"/>
      <c r="M4" s="9" t="s">
        <v>94</v>
      </c>
      <c r="N4" s="10" t="n"/>
      <c r="O4" s="9" t="s">
        <v>95</v>
      </c>
      <c r="P4" s="10" t="n"/>
      <c r="Q4" s="9" t="s">
        <v>96</v>
      </c>
      <c r="R4" s="10" t="n"/>
      <c r="S4" s="9" t="s">
        <v>97</v>
      </c>
      <c r="T4" s="10" t="n"/>
    </row>
    <row r="5" spans="1:20">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c r="S5" s="12" t="s">
        <v>101</v>
      </c>
      <c r="T5" s="11" t="s">
        <v>102</v>
      </c>
    </row>
    <row r="6" spans="1:20">
      <c r="A6" s="13" t="s">
        <v>103</v>
      </c>
      <c r="B6" s="14" t="n"/>
      <c r="C6" s="14" t="n"/>
      <c r="D6" s="15" t="n"/>
      <c r="E6" s="14" t="n"/>
      <c r="F6" s="15" t="n"/>
      <c r="G6" s="14" t="n"/>
      <c r="H6" s="15" t="n"/>
      <c r="I6" s="14" t="n"/>
      <c r="J6" s="15" t="n"/>
      <c r="K6" s="14" t="n"/>
      <c r="L6" s="15" t="n"/>
      <c r="M6" s="14" t="n"/>
      <c r="N6" s="15" t="n"/>
      <c r="O6" s="14" t="n"/>
      <c r="P6" s="15" t="n"/>
      <c r="Q6" s="14" t="n"/>
      <c r="R6" s="15" t="n"/>
      <c r="S6" s="14" t="n"/>
      <c r="T6" s="16" t="n"/>
    </row>
    <row r="7" spans="1:20">
      <c r="A7" s="15" t="s">
        <v>104</v>
      </c>
      <c r="B7" s="17" t="n">
        <v>7163</v>
      </c>
      <c r="C7" s="18">
        <f>(410.0/B7*100)</f>
        <v/>
      </c>
      <c r="D7" s="19" t="n">
        <v>6753</v>
      </c>
      <c r="E7" s="18" t="n">
        <v>33.03076577</v>
      </c>
      <c r="F7" s="20" t="n">
        <v>0.71640866</v>
      </c>
      <c r="G7" s="18" t="n">
        <v>35.07260034</v>
      </c>
      <c r="H7" s="20" t="n">
        <v>0.59438046</v>
      </c>
      <c r="I7" s="18" t="n">
        <v>23.17388718</v>
      </c>
      <c r="J7" s="20" t="n">
        <v>0.56878869</v>
      </c>
      <c r="K7" s="18" t="s">
        <v>105</v>
      </c>
      <c r="L7" s="20" t="s">
        <v>105</v>
      </c>
      <c r="M7" s="18" t="n">
        <v>0.77123397</v>
      </c>
      <c r="N7" s="20" t="n">
        <v>0.11657408</v>
      </c>
      <c r="O7" s="18" t="n">
        <v>0.00632919</v>
      </c>
      <c r="P7" s="20" t="n">
        <v>0.00309492</v>
      </c>
      <c r="Q7" s="18" t="n">
        <v>0</v>
      </c>
      <c r="R7" s="20" t="n">
        <v>0</v>
      </c>
      <c r="S7" s="18" t="n">
        <v>7.94518355</v>
      </c>
      <c r="T7" s="20" t="n">
        <v>0.39057546</v>
      </c>
    </row>
    <row r="8" spans="1:20">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c r="S8" s="21" t="s">
        <v>107</v>
      </c>
      <c r="T8" s="22" t="s">
        <v>107</v>
      </c>
    </row>
    <row r="9" spans="1:20">
      <c r="A9" s="15" t="s">
        <v>108</v>
      </c>
      <c r="B9" s="17" t="n">
        <v>2795</v>
      </c>
      <c r="C9" s="18">
        <f>(2149.0/B9*100)</f>
        <v/>
      </c>
      <c r="D9" s="19" t="n">
        <v>646</v>
      </c>
      <c r="E9" s="18" t="n">
        <v>20.67795733</v>
      </c>
      <c r="F9" s="20" t="n">
        <v>1.57625588</v>
      </c>
      <c r="G9" s="18" t="n">
        <v>35.72844122</v>
      </c>
      <c r="H9" s="20" t="n">
        <v>1.66938141</v>
      </c>
      <c r="I9" s="18" t="n">
        <v>36.61531291</v>
      </c>
      <c r="J9" s="20" t="n">
        <v>1.59839023</v>
      </c>
      <c r="K9" s="18" t="s">
        <v>105</v>
      </c>
      <c r="L9" s="20" t="s">
        <v>105</v>
      </c>
      <c r="M9" s="18" t="n">
        <v>0.31707689</v>
      </c>
      <c r="N9" s="20" t="n">
        <v>0.34388383</v>
      </c>
      <c r="O9" s="18" t="n">
        <v>0.79150351</v>
      </c>
      <c r="P9" s="20" t="n">
        <v>0.30523006</v>
      </c>
      <c r="Q9" s="18" t="n">
        <v>0</v>
      </c>
      <c r="R9" s="20" t="n">
        <v>0</v>
      </c>
      <c r="S9" s="18" t="n">
        <v>5.86970815</v>
      </c>
      <c r="T9" s="20" t="n">
        <v>0.80846971</v>
      </c>
    </row>
    <row r="10" spans="1:20">
      <c r="A10" s="15" t="s">
        <v>109</v>
      </c>
      <c r="B10" s="17" t="n">
        <v>6602</v>
      </c>
      <c r="C10" s="18">
        <f>(5012.0/B10*100)</f>
        <v/>
      </c>
      <c r="D10" s="19" t="n">
        <v>1590</v>
      </c>
      <c r="E10" s="18" t="n">
        <v>17.30019228</v>
      </c>
      <c r="F10" s="20" t="n">
        <v>1.44192883</v>
      </c>
      <c r="G10" s="18" t="n">
        <v>64.32252404</v>
      </c>
      <c r="H10" s="20" t="n">
        <v>1.81472025</v>
      </c>
      <c r="I10" s="18" t="n">
        <v>13.58386891</v>
      </c>
      <c r="J10" s="20" t="n">
        <v>1.08495956</v>
      </c>
      <c r="K10" s="18" t="s">
        <v>105</v>
      </c>
      <c r="L10" s="20" t="s">
        <v>105</v>
      </c>
      <c r="M10" s="18" t="n">
        <v>0.22343404</v>
      </c>
      <c r="N10" s="20" t="n">
        <v>0.19940222</v>
      </c>
      <c r="O10" s="18" t="n">
        <v>0.21985045</v>
      </c>
      <c r="P10" s="20" t="n">
        <v>0.18647882</v>
      </c>
      <c r="Q10" s="18" t="n">
        <v>0</v>
      </c>
      <c r="R10" s="20" t="n">
        <v>0</v>
      </c>
      <c r="S10" s="18" t="n">
        <v>4.35013028</v>
      </c>
      <c r="T10" s="20" t="n">
        <v>0.87873359</v>
      </c>
    </row>
    <row r="11" spans="1:20">
      <c r="A11" s="15" t="s">
        <v>110</v>
      </c>
      <c r="B11" s="17" t="n">
        <v>3500</v>
      </c>
      <c r="C11" s="18">
        <f>(2620.0/B11*100)</f>
        <v/>
      </c>
      <c r="D11" s="19" t="n">
        <v>880</v>
      </c>
      <c r="E11" s="18" t="n">
        <v>53.00484609</v>
      </c>
      <c r="F11" s="20" t="n">
        <v>2.20698231</v>
      </c>
      <c r="G11" s="18" t="n">
        <v>18.21255461</v>
      </c>
      <c r="H11" s="20" t="n">
        <v>1.75837487</v>
      </c>
      <c r="I11" s="18" t="n">
        <v>10.02615352</v>
      </c>
      <c r="J11" s="20" t="n">
        <v>1.2602527</v>
      </c>
      <c r="K11" s="18" t="s">
        <v>105</v>
      </c>
      <c r="L11" s="20" t="s">
        <v>105</v>
      </c>
      <c r="M11" s="18" t="n">
        <v>0.31104974</v>
      </c>
      <c r="N11" s="20" t="n">
        <v>0.2385852</v>
      </c>
      <c r="O11" s="18" t="n">
        <v>0.08338704</v>
      </c>
      <c r="P11" s="20" t="n">
        <v>0.06407237</v>
      </c>
      <c r="Q11" s="18" t="n">
        <v>0</v>
      </c>
      <c r="R11" s="20" t="n">
        <v>0</v>
      </c>
      <c r="S11" s="18" t="n">
        <v>18.362009</v>
      </c>
      <c r="T11" s="20" t="n">
        <v>1.66609632</v>
      </c>
    </row>
    <row r="12" spans="1:20">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c r="S12" s="21" t="s">
        <v>107</v>
      </c>
      <c r="T12" s="22" t="s">
        <v>107</v>
      </c>
    </row>
    <row r="13" spans="1:20">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c r="S13" s="21" t="s">
        <v>107</v>
      </c>
      <c r="T13" s="22" t="s">
        <v>107</v>
      </c>
    </row>
    <row r="14" spans="1:20">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c r="S14" s="21" t="s">
        <v>107</v>
      </c>
      <c r="T14" s="22" t="s">
        <v>107</v>
      </c>
    </row>
    <row r="15" spans="1:20">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c r="S15" s="21" t="s">
        <v>107</v>
      </c>
      <c r="T15" s="22" t="s">
        <v>107</v>
      </c>
    </row>
    <row r="16" spans="1:20">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c r="S16" s="21" t="s">
        <v>107</v>
      </c>
      <c r="T16" s="22" t="s">
        <v>107</v>
      </c>
    </row>
    <row r="17" spans="1:20">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c r="S17" s="21" t="s">
        <v>107</v>
      </c>
      <c r="T17" s="22" t="s">
        <v>107</v>
      </c>
    </row>
    <row r="18" spans="1:20">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c r="S18" s="21" t="s">
        <v>107</v>
      </c>
      <c r="T18" s="22" t="s">
        <v>107</v>
      </c>
    </row>
    <row r="19" spans="1:20">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c r="S19" s="21" t="s">
        <v>107</v>
      </c>
      <c r="T19" s="22" t="s">
        <v>107</v>
      </c>
    </row>
    <row r="20" spans="1:20">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c r="S20" s="21" t="s">
        <v>107</v>
      </c>
      <c r="T20" s="22" t="s">
        <v>107</v>
      </c>
    </row>
    <row r="21" spans="1:20">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c r="S21" s="21" t="s">
        <v>107</v>
      </c>
      <c r="T21" s="22" t="s">
        <v>107</v>
      </c>
    </row>
    <row r="22" spans="1:20">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c r="S22" s="21" t="s">
        <v>107</v>
      </c>
      <c r="T22" s="22" t="s">
        <v>107</v>
      </c>
    </row>
    <row r="23" spans="1:20">
      <c r="A23" s="15" t="s">
        <v>122</v>
      </c>
      <c r="B23" s="17" t="n">
        <v>5792</v>
      </c>
      <c r="C23" s="18">
        <f>(4461.0/B23*100)</f>
        <v/>
      </c>
      <c r="D23" s="19" t="n">
        <v>1331</v>
      </c>
      <c r="E23" s="18" t="n">
        <v>46.08648887</v>
      </c>
      <c r="F23" s="20" t="n">
        <v>2.02117405</v>
      </c>
      <c r="G23" s="18" t="n">
        <v>21.81258353</v>
      </c>
      <c r="H23" s="20" t="n">
        <v>1.53673425</v>
      </c>
      <c r="I23" s="18" t="n">
        <v>13.17652256</v>
      </c>
      <c r="J23" s="20" t="n">
        <v>1.49634548</v>
      </c>
      <c r="K23" s="18" t="s">
        <v>105</v>
      </c>
      <c r="L23" s="20" t="s">
        <v>105</v>
      </c>
      <c r="M23" s="18" t="n">
        <v>0.48617106</v>
      </c>
      <c r="N23" s="20" t="n">
        <v>0.27172516</v>
      </c>
      <c r="O23" s="18" t="n">
        <v>0</v>
      </c>
      <c r="P23" s="20" t="n">
        <v>0</v>
      </c>
      <c r="Q23" s="18" t="n">
        <v>0</v>
      </c>
      <c r="R23" s="20" t="n">
        <v>0</v>
      </c>
      <c r="S23" s="18" t="n">
        <v>18.43823399</v>
      </c>
      <c r="T23" s="20" t="n">
        <v>1.69088865</v>
      </c>
    </row>
    <row r="24" spans="1:20">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c r="S24" s="21" t="s">
        <v>107</v>
      </c>
      <c r="T24" s="22" t="s">
        <v>107</v>
      </c>
    </row>
    <row r="25" spans="1:20">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c r="S25" s="21" t="s">
        <v>107</v>
      </c>
      <c r="T25" s="22" t="s">
        <v>107</v>
      </c>
    </row>
    <row r="26" spans="1:20">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c r="S26" s="21" t="s">
        <v>107</v>
      </c>
      <c r="T26" s="22" t="s">
        <v>107</v>
      </c>
    </row>
    <row r="27" spans="1:20">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c r="S27" s="21" t="s">
        <v>107</v>
      </c>
      <c r="T27" s="22" t="s">
        <v>107</v>
      </c>
    </row>
    <row r="28" spans="1:20">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c r="S28" s="21" t="s">
        <v>107</v>
      </c>
      <c r="T28" s="22" t="s">
        <v>107</v>
      </c>
    </row>
    <row r="29" spans="1:20">
      <c r="A29" s="15" t="s">
        <v>128</v>
      </c>
      <c r="B29" s="17" t="n">
        <v>2700</v>
      </c>
      <c r="C29" s="18">
        <f>(2020.0/B29*100)</f>
        <v/>
      </c>
      <c r="D29" s="19" t="n">
        <v>680</v>
      </c>
      <c r="E29" s="18" t="n">
        <v>37.82856964</v>
      </c>
      <c r="F29" s="20" t="n">
        <v>1.76674945</v>
      </c>
      <c r="G29" s="18" t="n">
        <v>31.10202959</v>
      </c>
      <c r="H29" s="20" t="n">
        <v>1.64427403</v>
      </c>
      <c r="I29" s="18" t="n">
        <v>28.26134357</v>
      </c>
      <c r="J29" s="20" t="n">
        <v>1.79049361</v>
      </c>
      <c r="K29" s="18" t="s">
        <v>105</v>
      </c>
      <c r="L29" s="20" t="s">
        <v>105</v>
      </c>
      <c r="M29" s="18" t="n">
        <v>0.12826646</v>
      </c>
      <c r="N29" s="20" t="n">
        <v>0.13672156</v>
      </c>
      <c r="O29" s="18" t="n">
        <v>0</v>
      </c>
      <c r="P29" s="20" t="n">
        <v>0</v>
      </c>
      <c r="Q29" s="18" t="n">
        <v>0</v>
      </c>
      <c r="R29" s="20" t="n">
        <v>0</v>
      </c>
      <c r="S29" s="18" t="n">
        <v>2.67979073</v>
      </c>
      <c r="T29" s="20" t="n">
        <v>0.61619097</v>
      </c>
    </row>
    <row r="30" spans="1:20">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c r="S30" s="21" t="s">
        <v>107</v>
      </c>
      <c r="T30" s="22" t="s">
        <v>107</v>
      </c>
    </row>
    <row r="31" spans="1:20">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c r="S31" s="21" t="s">
        <v>107</v>
      </c>
      <c r="T31" s="22" t="s">
        <v>107</v>
      </c>
    </row>
    <row r="32" spans="1:20">
      <c r="A32" s="15" t="s">
        <v>131</v>
      </c>
      <c r="B32" s="17" t="n">
        <v>2209</v>
      </c>
      <c r="C32" s="18">
        <f>(1356.0/B32*100)</f>
        <v/>
      </c>
      <c r="D32" s="19" t="n">
        <v>853</v>
      </c>
      <c r="E32" s="18" t="n">
        <v>32.38737647</v>
      </c>
      <c r="F32" s="20" t="n">
        <v>1.72752965</v>
      </c>
      <c r="G32" s="18" t="n">
        <v>35.25980114</v>
      </c>
      <c r="H32" s="20" t="n">
        <v>1.71613499</v>
      </c>
      <c r="I32" s="18" t="n">
        <v>19.0826629</v>
      </c>
      <c r="J32" s="20" t="n">
        <v>1.47111914</v>
      </c>
      <c r="K32" s="18" t="s">
        <v>105</v>
      </c>
      <c r="L32" s="20" t="s">
        <v>105</v>
      </c>
      <c r="M32" s="18" t="n">
        <v>0.24469358</v>
      </c>
      <c r="N32" s="20" t="n">
        <v>0.18098644</v>
      </c>
      <c r="O32" s="18" t="n">
        <v>0.49697506</v>
      </c>
      <c r="P32" s="20" t="n">
        <v>0.52915958</v>
      </c>
      <c r="Q32" s="18" t="n">
        <v>0</v>
      </c>
      <c r="R32" s="20" t="n">
        <v>0</v>
      </c>
      <c r="S32" s="18" t="n">
        <v>12.52849084</v>
      </c>
      <c r="T32" s="20" t="n">
        <v>1.24502337</v>
      </c>
    </row>
    <row r="33" spans="1:20">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c r="S33" s="21" t="s">
        <v>107</v>
      </c>
      <c r="T33" s="22" t="s">
        <v>107</v>
      </c>
    </row>
    <row r="34" spans="1:20">
      <c r="A34" s="15" t="s">
        <v>133</v>
      </c>
      <c r="B34" s="17" t="n">
        <v>3035</v>
      </c>
      <c r="C34" s="18">
        <f>(2307.0/B34*100)</f>
        <v/>
      </c>
      <c r="D34" s="19" t="n">
        <v>728</v>
      </c>
      <c r="E34" s="18" t="n">
        <v>39.62493096</v>
      </c>
      <c r="F34" s="20" t="n">
        <v>1.9585695</v>
      </c>
      <c r="G34" s="18" t="n">
        <v>33.79063918</v>
      </c>
      <c r="H34" s="20" t="n">
        <v>1.88907074</v>
      </c>
      <c r="I34" s="18" t="n">
        <v>9.01911978</v>
      </c>
      <c r="J34" s="20" t="n">
        <v>1.17892228</v>
      </c>
      <c r="K34" s="18" t="s">
        <v>105</v>
      </c>
      <c r="L34" s="20" t="s">
        <v>105</v>
      </c>
      <c r="M34" s="18" t="n">
        <v>0.76680274</v>
      </c>
      <c r="N34" s="20" t="n">
        <v>0.37039049</v>
      </c>
      <c r="O34" s="18" t="n">
        <v>0</v>
      </c>
      <c r="P34" s="20" t="n">
        <v>0</v>
      </c>
      <c r="Q34" s="18" t="n">
        <v>0</v>
      </c>
      <c r="R34" s="20" t="n">
        <v>0</v>
      </c>
      <c r="S34" s="18" t="n">
        <v>16.79850734</v>
      </c>
      <c r="T34" s="20" t="n">
        <v>1.58447906</v>
      </c>
    </row>
    <row r="35" spans="1:20">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c r="S35" s="21" t="s">
        <v>107</v>
      </c>
      <c r="T35" s="22" t="s">
        <v>107</v>
      </c>
    </row>
    <row r="36" spans="1:20">
      <c r="A36" s="15" t="s">
        <v>135</v>
      </c>
      <c r="B36" s="17" t="n">
        <v>3404</v>
      </c>
      <c r="C36" s="18">
        <f>(2539.0/B36*100)</f>
        <v/>
      </c>
      <c r="D36" s="19" t="n">
        <v>865</v>
      </c>
      <c r="E36" s="18" t="n">
        <v>24.37142599</v>
      </c>
      <c r="F36" s="20" t="n">
        <v>1.69584872</v>
      </c>
      <c r="G36" s="18" t="n">
        <v>34.04653122</v>
      </c>
      <c r="H36" s="20" t="n">
        <v>1.83119047</v>
      </c>
      <c r="I36" s="18" t="n">
        <v>33.40795214</v>
      </c>
      <c r="J36" s="20" t="n">
        <v>1.59417437</v>
      </c>
      <c r="K36" s="18" t="s">
        <v>105</v>
      </c>
      <c r="L36" s="20" t="s">
        <v>105</v>
      </c>
      <c r="M36" s="18" t="n">
        <v>0.32706935</v>
      </c>
      <c r="N36" s="20" t="n">
        <v>0.19128118</v>
      </c>
      <c r="O36" s="18" t="n">
        <v>0</v>
      </c>
      <c r="P36" s="20" t="n">
        <v>0</v>
      </c>
      <c r="Q36" s="18" t="n">
        <v>0</v>
      </c>
      <c r="R36" s="20" t="n">
        <v>0</v>
      </c>
      <c r="S36" s="18" t="n">
        <v>7.84702131</v>
      </c>
      <c r="T36" s="20" t="n">
        <v>0.9414079400000001</v>
      </c>
    </row>
    <row r="37" spans="1:20">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c r="S37" s="21" t="s">
        <v>107</v>
      </c>
      <c r="T37" s="22" t="s">
        <v>107</v>
      </c>
    </row>
    <row r="38" spans="1:20">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c r="S38" s="21" t="s">
        <v>107</v>
      </c>
      <c r="T38" s="22" t="s">
        <v>107</v>
      </c>
    </row>
    <row r="39" spans="1:20">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c r="S39" s="21" t="s">
        <v>107</v>
      </c>
      <c r="T39" s="22" t="s">
        <v>107</v>
      </c>
    </row>
    <row r="40" spans="1:20">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c r="S40" s="21" t="s">
        <v>107</v>
      </c>
      <c r="T40" s="22" t="s">
        <v>107</v>
      </c>
    </row>
    <row r="41" spans="1:20">
      <c r="A41" s="15" t="s">
        <v>140</v>
      </c>
      <c r="B41" s="17" t="n">
        <v>2854</v>
      </c>
      <c r="C41" s="18">
        <f>(2134.0/B41*100)</f>
        <v/>
      </c>
      <c r="D41" s="19" t="n">
        <v>720</v>
      </c>
      <c r="E41" s="18" t="n">
        <v>20.48068569</v>
      </c>
      <c r="F41" s="20" t="n">
        <v>1.59554595</v>
      </c>
      <c r="G41" s="18" t="n">
        <v>50.23827251</v>
      </c>
      <c r="H41" s="20" t="n">
        <v>1.64226786</v>
      </c>
      <c r="I41" s="18" t="n">
        <v>27.13000794</v>
      </c>
      <c r="J41" s="20" t="n">
        <v>1.45621366</v>
      </c>
      <c r="K41" s="18" t="s">
        <v>105</v>
      </c>
      <c r="L41" s="20" t="s">
        <v>105</v>
      </c>
      <c r="M41" s="18" t="n">
        <v>0</v>
      </c>
      <c r="N41" s="20" t="n">
        <v>0</v>
      </c>
      <c r="O41" s="18" t="n">
        <v>0</v>
      </c>
      <c r="P41" s="20" t="n">
        <v>0</v>
      </c>
      <c r="Q41" s="18" t="n">
        <v>0</v>
      </c>
      <c r="R41" s="20" t="n">
        <v>0</v>
      </c>
      <c r="S41" s="18" t="n">
        <v>2.15103386</v>
      </c>
      <c r="T41" s="20" t="n">
        <v>0.57009725</v>
      </c>
    </row>
    <row r="42" spans="1:20">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row>
    <row r="43" spans="1:20">
      <c r="A43" s="13" t="s">
        <v>142</v>
      </c>
      <c r="B43" s="14" t="n"/>
      <c r="C43" s="14" t="n"/>
      <c r="D43" s="15" t="n"/>
      <c r="E43" s="14" t="n"/>
      <c r="F43" s="15" t="n"/>
      <c r="G43" s="14" t="n"/>
      <c r="H43" s="15" t="n"/>
      <c r="I43" s="14" t="n"/>
      <c r="J43" s="15" t="n"/>
      <c r="K43" s="14" t="n"/>
      <c r="L43" s="15" t="n"/>
      <c r="M43" s="14" t="n"/>
      <c r="N43" s="15" t="n"/>
      <c r="O43" s="14" t="n"/>
      <c r="P43" s="15" t="n"/>
      <c r="Q43" s="14" t="n"/>
      <c r="R43" s="15" t="n"/>
      <c r="S43" s="14" t="n"/>
      <c r="T43" s="16" t="n"/>
    </row>
    <row r="44" spans="1:20">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c r="S44" s="21" t="s">
        <v>107</v>
      </c>
      <c r="T44" s="22" t="s">
        <v>107</v>
      </c>
    </row>
    <row r="45" spans="1:20">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c r="S45" s="21" t="s">
        <v>107</v>
      </c>
      <c r="T45" s="22" t="s">
        <v>107</v>
      </c>
    </row>
    <row r="46" spans="1:20">
      <c r="A46" s="15" t="s">
        <v>145</v>
      </c>
      <c r="B46" s="17" t="n">
        <v>12073</v>
      </c>
      <c r="C46" s="18">
        <f>(9683.0/B46*100)</f>
        <v/>
      </c>
      <c r="D46" s="19" t="n">
        <v>2390</v>
      </c>
      <c r="E46" s="18" t="n">
        <v>45.06305195</v>
      </c>
      <c r="F46" s="20" t="n">
        <v>1.39907247</v>
      </c>
      <c r="G46" s="18" t="n">
        <v>24.04053151</v>
      </c>
      <c r="H46" s="20" t="n">
        <v>1.2186818</v>
      </c>
      <c r="I46" s="18" t="n">
        <v>5.81179713</v>
      </c>
      <c r="J46" s="20" t="n">
        <v>0.64751798</v>
      </c>
      <c r="K46" s="18" t="s">
        <v>105</v>
      </c>
      <c r="L46" s="20" t="s">
        <v>105</v>
      </c>
      <c r="M46" s="18" t="n">
        <v>2.85697504</v>
      </c>
      <c r="N46" s="20" t="n">
        <v>0.45913288</v>
      </c>
      <c r="O46" s="18" t="n">
        <v>0</v>
      </c>
      <c r="P46" s="20" t="n">
        <v>0</v>
      </c>
      <c r="Q46" s="18" t="n">
        <v>0</v>
      </c>
      <c r="R46" s="20" t="n">
        <v>0</v>
      </c>
      <c r="S46" s="18" t="n">
        <v>22.22764437</v>
      </c>
      <c r="T46" s="20" t="n">
        <v>1.35590595</v>
      </c>
    </row>
    <row r="47" spans="1:20">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c r="S47" s="21" t="s">
        <v>107</v>
      </c>
      <c r="T47" s="22" t="s">
        <v>107</v>
      </c>
    </row>
    <row r="48" spans="1:20">
      <c r="A48" s="15" t="s">
        <v>147</v>
      </c>
      <c r="B48" s="17" t="n">
        <v>4682</v>
      </c>
      <c r="C48" s="18">
        <f>(3495.0/B48*100)</f>
        <v/>
      </c>
      <c r="D48" s="19" t="n">
        <v>1187</v>
      </c>
      <c r="E48" s="18" t="n">
        <v>25.76899271</v>
      </c>
      <c r="F48" s="20" t="n">
        <v>1.90423966</v>
      </c>
      <c r="G48" s="18" t="n">
        <v>53.86354375</v>
      </c>
      <c r="H48" s="20" t="n">
        <v>2.20062833</v>
      </c>
      <c r="I48" s="18" t="n">
        <v>13.77202971</v>
      </c>
      <c r="J48" s="20" t="n">
        <v>1.64089234</v>
      </c>
      <c r="K48" s="18" t="s">
        <v>105</v>
      </c>
      <c r="L48" s="20" t="s">
        <v>105</v>
      </c>
      <c r="M48" s="18" t="n">
        <v>0</v>
      </c>
      <c r="N48" s="20" t="n">
        <v>0</v>
      </c>
      <c r="O48" s="18" t="n">
        <v>0</v>
      </c>
      <c r="P48" s="20" t="n">
        <v>0</v>
      </c>
      <c r="Q48" s="18" t="n">
        <v>0</v>
      </c>
      <c r="R48" s="20" t="n">
        <v>0</v>
      </c>
      <c r="S48" s="18" t="n">
        <v>6.59543383</v>
      </c>
      <c r="T48" s="20" t="n">
        <v>1.35222677</v>
      </c>
    </row>
    <row r="49" spans="1:20">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c r="S49" s="21" t="s">
        <v>107</v>
      </c>
      <c r="T49" s="22" t="s">
        <v>107</v>
      </c>
    </row>
    <row r="50" spans="1:20">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c r="S50" s="21" t="s">
        <v>107</v>
      </c>
      <c r="T50" s="22" t="s">
        <v>107</v>
      </c>
    </row>
    <row r="51" spans="1:20">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c r="S51" s="21" t="s">
        <v>107</v>
      </c>
      <c r="T51" s="22" t="s">
        <v>107</v>
      </c>
    </row>
    <row r="52" spans="1:20">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c r="S52" s="21" t="s">
        <v>107</v>
      </c>
      <c r="T52" s="22" t="s">
        <v>107</v>
      </c>
    </row>
    <row r="53" spans="1:20">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c r="S53" s="21" t="s">
        <v>107</v>
      </c>
      <c r="T53" s="22" t="s">
        <v>107</v>
      </c>
    </row>
    <row r="54" spans="1:20">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c r="S54" s="21" t="s">
        <v>107</v>
      </c>
      <c r="T54" s="22" t="s">
        <v>107</v>
      </c>
    </row>
    <row r="55" spans="1:20">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c r="S55" s="21" t="s">
        <v>107</v>
      </c>
      <c r="T55" s="22" t="s">
        <v>107</v>
      </c>
    </row>
    <row r="56" spans="1:20">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c r="S56" s="21" t="s">
        <v>107</v>
      </c>
      <c r="T56" s="22" t="s">
        <v>107</v>
      </c>
    </row>
    <row r="57" spans="1:20">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c r="S57" s="21" t="s">
        <v>107</v>
      </c>
      <c r="T57" s="22" t="s">
        <v>107</v>
      </c>
    </row>
    <row r="58" spans="1:20">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c r="S58" s="21" t="s">
        <v>107</v>
      </c>
      <c r="T58" s="22" t="s">
        <v>107</v>
      </c>
    </row>
    <row r="59" spans="1:20">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c r="S59" s="21" t="s">
        <v>107</v>
      </c>
      <c r="T59" s="22" t="s">
        <v>107</v>
      </c>
    </row>
    <row r="60" spans="1:20">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c r="S60" s="21" t="s">
        <v>107</v>
      </c>
      <c r="T60" s="22" t="s">
        <v>107</v>
      </c>
    </row>
    <row r="61" spans="1:20">
      <c r="A61" s="15" t="s">
        <v>160</v>
      </c>
      <c r="B61" s="17" t="n">
        <v>3201</v>
      </c>
      <c r="C61" s="18">
        <f>(2360.0/B61*100)</f>
        <v/>
      </c>
      <c r="D61" s="19" t="n">
        <v>841</v>
      </c>
      <c r="E61" s="18" t="n">
        <v>31.53045417</v>
      </c>
      <c r="F61" s="20" t="n">
        <v>1.92544383</v>
      </c>
      <c r="G61" s="18" t="n">
        <v>22.10108338</v>
      </c>
      <c r="H61" s="20" t="n">
        <v>1.54537618</v>
      </c>
      <c r="I61" s="18" t="n">
        <v>28.74773145</v>
      </c>
      <c r="J61" s="20" t="n">
        <v>1.71548678</v>
      </c>
      <c r="K61" s="18" t="s">
        <v>105</v>
      </c>
      <c r="L61" s="20" t="s">
        <v>105</v>
      </c>
      <c r="M61" s="18" t="n">
        <v>0.17958721</v>
      </c>
      <c r="N61" s="20" t="n">
        <v>0.16151926</v>
      </c>
      <c r="O61" s="18" t="n">
        <v>0</v>
      </c>
      <c r="P61" s="20" t="n">
        <v>0</v>
      </c>
      <c r="Q61" s="18" t="n">
        <v>0</v>
      </c>
      <c r="R61" s="20" t="n">
        <v>0</v>
      </c>
      <c r="S61" s="18" t="n">
        <v>17.44114379</v>
      </c>
      <c r="T61" s="20" t="n">
        <v>1.58082034</v>
      </c>
    </row>
    <row r="62" spans="1:20">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c r="S62" s="21" t="s">
        <v>107</v>
      </c>
      <c r="T62" s="22" t="s">
        <v>107</v>
      </c>
    </row>
    <row r="63" spans="1:20">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c r="S63" s="21" t="s">
        <v>107</v>
      </c>
      <c r="T63" s="22" t="s">
        <v>107</v>
      </c>
    </row>
    <row r="64" spans="1:20">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c r="S64" s="21" t="s">
        <v>107</v>
      </c>
      <c r="T64" s="22" t="s">
        <v>107</v>
      </c>
    </row>
    <row r="65" spans="1:20">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c r="S65" s="21" t="s">
        <v>107</v>
      </c>
      <c r="T65" s="22" t="s">
        <v>107</v>
      </c>
    </row>
    <row r="66" spans="1:20">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c r="S66" s="21" t="s">
        <v>107</v>
      </c>
      <c r="T66" s="22" t="s">
        <v>107</v>
      </c>
    </row>
    <row r="67" spans="1:20">
      <c r="A67" s="15" t="s">
        <v>166</v>
      </c>
      <c r="B67" s="17" t="n">
        <v>3460</v>
      </c>
      <c r="C67" s="18">
        <f>(2642.0/B67*100)</f>
        <v/>
      </c>
      <c r="D67" s="19" t="n">
        <v>818</v>
      </c>
      <c r="E67" s="18" t="n">
        <v>62.02341872</v>
      </c>
      <c r="F67" s="20" t="n">
        <v>1.71846724</v>
      </c>
      <c r="G67" s="18" t="n">
        <v>20.56605959</v>
      </c>
      <c r="H67" s="20" t="n">
        <v>1.29768081</v>
      </c>
      <c r="I67" s="18" t="n">
        <v>10.49243431</v>
      </c>
      <c r="J67" s="20" t="n">
        <v>1.21323775</v>
      </c>
      <c r="K67" s="18" t="s">
        <v>105</v>
      </c>
      <c r="L67" s="20" t="s">
        <v>105</v>
      </c>
      <c r="M67" s="18" t="n">
        <v>0</v>
      </c>
      <c r="N67" s="20" t="n">
        <v>0</v>
      </c>
      <c r="O67" s="18" t="n">
        <v>0</v>
      </c>
      <c r="P67" s="20" t="n">
        <v>0</v>
      </c>
      <c r="Q67" s="18" t="n">
        <v>0</v>
      </c>
      <c r="R67" s="20" t="n">
        <v>0</v>
      </c>
      <c r="S67" s="18" t="n">
        <v>6.91808738</v>
      </c>
      <c r="T67" s="20" t="n">
        <v>0.89064973</v>
      </c>
    </row>
    <row r="68" spans="1:20">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c r="S68" s="21" t="s">
        <v>107</v>
      </c>
      <c r="T68" s="22" t="s">
        <v>107</v>
      </c>
    </row>
    <row r="69" spans="1:20">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c r="S69" s="21" t="s">
        <v>107</v>
      </c>
      <c r="T69" s="22" t="s">
        <v>107</v>
      </c>
    </row>
    <row r="70" spans="1:20">
      <c r="A70" s="15" t="s">
        <v>169</v>
      </c>
      <c r="B70" s="17" t="n">
        <v>3107</v>
      </c>
      <c r="C70" s="18">
        <f>(2353.0/B70*100)</f>
        <v/>
      </c>
      <c r="D70" s="19" t="n">
        <v>754</v>
      </c>
      <c r="E70" s="18" t="n">
        <v>33.20046396</v>
      </c>
      <c r="F70" s="20" t="n">
        <v>2.09265749</v>
      </c>
      <c r="G70" s="18" t="n">
        <v>52.66945626</v>
      </c>
      <c r="H70" s="20" t="n">
        <v>2.12974753</v>
      </c>
      <c r="I70" s="18" t="n">
        <v>3.73752529</v>
      </c>
      <c r="J70" s="20" t="n">
        <v>0.59371072</v>
      </c>
      <c r="K70" s="18" t="s">
        <v>105</v>
      </c>
      <c r="L70" s="20" t="s">
        <v>105</v>
      </c>
      <c r="M70" s="18" t="n">
        <v>0.80457908</v>
      </c>
      <c r="N70" s="20" t="n">
        <v>0.32887013</v>
      </c>
      <c r="O70" s="18" t="n">
        <v>0</v>
      </c>
      <c r="P70" s="20" t="n">
        <v>0</v>
      </c>
      <c r="Q70" s="18" t="n">
        <v>0</v>
      </c>
      <c r="R70" s="20" t="n">
        <v>0</v>
      </c>
      <c r="S70" s="18" t="n">
        <v>9.58797541</v>
      </c>
      <c r="T70" s="20" t="n">
        <v>1.4112693</v>
      </c>
    </row>
    <row r="71" spans="1:20">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c r="S71" s="21" t="s">
        <v>107</v>
      </c>
      <c r="T71" s="22" t="s">
        <v>107</v>
      </c>
    </row>
    <row r="72" spans="1:20">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c r="S72" s="21" t="s">
        <v>107</v>
      </c>
      <c r="T72" s="22" t="s">
        <v>107</v>
      </c>
    </row>
    <row r="73" spans="1:20">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c r="S73" s="21" t="s">
        <v>107</v>
      </c>
      <c r="T73" s="22" t="s">
        <v>107</v>
      </c>
    </row>
    <row r="74" spans="1:20">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c r="S74" s="21" t="s">
        <v>107</v>
      </c>
      <c r="T74" s="22" t="s">
        <v>107</v>
      </c>
    </row>
    <row r="75" spans="1:20">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c r="S75" s="21" t="s">
        <v>107</v>
      </c>
      <c r="T75" s="22" t="s">
        <v>107</v>
      </c>
    </row>
    <row r="76" spans="1:20">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c r="S76" s="21" t="s">
        <v>107</v>
      </c>
      <c r="T76" s="22" t="s">
        <v>107</v>
      </c>
    </row>
    <row r="77" spans="1:20">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c r="S77" s="21" t="s">
        <v>107</v>
      </c>
      <c r="T77" s="22" t="s">
        <v>107</v>
      </c>
    </row>
    <row r="78" spans="1:20">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c r="S78" s="21" t="s">
        <v>107</v>
      </c>
      <c r="T78" s="22" t="s">
        <v>107</v>
      </c>
    </row>
    <row customHeight="1" ht="25" r="79" spans="1:20">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c r="S79" s="21" t="s">
        <v>107</v>
      </c>
      <c r="T79" s="22" t="s">
        <v>107</v>
      </c>
    </row>
    <row r="80" spans="1:20">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c r="S80" s="21" t="s">
        <v>107</v>
      </c>
      <c r="T80" s="22" t="s">
        <v>107</v>
      </c>
    </row>
    <row r="81" spans="1:20">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c r="S81" s="21" t="s">
        <v>107</v>
      </c>
      <c r="T81" s="22" t="s">
        <v>107</v>
      </c>
    </row>
    <row r="82" spans="1:20">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c r="S82" s="24" t="s">
        <v>181</v>
      </c>
      <c r="T82" s="24" t="s">
        <v>181</v>
      </c>
    </row>
    <row r="83" spans="1:20">
      <c r="A83" s="3" t="s">
        <v>182</v>
      </c>
    </row>
    <row r="84" spans="1:20">
      <c r="A84" s="25" t="s">
        <v>183</v>
      </c>
    </row>
    <row r="85" spans="1:20">
      <c r="A85" s="25" t="s">
        <v>184</v>
      </c>
    </row>
    <row customHeight="1" ht="30" r="86" spans="1:20">
      <c r="A86" s="25" t="s">
        <v>185</v>
      </c>
    </row>
    <row customHeight="1" ht="30" r="87" spans="1:20">
      <c r="A87" s="25" t="s">
        <v>181</v>
      </c>
    </row>
    <row customHeight="1" ht="30" r="88" spans="1:20">
      <c r="A88" s="25" t="s">
        <v>186</v>
      </c>
    </row>
    <row customHeight="1" ht="30" r="89" spans="1:20">
      <c r="A89" s="25" t="s">
        <v>187</v>
      </c>
    </row>
    <row customHeight="1" ht="30" r="90" spans="1:20">
      <c r="A90" s="25" t="s">
        <v>188</v>
      </c>
    </row>
    <row customHeight="1" ht="30" r="91" spans="1:20">
      <c r="A91" s="25" t="s">
        <v>189</v>
      </c>
    </row>
    <row customHeight="1" ht="30" r="92" spans="1:20">
      <c r="A92" s="25" t="s">
        <v>190</v>
      </c>
    </row>
    <row customHeight="1" ht="30" r="93" spans="1:20">
      <c r="A93" s="25" t="s">
        <v>191</v>
      </c>
    </row>
    <row customHeight="1" ht="30" r="94" spans="1:20">
      <c r="A94" s="25" t="s">
        <v>192</v>
      </c>
    </row>
    <row customHeight="1" ht="30" r="95" spans="1:20">
      <c r="A95" s="25" t="s">
        <v>193</v>
      </c>
    </row>
    <row customHeight="1" ht="30" r="96" spans="1:20">
      <c r="A96" s="25" t="s">
        <v>194</v>
      </c>
    </row>
    <row customHeight="1" ht="30" r="97" spans="1:20">
      <c r="A97" s="25" t="s">
        <v>195</v>
      </c>
    </row>
  </sheetData>
  <mergeCells count="24">
    <mergeCell ref="E4:F4"/>
    <mergeCell ref="G4:H4"/>
    <mergeCell ref="I4:J4"/>
    <mergeCell ref="K4:L4"/>
    <mergeCell ref="M4:N4"/>
    <mergeCell ref="O4:P4"/>
    <mergeCell ref="Q4:R4"/>
    <mergeCell ref="S4:T4"/>
    <mergeCell ref="A1:T1"/>
    <mergeCell ref="A2:T2"/>
    <mergeCell ref="A84:T84"/>
    <mergeCell ref="A85:T85"/>
    <mergeCell ref="A86:T86"/>
    <mergeCell ref="A87:T87"/>
    <mergeCell ref="A88:T88"/>
    <mergeCell ref="A89:T89"/>
    <mergeCell ref="A90:T90"/>
    <mergeCell ref="A91:T91"/>
    <mergeCell ref="A92:T92"/>
    <mergeCell ref="A93:T93"/>
    <mergeCell ref="A94:T94"/>
    <mergeCell ref="A95:T95"/>
    <mergeCell ref="A96:T96"/>
    <mergeCell ref="A97:T97"/>
  </mergeCells>
  <pageMargins bottom="1" footer="0.5" header="0.5" left="0.75" right="0.75" top="1"/>
</worksheet>
</file>

<file path=xl/worksheets/sheet36.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241</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7163</v>
      </c>
      <c r="C7" s="18">
        <f>(494.0/B7*100)</f>
        <v/>
      </c>
      <c r="D7" s="19" t="n">
        <v>6669</v>
      </c>
      <c r="E7" s="18" t="n">
        <v>62.98069192</v>
      </c>
      <c r="F7" s="20" t="n">
        <v>0.76670276</v>
      </c>
      <c r="G7" s="18" t="n">
        <v>31.49605789</v>
      </c>
      <c r="H7" s="20" t="n">
        <v>0.6977821400000001</v>
      </c>
      <c r="I7" s="18" t="s">
        <v>105</v>
      </c>
      <c r="J7" s="20" t="s">
        <v>105</v>
      </c>
      <c r="K7" s="18" t="n">
        <v>0.8204110100000001</v>
      </c>
      <c r="L7" s="20" t="n">
        <v>0.12048617</v>
      </c>
      <c r="M7" s="18" t="n">
        <v>0</v>
      </c>
      <c r="N7" s="20" t="n">
        <v>0</v>
      </c>
      <c r="O7" s="18" t="n">
        <v>0</v>
      </c>
      <c r="P7" s="20" t="n">
        <v>0</v>
      </c>
      <c r="Q7" s="18" t="n">
        <v>4.70283918</v>
      </c>
      <c r="R7" s="20" t="n">
        <v>0.2914854</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2795</v>
      </c>
      <c r="C9" s="18">
        <f>(2155.0/B9*100)</f>
        <v/>
      </c>
      <c r="D9" s="19" t="n">
        <v>640</v>
      </c>
      <c r="E9" s="18" t="n">
        <v>63.06918414</v>
      </c>
      <c r="F9" s="20" t="n">
        <v>2.22896785</v>
      </c>
      <c r="G9" s="18" t="n">
        <v>30.95206458</v>
      </c>
      <c r="H9" s="20" t="n">
        <v>2.11089125</v>
      </c>
      <c r="I9" s="18" t="s">
        <v>105</v>
      </c>
      <c r="J9" s="20" t="s">
        <v>105</v>
      </c>
      <c r="K9" s="18" t="n">
        <v>0.32015855</v>
      </c>
      <c r="L9" s="20" t="n">
        <v>0.34719916</v>
      </c>
      <c r="M9" s="18" t="n">
        <v>0</v>
      </c>
      <c r="N9" s="20" t="n">
        <v>0</v>
      </c>
      <c r="O9" s="18" t="n">
        <v>0</v>
      </c>
      <c r="P9" s="20" t="n">
        <v>0</v>
      </c>
      <c r="Q9" s="18" t="n">
        <v>5.65859273</v>
      </c>
      <c r="R9" s="20" t="n">
        <v>0.9041383200000001</v>
      </c>
    </row>
    <row r="10" spans="1:18">
      <c r="A10" s="15" t="s">
        <v>109</v>
      </c>
      <c r="B10" s="17" t="n">
        <v>6602</v>
      </c>
      <c r="C10" s="18">
        <f>(5020.0/B10*100)</f>
        <v/>
      </c>
      <c r="D10" s="19" t="n">
        <v>1582</v>
      </c>
      <c r="E10" s="18" t="n">
        <v>62.08170924</v>
      </c>
      <c r="F10" s="20" t="n">
        <v>1.82139544</v>
      </c>
      <c r="G10" s="18" t="n">
        <v>34.48109572</v>
      </c>
      <c r="H10" s="20" t="n">
        <v>1.62096146</v>
      </c>
      <c r="I10" s="18" t="s">
        <v>105</v>
      </c>
      <c r="J10" s="20" t="s">
        <v>105</v>
      </c>
      <c r="K10" s="18" t="n">
        <v>0.22406461</v>
      </c>
      <c r="L10" s="20" t="n">
        <v>0.19992302</v>
      </c>
      <c r="M10" s="18" t="n">
        <v>0</v>
      </c>
      <c r="N10" s="20" t="n">
        <v>0</v>
      </c>
      <c r="O10" s="18" t="n">
        <v>0</v>
      </c>
      <c r="P10" s="20" t="n">
        <v>0</v>
      </c>
      <c r="Q10" s="18" t="n">
        <v>3.21313042</v>
      </c>
      <c r="R10" s="20" t="n">
        <v>0.65200568</v>
      </c>
    </row>
    <row r="11" spans="1:18">
      <c r="A11" s="15" t="s">
        <v>110</v>
      </c>
      <c r="B11" s="17" t="n">
        <v>3500</v>
      </c>
      <c r="C11" s="18">
        <f>(2625.0/B11*100)</f>
        <v/>
      </c>
      <c r="D11" s="19" t="n">
        <v>875</v>
      </c>
      <c r="E11" s="18" t="n">
        <v>73.95635022</v>
      </c>
      <c r="F11" s="20" t="n">
        <v>1.59278708</v>
      </c>
      <c r="G11" s="18" t="n">
        <v>17.08102103</v>
      </c>
      <c r="H11" s="20" t="n">
        <v>1.27278615</v>
      </c>
      <c r="I11" s="18" t="s">
        <v>105</v>
      </c>
      <c r="J11" s="20" t="s">
        <v>105</v>
      </c>
      <c r="K11" s="18" t="n">
        <v>0.44516042</v>
      </c>
      <c r="L11" s="20" t="n">
        <v>0.27334463</v>
      </c>
      <c r="M11" s="18" t="n">
        <v>0</v>
      </c>
      <c r="N11" s="20" t="n">
        <v>0</v>
      </c>
      <c r="O11" s="18" t="n">
        <v>0</v>
      </c>
      <c r="P11" s="20" t="n">
        <v>0</v>
      </c>
      <c r="Q11" s="18" t="n">
        <v>8.51746833</v>
      </c>
      <c r="R11" s="20" t="n">
        <v>1.17858011</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5792</v>
      </c>
      <c r="C23" s="18">
        <f>(4467.0/B23*100)</f>
        <v/>
      </c>
      <c r="D23" s="19" t="n">
        <v>1325</v>
      </c>
      <c r="E23" s="18" t="n">
        <v>60.01731133</v>
      </c>
      <c r="F23" s="20" t="n">
        <v>2.04864404</v>
      </c>
      <c r="G23" s="18" t="n">
        <v>32.69271565</v>
      </c>
      <c r="H23" s="20" t="n">
        <v>2.1460919</v>
      </c>
      <c r="I23" s="18" t="s">
        <v>105</v>
      </c>
      <c r="J23" s="20" t="s">
        <v>105</v>
      </c>
      <c r="K23" s="18" t="n">
        <v>0.495975</v>
      </c>
      <c r="L23" s="20" t="n">
        <v>0.26949789</v>
      </c>
      <c r="M23" s="18" t="n">
        <v>0</v>
      </c>
      <c r="N23" s="20" t="n">
        <v>0</v>
      </c>
      <c r="O23" s="18" t="n">
        <v>0</v>
      </c>
      <c r="P23" s="20" t="n">
        <v>0</v>
      </c>
      <c r="Q23" s="18" t="n">
        <v>6.79399802</v>
      </c>
      <c r="R23" s="20" t="n">
        <v>1.01727503</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2700</v>
      </c>
      <c r="C29" s="18">
        <f>(2021.0/B29*100)</f>
        <v/>
      </c>
      <c r="D29" s="19" t="n">
        <v>679</v>
      </c>
      <c r="E29" s="18" t="n">
        <v>67.02333762000001</v>
      </c>
      <c r="F29" s="20" t="n">
        <v>1.76460759</v>
      </c>
      <c r="G29" s="18" t="n">
        <v>31.43545443</v>
      </c>
      <c r="H29" s="20" t="n">
        <v>1.75861225</v>
      </c>
      <c r="I29" s="18" t="s">
        <v>105</v>
      </c>
      <c r="J29" s="20" t="s">
        <v>105</v>
      </c>
      <c r="K29" s="18" t="n">
        <v>0.12843105</v>
      </c>
      <c r="L29" s="20" t="n">
        <v>0.13689461</v>
      </c>
      <c r="M29" s="18" t="n">
        <v>0</v>
      </c>
      <c r="N29" s="20" t="n">
        <v>0</v>
      </c>
      <c r="O29" s="18" t="n">
        <v>0</v>
      </c>
      <c r="P29" s="20" t="n">
        <v>0</v>
      </c>
      <c r="Q29" s="18" t="n">
        <v>1.41277691</v>
      </c>
      <c r="R29" s="20" t="n">
        <v>0.44289787</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2209</v>
      </c>
      <c r="C32" s="18">
        <f>(1357.0/B32*100)</f>
        <v/>
      </c>
      <c r="D32" s="19" t="n">
        <v>852</v>
      </c>
      <c r="E32" s="18" t="n">
        <v>71.49477161</v>
      </c>
      <c r="F32" s="20" t="n">
        <v>1.78096917</v>
      </c>
      <c r="G32" s="18" t="n">
        <v>26.64060968</v>
      </c>
      <c r="H32" s="20" t="n">
        <v>1.73141337</v>
      </c>
      <c r="I32" s="18" t="s">
        <v>105</v>
      </c>
      <c r="J32" s="20" t="s">
        <v>105</v>
      </c>
      <c r="K32" s="18" t="n">
        <v>0.24495428</v>
      </c>
      <c r="L32" s="20" t="n">
        <v>0.18118369</v>
      </c>
      <c r="M32" s="18" t="n">
        <v>0</v>
      </c>
      <c r="N32" s="20" t="n">
        <v>0</v>
      </c>
      <c r="O32" s="18" t="n">
        <v>0</v>
      </c>
      <c r="P32" s="20" t="n">
        <v>0</v>
      </c>
      <c r="Q32" s="18" t="n">
        <v>1.61966443</v>
      </c>
      <c r="R32" s="20" t="n">
        <v>0.38519047</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3035</v>
      </c>
      <c r="C34" s="18">
        <f>(2316.0/B34*100)</f>
        <v/>
      </c>
      <c r="D34" s="19" t="n">
        <v>719</v>
      </c>
      <c r="E34" s="18" t="n">
        <v>74.40838534</v>
      </c>
      <c r="F34" s="20" t="n">
        <v>1.95249371</v>
      </c>
      <c r="G34" s="18" t="n">
        <v>19.61437656</v>
      </c>
      <c r="H34" s="20" t="n">
        <v>1.7098237</v>
      </c>
      <c r="I34" s="18" t="s">
        <v>105</v>
      </c>
      <c r="J34" s="20" t="s">
        <v>105</v>
      </c>
      <c r="K34" s="18" t="n">
        <v>0.77708921</v>
      </c>
      <c r="L34" s="20" t="n">
        <v>0.37491212</v>
      </c>
      <c r="M34" s="18" t="n">
        <v>0</v>
      </c>
      <c r="N34" s="20" t="n">
        <v>0</v>
      </c>
      <c r="O34" s="18" t="n">
        <v>0</v>
      </c>
      <c r="P34" s="20" t="n">
        <v>0</v>
      </c>
      <c r="Q34" s="18" t="n">
        <v>5.2001489</v>
      </c>
      <c r="R34" s="20" t="n">
        <v>0.89774172</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3404</v>
      </c>
      <c r="C36" s="18">
        <f>(2541.0/B36*100)</f>
        <v/>
      </c>
      <c r="D36" s="19" t="n">
        <v>863</v>
      </c>
      <c r="E36" s="18" t="n">
        <v>75.72086729</v>
      </c>
      <c r="F36" s="20" t="n">
        <v>1.29760244</v>
      </c>
      <c r="G36" s="18" t="n">
        <v>18.4577751</v>
      </c>
      <c r="H36" s="20" t="n">
        <v>1.25541864</v>
      </c>
      <c r="I36" s="18" t="s">
        <v>105</v>
      </c>
      <c r="J36" s="20" t="s">
        <v>105</v>
      </c>
      <c r="K36" s="18" t="n">
        <v>0.32793335</v>
      </c>
      <c r="L36" s="20" t="n">
        <v>0.19178228</v>
      </c>
      <c r="M36" s="18" t="n">
        <v>0</v>
      </c>
      <c r="N36" s="20" t="n">
        <v>0</v>
      </c>
      <c r="O36" s="18" t="n">
        <v>0</v>
      </c>
      <c r="P36" s="20" t="n">
        <v>0</v>
      </c>
      <c r="Q36" s="18" t="n">
        <v>5.49342426</v>
      </c>
      <c r="R36" s="20" t="n">
        <v>0.86110224</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2854</v>
      </c>
      <c r="C41" s="18">
        <f>(2138.0/B41*100)</f>
        <v/>
      </c>
      <c r="D41" s="19" t="n">
        <v>716</v>
      </c>
      <c r="E41" s="18" t="n">
        <v>75.99564368999999</v>
      </c>
      <c r="F41" s="20" t="n">
        <v>1.60622838</v>
      </c>
      <c r="G41" s="18" t="n">
        <v>21.13238623</v>
      </c>
      <c r="H41" s="20" t="n">
        <v>1.43958962</v>
      </c>
      <c r="I41" s="18" t="s">
        <v>105</v>
      </c>
      <c r="J41" s="20" t="s">
        <v>105</v>
      </c>
      <c r="K41" s="18" t="n">
        <v>0</v>
      </c>
      <c r="L41" s="20" t="n">
        <v>0</v>
      </c>
      <c r="M41" s="18" t="n">
        <v>0</v>
      </c>
      <c r="N41" s="20" t="n">
        <v>0</v>
      </c>
      <c r="O41" s="18" t="n">
        <v>0</v>
      </c>
      <c r="P41" s="20" t="n">
        <v>0</v>
      </c>
      <c r="Q41" s="18" t="n">
        <v>2.87197008</v>
      </c>
      <c r="R41" s="20" t="n">
        <v>0.74134861</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12073</v>
      </c>
      <c r="C46" s="18">
        <f>(9755.0/B46*100)</f>
        <v/>
      </c>
      <c r="D46" s="19" t="n">
        <v>2318</v>
      </c>
      <c r="E46" s="18" t="n">
        <v>69.20165369999999</v>
      </c>
      <c r="F46" s="20" t="n">
        <v>1.20022698</v>
      </c>
      <c r="G46" s="18" t="n">
        <v>17.41669558</v>
      </c>
      <c r="H46" s="20" t="n">
        <v>0.95168997</v>
      </c>
      <c r="I46" s="18" t="s">
        <v>105</v>
      </c>
      <c r="J46" s="20" t="s">
        <v>105</v>
      </c>
      <c r="K46" s="18" t="n">
        <v>3.13254985</v>
      </c>
      <c r="L46" s="20" t="n">
        <v>0.4899633</v>
      </c>
      <c r="M46" s="18" t="n">
        <v>0</v>
      </c>
      <c r="N46" s="20" t="n">
        <v>0</v>
      </c>
      <c r="O46" s="18" t="n">
        <v>0</v>
      </c>
      <c r="P46" s="20" t="n">
        <v>0</v>
      </c>
      <c r="Q46" s="18" t="n">
        <v>10.24910087</v>
      </c>
      <c r="R46" s="20" t="n">
        <v>0.73159581</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4682</v>
      </c>
      <c r="C48" s="18">
        <f>(3496.0/B48*100)</f>
        <v/>
      </c>
      <c r="D48" s="19" t="n">
        <v>1186</v>
      </c>
      <c r="E48" s="18" t="n">
        <v>63.99141089</v>
      </c>
      <c r="F48" s="20" t="n">
        <v>2.92040349</v>
      </c>
      <c r="G48" s="18" t="n">
        <v>35.20789284</v>
      </c>
      <c r="H48" s="20" t="n">
        <v>2.93418683</v>
      </c>
      <c r="I48" s="18" t="s">
        <v>105</v>
      </c>
      <c r="J48" s="20" t="s">
        <v>105</v>
      </c>
      <c r="K48" s="18" t="n">
        <v>0</v>
      </c>
      <c r="L48" s="20" t="n">
        <v>0</v>
      </c>
      <c r="M48" s="18" t="n">
        <v>0</v>
      </c>
      <c r="N48" s="20" t="n">
        <v>0</v>
      </c>
      <c r="O48" s="18" t="n">
        <v>0</v>
      </c>
      <c r="P48" s="20" t="n">
        <v>0</v>
      </c>
      <c r="Q48" s="18" t="n">
        <v>0.80069627</v>
      </c>
      <c r="R48" s="20" t="n">
        <v>0.33011312</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3201</v>
      </c>
      <c r="C61" s="18">
        <f>(2361.0/B61*100)</f>
        <v/>
      </c>
      <c r="D61" s="19" t="n">
        <v>840</v>
      </c>
      <c r="E61" s="18" t="n">
        <v>72.23997211</v>
      </c>
      <c r="F61" s="20" t="n">
        <v>1.58568638</v>
      </c>
      <c r="G61" s="18" t="n">
        <v>21.10433702</v>
      </c>
      <c r="H61" s="20" t="n">
        <v>1.66263847</v>
      </c>
      <c r="I61" s="18" t="s">
        <v>105</v>
      </c>
      <c r="J61" s="20" t="s">
        <v>105</v>
      </c>
      <c r="K61" s="18" t="n">
        <v>0.1798329</v>
      </c>
      <c r="L61" s="20" t="n">
        <v>0.16174495</v>
      </c>
      <c r="M61" s="18" t="n">
        <v>0</v>
      </c>
      <c r="N61" s="20" t="n">
        <v>0</v>
      </c>
      <c r="O61" s="18" t="n">
        <v>0</v>
      </c>
      <c r="P61" s="20" t="n">
        <v>0</v>
      </c>
      <c r="Q61" s="18" t="n">
        <v>6.47585797</v>
      </c>
      <c r="R61" s="20" t="n">
        <v>0.94639</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3460</v>
      </c>
      <c r="C67" s="18">
        <f>(2657.0/B67*100)</f>
        <v/>
      </c>
      <c r="D67" s="19" t="n">
        <v>803</v>
      </c>
      <c r="E67" s="18" t="n">
        <v>78.9878076</v>
      </c>
      <c r="F67" s="20" t="n">
        <v>1.43175004</v>
      </c>
      <c r="G67" s="18" t="n">
        <v>18.44467416</v>
      </c>
      <c r="H67" s="20" t="n">
        <v>1.40924379</v>
      </c>
      <c r="I67" s="18" t="s">
        <v>105</v>
      </c>
      <c r="J67" s="20" t="s">
        <v>105</v>
      </c>
      <c r="K67" s="18" t="n">
        <v>0</v>
      </c>
      <c r="L67" s="20" t="n">
        <v>0</v>
      </c>
      <c r="M67" s="18" t="n">
        <v>0</v>
      </c>
      <c r="N67" s="20" t="n">
        <v>0</v>
      </c>
      <c r="O67" s="18" t="n">
        <v>0</v>
      </c>
      <c r="P67" s="20" t="n">
        <v>0</v>
      </c>
      <c r="Q67" s="18" t="n">
        <v>2.56751824</v>
      </c>
      <c r="R67" s="20" t="n">
        <v>0.56904635</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3107</v>
      </c>
      <c r="C70" s="18">
        <f>(2360.0/B70*100)</f>
        <v/>
      </c>
      <c r="D70" s="19" t="n">
        <v>747</v>
      </c>
      <c r="E70" s="18" t="n">
        <v>66.96960412</v>
      </c>
      <c r="F70" s="20" t="n">
        <v>1.98217768</v>
      </c>
      <c r="G70" s="18" t="n">
        <v>28.59415037</v>
      </c>
      <c r="H70" s="20" t="n">
        <v>1.73099365</v>
      </c>
      <c r="I70" s="18" t="s">
        <v>105</v>
      </c>
      <c r="J70" s="20" t="s">
        <v>105</v>
      </c>
      <c r="K70" s="18" t="n">
        <v>0.812049</v>
      </c>
      <c r="L70" s="20" t="n">
        <v>0.33078148</v>
      </c>
      <c r="M70" s="18" t="n">
        <v>0</v>
      </c>
      <c r="N70" s="20" t="n">
        <v>0</v>
      </c>
      <c r="O70" s="18" t="n">
        <v>0</v>
      </c>
      <c r="P70" s="20" t="n">
        <v>0</v>
      </c>
      <c r="Q70" s="18" t="n">
        <v>3.62419651</v>
      </c>
      <c r="R70" s="20" t="n">
        <v>0.76149239</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37.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242</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7163</v>
      </c>
      <c r="C7" s="18">
        <f>(487.0/B7*100)</f>
        <v/>
      </c>
      <c r="D7" s="19" t="n">
        <v>6676</v>
      </c>
      <c r="E7" s="18" t="n">
        <v>33.86268687</v>
      </c>
      <c r="F7" s="20" t="n">
        <v>0.70134621</v>
      </c>
      <c r="G7" s="18" t="n">
        <v>61.3812388</v>
      </c>
      <c r="H7" s="20" t="n">
        <v>0.80377095</v>
      </c>
      <c r="I7" s="18" t="s">
        <v>105</v>
      </c>
      <c r="J7" s="20" t="s">
        <v>105</v>
      </c>
      <c r="K7" s="18" t="n">
        <v>0.9291148</v>
      </c>
      <c r="L7" s="20" t="n">
        <v>0.1315213</v>
      </c>
      <c r="M7" s="18" t="n">
        <v>0</v>
      </c>
      <c r="N7" s="20" t="n">
        <v>0</v>
      </c>
      <c r="O7" s="18" t="n">
        <v>0</v>
      </c>
      <c r="P7" s="20" t="n">
        <v>0</v>
      </c>
      <c r="Q7" s="18" t="n">
        <v>3.82695953</v>
      </c>
      <c r="R7" s="20" t="n">
        <v>0.27626276</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2795</v>
      </c>
      <c r="C9" s="18">
        <f>(2156.0/B9*100)</f>
        <v/>
      </c>
      <c r="D9" s="19" t="n">
        <v>639</v>
      </c>
      <c r="E9" s="18" t="n">
        <v>32.34863447</v>
      </c>
      <c r="F9" s="20" t="n">
        <v>1.74371236</v>
      </c>
      <c r="G9" s="18" t="n">
        <v>65.19629478</v>
      </c>
      <c r="H9" s="20" t="n">
        <v>1.7885303</v>
      </c>
      <c r="I9" s="18" t="s">
        <v>105</v>
      </c>
      <c r="J9" s="20" t="s">
        <v>105</v>
      </c>
      <c r="K9" s="18" t="n">
        <v>0.32054331</v>
      </c>
      <c r="L9" s="20" t="n">
        <v>0.34760074</v>
      </c>
      <c r="M9" s="18" t="n">
        <v>0</v>
      </c>
      <c r="N9" s="20" t="n">
        <v>0</v>
      </c>
      <c r="O9" s="18" t="n">
        <v>0</v>
      </c>
      <c r="P9" s="20" t="n">
        <v>0</v>
      </c>
      <c r="Q9" s="18" t="n">
        <v>2.13452744</v>
      </c>
      <c r="R9" s="20" t="n">
        <v>0.50192338</v>
      </c>
    </row>
    <row r="10" spans="1:18">
      <c r="A10" s="15" t="s">
        <v>109</v>
      </c>
      <c r="B10" s="17" t="n">
        <v>6602</v>
      </c>
      <c r="C10" s="18">
        <f>(5019.0/B10*100)</f>
        <v/>
      </c>
      <c r="D10" s="19" t="n">
        <v>1583</v>
      </c>
      <c r="E10" s="18" t="n">
        <v>36.18562953</v>
      </c>
      <c r="F10" s="20" t="n">
        <v>1.53550901</v>
      </c>
      <c r="G10" s="18" t="n">
        <v>62.04433943</v>
      </c>
      <c r="H10" s="20" t="n">
        <v>1.56059414</v>
      </c>
      <c r="I10" s="18" t="s">
        <v>105</v>
      </c>
      <c r="J10" s="20" t="s">
        <v>105</v>
      </c>
      <c r="K10" s="18" t="n">
        <v>0.24806486</v>
      </c>
      <c r="L10" s="20" t="n">
        <v>0.20167316</v>
      </c>
      <c r="M10" s="18" t="n">
        <v>0</v>
      </c>
      <c r="N10" s="20" t="n">
        <v>0</v>
      </c>
      <c r="O10" s="18" t="n">
        <v>0</v>
      </c>
      <c r="P10" s="20" t="n">
        <v>0</v>
      </c>
      <c r="Q10" s="18" t="n">
        <v>1.52196619</v>
      </c>
      <c r="R10" s="20" t="n">
        <v>0.43323084</v>
      </c>
    </row>
    <row r="11" spans="1:18">
      <c r="A11" s="15" t="s">
        <v>110</v>
      </c>
      <c r="B11" s="17" t="n">
        <v>3500</v>
      </c>
      <c r="C11" s="18">
        <f>(2625.0/B11*100)</f>
        <v/>
      </c>
      <c r="D11" s="19" t="n">
        <v>875</v>
      </c>
      <c r="E11" s="18" t="n">
        <v>55.38832357</v>
      </c>
      <c r="F11" s="20" t="n">
        <v>2.11381456</v>
      </c>
      <c r="G11" s="18" t="n">
        <v>36.65994277</v>
      </c>
      <c r="H11" s="20" t="n">
        <v>2.07679836</v>
      </c>
      <c r="I11" s="18" t="s">
        <v>105</v>
      </c>
      <c r="J11" s="20" t="s">
        <v>105</v>
      </c>
      <c r="K11" s="18" t="n">
        <v>0.80563865</v>
      </c>
      <c r="L11" s="20" t="n">
        <v>0.36411805</v>
      </c>
      <c r="M11" s="18" t="n">
        <v>0</v>
      </c>
      <c r="N11" s="20" t="n">
        <v>0</v>
      </c>
      <c r="O11" s="18" t="n">
        <v>0</v>
      </c>
      <c r="P11" s="20" t="n">
        <v>0</v>
      </c>
      <c r="Q11" s="18" t="n">
        <v>7.14609501</v>
      </c>
      <c r="R11" s="20" t="n">
        <v>0.97274804</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5792</v>
      </c>
      <c r="C23" s="18">
        <f>(4468.0/B23*100)</f>
        <v/>
      </c>
      <c r="D23" s="19" t="n">
        <v>1324</v>
      </c>
      <c r="E23" s="18" t="n">
        <v>46.66536976</v>
      </c>
      <c r="F23" s="20" t="n">
        <v>2.20019356</v>
      </c>
      <c r="G23" s="18" t="n">
        <v>47.07209988</v>
      </c>
      <c r="H23" s="20" t="n">
        <v>2.18583056</v>
      </c>
      <c r="I23" s="18" t="s">
        <v>105</v>
      </c>
      <c r="J23" s="20" t="s">
        <v>105</v>
      </c>
      <c r="K23" s="18" t="n">
        <v>0.7543961</v>
      </c>
      <c r="L23" s="20" t="n">
        <v>0.33842489</v>
      </c>
      <c r="M23" s="18" t="n">
        <v>0</v>
      </c>
      <c r="N23" s="20" t="n">
        <v>0</v>
      </c>
      <c r="O23" s="18" t="n">
        <v>0</v>
      </c>
      <c r="P23" s="20" t="n">
        <v>0</v>
      </c>
      <c r="Q23" s="18" t="n">
        <v>5.50813427</v>
      </c>
      <c r="R23" s="20" t="n">
        <v>1.00016084</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2700</v>
      </c>
      <c r="C29" s="18">
        <f>(2021.0/B29*100)</f>
        <v/>
      </c>
      <c r="D29" s="19" t="n">
        <v>679</v>
      </c>
      <c r="E29" s="18" t="n">
        <v>44.2920164</v>
      </c>
      <c r="F29" s="20" t="n">
        <v>2.13380927</v>
      </c>
      <c r="G29" s="18" t="n">
        <v>54.6336182</v>
      </c>
      <c r="H29" s="20" t="n">
        <v>2.15910793</v>
      </c>
      <c r="I29" s="18" t="s">
        <v>105</v>
      </c>
      <c r="J29" s="20" t="s">
        <v>105</v>
      </c>
      <c r="K29" s="18" t="n">
        <v>0.12843105</v>
      </c>
      <c r="L29" s="20" t="n">
        <v>0.13689461</v>
      </c>
      <c r="M29" s="18" t="n">
        <v>0</v>
      </c>
      <c r="N29" s="20" t="n">
        <v>0</v>
      </c>
      <c r="O29" s="18" t="n">
        <v>0</v>
      </c>
      <c r="P29" s="20" t="n">
        <v>0</v>
      </c>
      <c r="Q29" s="18" t="n">
        <v>0.94593435</v>
      </c>
      <c r="R29" s="20" t="n">
        <v>0.29249645</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2209</v>
      </c>
      <c r="C32" s="18">
        <f>(1357.0/B32*100)</f>
        <v/>
      </c>
      <c r="D32" s="19" t="n">
        <v>852</v>
      </c>
      <c r="E32" s="18" t="n">
        <v>41.91580873</v>
      </c>
      <c r="F32" s="20" t="n">
        <v>1.55545977</v>
      </c>
      <c r="G32" s="18" t="n">
        <v>56.49913269</v>
      </c>
      <c r="H32" s="20" t="n">
        <v>1.6195735</v>
      </c>
      <c r="I32" s="18" t="s">
        <v>105</v>
      </c>
      <c r="J32" s="20" t="s">
        <v>105</v>
      </c>
      <c r="K32" s="18" t="n">
        <v>0.24495428</v>
      </c>
      <c r="L32" s="20" t="n">
        <v>0.18118369</v>
      </c>
      <c r="M32" s="18" t="n">
        <v>0</v>
      </c>
      <c r="N32" s="20" t="n">
        <v>0</v>
      </c>
      <c r="O32" s="18" t="n">
        <v>0</v>
      </c>
      <c r="P32" s="20" t="n">
        <v>0</v>
      </c>
      <c r="Q32" s="18" t="n">
        <v>1.3401043</v>
      </c>
      <c r="R32" s="20" t="n">
        <v>0.42687065</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3035</v>
      </c>
      <c r="C34" s="18">
        <f>(2312.0/B34*100)</f>
        <v/>
      </c>
      <c r="D34" s="19" t="n">
        <v>723</v>
      </c>
      <c r="E34" s="18" t="n">
        <v>45.90455053</v>
      </c>
      <c r="F34" s="20" t="n">
        <v>1.8027669</v>
      </c>
      <c r="G34" s="18" t="n">
        <v>50.44075471</v>
      </c>
      <c r="H34" s="20" t="n">
        <v>1.74493848</v>
      </c>
      <c r="I34" s="18" t="s">
        <v>105</v>
      </c>
      <c r="J34" s="20" t="s">
        <v>105</v>
      </c>
      <c r="K34" s="18" t="n">
        <v>0.91757888</v>
      </c>
      <c r="L34" s="20" t="n">
        <v>0.40029306</v>
      </c>
      <c r="M34" s="18" t="n">
        <v>0</v>
      </c>
      <c r="N34" s="20" t="n">
        <v>0</v>
      </c>
      <c r="O34" s="18" t="n">
        <v>0</v>
      </c>
      <c r="P34" s="20" t="n">
        <v>0</v>
      </c>
      <c r="Q34" s="18" t="n">
        <v>2.73711588</v>
      </c>
      <c r="R34" s="20" t="n">
        <v>0.57400391</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3404</v>
      </c>
      <c r="C36" s="18">
        <f>(2540.0/B36*100)</f>
        <v/>
      </c>
      <c r="D36" s="19" t="n">
        <v>864</v>
      </c>
      <c r="E36" s="18" t="n">
        <v>51.9429806</v>
      </c>
      <c r="F36" s="20" t="n">
        <v>1.78451546</v>
      </c>
      <c r="G36" s="18" t="n">
        <v>43.08858099</v>
      </c>
      <c r="H36" s="20" t="n">
        <v>1.64544963</v>
      </c>
      <c r="I36" s="18" t="s">
        <v>105</v>
      </c>
      <c r="J36" s="20" t="s">
        <v>105</v>
      </c>
      <c r="K36" s="18" t="n">
        <v>0.32754006</v>
      </c>
      <c r="L36" s="20" t="n">
        <v>0.19155569</v>
      </c>
      <c r="M36" s="18" t="n">
        <v>0</v>
      </c>
      <c r="N36" s="20" t="n">
        <v>0</v>
      </c>
      <c r="O36" s="18" t="n">
        <v>0</v>
      </c>
      <c r="P36" s="20" t="n">
        <v>0</v>
      </c>
      <c r="Q36" s="18" t="n">
        <v>4.64089835</v>
      </c>
      <c r="R36" s="20" t="n">
        <v>0.7946409800000001</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2854</v>
      </c>
      <c r="C41" s="18">
        <f>(2138.0/B41*100)</f>
        <v/>
      </c>
      <c r="D41" s="19" t="n">
        <v>716</v>
      </c>
      <c r="E41" s="18" t="n">
        <v>39.22209308</v>
      </c>
      <c r="F41" s="20" t="n">
        <v>1.93897418</v>
      </c>
      <c r="G41" s="18" t="n">
        <v>59.03758406</v>
      </c>
      <c r="H41" s="20" t="n">
        <v>2.0351082</v>
      </c>
      <c r="I41" s="18" t="s">
        <v>105</v>
      </c>
      <c r="J41" s="20" t="s">
        <v>105</v>
      </c>
      <c r="K41" s="18" t="n">
        <v>0</v>
      </c>
      <c r="L41" s="20" t="n">
        <v>0</v>
      </c>
      <c r="M41" s="18" t="n">
        <v>0</v>
      </c>
      <c r="N41" s="20" t="n">
        <v>0</v>
      </c>
      <c r="O41" s="18" t="n">
        <v>0</v>
      </c>
      <c r="P41" s="20" t="n">
        <v>0</v>
      </c>
      <c r="Q41" s="18" t="n">
        <v>1.74032286</v>
      </c>
      <c r="R41" s="20" t="n">
        <v>0.62046352</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12073</v>
      </c>
      <c r="C46" s="18">
        <f>(9759.0/B46*100)</f>
        <v/>
      </c>
      <c r="D46" s="19" t="n">
        <v>2314</v>
      </c>
      <c r="E46" s="18" t="n">
        <v>57.45529336</v>
      </c>
      <c r="F46" s="20" t="n">
        <v>1.53277593</v>
      </c>
      <c r="G46" s="18" t="n">
        <v>29.53081854</v>
      </c>
      <c r="H46" s="20" t="n">
        <v>1.22359074</v>
      </c>
      <c r="I46" s="18" t="s">
        <v>105</v>
      </c>
      <c r="J46" s="20" t="s">
        <v>105</v>
      </c>
      <c r="K46" s="18" t="n">
        <v>3.67583585</v>
      </c>
      <c r="L46" s="20" t="n">
        <v>0.56390685</v>
      </c>
      <c r="M46" s="18" t="n">
        <v>0</v>
      </c>
      <c r="N46" s="20" t="n">
        <v>0</v>
      </c>
      <c r="O46" s="18" t="n">
        <v>0</v>
      </c>
      <c r="P46" s="20" t="n">
        <v>0</v>
      </c>
      <c r="Q46" s="18" t="n">
        <v>9.33805225</v>
      </c>
      <c r="R46" s="20" t="n">
        <v>0.89727305</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4682</v>
      </c>
      <c r="C48" s="18">
        <f>(3496.0/B48*100)</f>
        <v/>
      </c>
      <c r="D48" s="19" t="n">
        <v>1186</v>
      </c>
      <c r="E48" s="18" t="n">
        <v>42.23148179</v>
      </c>
      <c r="F48" s="20" t="n">
        <v>1.85312966</v>
      </c>
      <c r="G48" s="18" t="n">
        <v>56.77526426</v>
      </c>
      <c r="H48" s="20" t="n">
        <v>1.91189123</v>
      </c>
      <c r="I48" s="18" t="s">
        <v>105</v>
      </c>
      <c r="J48" s="20" t="s">
        <v>105</v>
      </c>
      <c r="K48" s="18" t="n">
        <v>0</v>
      </c>
      <c r="L48" s="20" t="n">
        <v>0</v>
      </c>
      <c r="M48" s="18" t="n">
        <v>0</v>
      </c>
      <c r="N48" s="20" t="n">
        <v>0</v>
      </c>
      <c r="O48" s="18" t="n">
        <v>0</v>
      </c>
      <c r="P48" s="20" t="n">
        <v>0</v>
      </c>
      <c r="Q48" s="18" t="n">
        <v>0.9932539500000001</v>
      </c>
      <c r="R48" s="20" t="n">
        <v>0.36395797</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3201</v>
      </c>
      <c r="C61" s="18">
        <f>(2361.0/B61*100)</f>
        <v/>
      </c>
      <c r="D61" s="19" t="n">
        <v>840</v>
      </c>
      <c r="E61" s="18" t="n">
        <v>46.98814086</v>
      </c>
      <c r="F61" s="20" t="n">
        <v>2.03119616</v>
      </c>
      <c r="G61" s="18" t="n">
        <v>48.96501066</v>
      </c>
      <c r="H61" s="20" t="n">
        <v>2.05970976</v>
      </c>
      <c r="I61" s="18" t="s">
        <v>105</v>
      </c>
      <c r="J61" s="20" t="s">
        <v>105</v>
      </c>
      <c r="K61" s="18" t="n">
        <v>0.17963792</v>
      </c>
      <c r="L61" s="20" t="n">
        <v>0.16156691</v>
      </c>
      <c r="M61" s="18" t="n">
        <v>0</v>
      </c>
      <c r="N61" s="20" t="n">
        <v>0</v>
      </c>
      <c r="O61" s="18" t="n">
        <v>0</v>
      </c>
      <c r="P61" s="20" t="n">
        <v>0</v>
      </c>
      <c r="Q61" s="18" t="n">
        <v>3.86721056</v>
      </c>
      <c r="R61" s="20" t="n">
        <v>0.5140881</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3460</v>
      </c>
      <c r="C67" s="18">
        <f>(2667.0/B67*100)</f>
        <v/>
      </c>
      <c r="D67" s="19" t="n">
        <v>793</v>
      </c>
      <c r="E67" s="18" t="n">
        <v>62.52611677</v>
      </c>
      <c r="F67" s="20" t="n">
        <v>1.76415081</v>
      </c>
      <c r="G67" s="18" t="n">
        <v>34.77797083</v>
      </c>
      <c r="H67" s="20" t="n">
        <v>1.80536919</v>
      </c>
      <c r="I67" s="18" t="s">
        <v>105</v>
      </c>
      <c r="J67" s="20" t="s">
        <v>105</v>
      </c>
      <c r="K67" s="18" t="n">
        <v>0</v>
      </c>
      <c r="L67" s="20" t="n">
        <v>0</v>
      </c>
      <c r="M67" s="18" t="n">
        <v>0</v>
      </c>
      <c r="N67" s="20" t="n">
        <v>0</v>
      </c>
      <c r="O67" s="18" t="n">
        <v>0</v>
      </c>
      <c r="P67" s="20" t="n">
        <v>0</v>
      </c>
      <c r="Q67" s="18" t="n">
        <v>2.6959124</v>
      </c>
      <c r="R67" s="20" t="n">
        <v>0.56765968</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3107</v>
      </c>
      <c r="C70" s="18">
        <f>(2360.0/B70*100)</f>
        <v/>
      </c>
      <c r="D70" s="19" t="n">
        <v>747</v>
      </c>
      <c r="E70" s="18" t="n">
        <v>38.83215911</v>
      </c>
      <c r="F70" s="20" t="n">
        <v>2.46795187</v>
      </c>
      <c r="G70" s="18" t="n">
        <v>58.43851548</v>
      </c>
      <c r="H70" s="20" t="n">
        <v>2.58952838</v>
      </c>
      <c r="I70" s="18" t="s">
        <v>105</v>
      </c>
      <c r="J70" s="20" t="s">
        <v>105</v>
      </c>
      <c r="K70" s="18" t="n">
        <v>0.9187577</v>
      </c>
      <c r="L70" s="20" t="n">
        <v>0.3459944</v>
      </c>
      <c r="M70" s="18" t="n">
        <v>0</v>
      </c>
      <c r="N70" s="20" t="n">
        <v>0</v>
      </c>
      <c r="O70" s="18" t="n">
        <v>0</v>
      </c>
      <c r="P70" s="20" t="n">
        <v>0</v>
      </c>
      <c r="Q70" s="18" t="n">
        <v>1.81056771</v>
      </c>
      <c r="R70" s="20" t="n">
        <v>0.40824894</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38.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243</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7163</v>
      </c>
      <c r="C7" s="18">
        <f>(521.0/B7*100)</f>
        <v/>
      </c>
      <c r="D7" s="19" t="n">
        <v>6642</v>
      </c>
      <c r="E7" s="18" t="n">
        <v>56.32620274</v>
      </c>
      <c r="F7" s="20" t="n">
        <v>0.70350554</v>
      </c>
      <c r="G7" s="18" t="n">
        <v>40.81924837</v>
      </c>
      <c r="H7" s="20" t="n">
        <v>0.75378045</v>
      </c>
      <c r="I7" s="18" t="s">
        <v>105</v>
      </c>
      <c r="J7" s="20" t="s">
        <v>105</v>
      </c>
      <c r="K7" s="18" t="n">
        <v>1.15126289</v>
      </c>
      <c r="L7" s="20" t="n">
        <v>0.15053372</v>
      </c>
      <c r="M7" s="18" t="n">
        <v>0</v>
      </c>
      <c r="N7" s="20" t="n">
        <v>0</v>
      </c>
      <c r="O7" s="18" t="n">
        <v>0</v>
      </c>
      <c r="P7" s="20" t="n">
        <v>0</v>
      </c>
      <c r="Q7" s="18" t="n">
        <v>1.70328601</v>
      </c>
      <c r="R7" s="20" t="n">
        <v>0.20644836</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2795</v>
      </c>
      <c r="C9" s="18">
        <f>(2159.0/B9*100)</f>
        <v/>
      </c>
      <c r="D9" s="19" t="n">
        <v>636</v>
      </c>
      <c r="E9" s="18" t="n">
        <v>45.57102437</v>
      </c>
      <c r="F9" s="20" t="n">
        <v>1.69464039</v>
      </c>
      <c r="G9" s="18" t="n">
        <v>52.43076575</v>
      </c>
      <c r="H9" s="20" t="n">
        <v>1.67540905</v>
      </c>
      <c r="I9" s="18" t="s">
        <v>105</v>
      </c>
      <c r="J9" s="20" t="s">
        <v>105</v>
      </c>
      <c r="K9" s="18" t="n">
        <v>0.48123908</v>
      </c>
      <c r="L9" s="20" t="n">
        <v>0.38516372</v>
      </c>
      <c r="M9" s="18" t="n">
        <v>0</v>
      </c>
      <c r="N9" s="20" t="n">
        <v>0</v>
      </c>
      <c r="O9" s="18" t="n">
        <v>0</v>
      </c>
      <c r="P9" s="20" t="n">
        <v>0</v>
      </c>
      <c r="Q9" s="18" t="n">
        <v>1.5169708</v>
      </c>
      <c r="R9" s="20" t="n">
        <v>0.44726044</v>
      </c>
    </row>
    <row r="10" spans="1:18">
      <c r="A10" s="15" t="s">
        <v>109</v>
      </c>
      <c r="B10" s="17" t="n">
        <v>6602</v>
      </c>
      <c r="C10" s="18">
        <f>(5020.0/B10*100)</f>
        <v/>
      </c>
      <c r="D10" s="19" t="n">
        <v>1582</v>
      </c>
      <c r="E10" s="18" t="n">
        <v>52.34537753</v>
      </c>
      <c r="F10" s="20" t="n">
        <v>1.96946517</v>
      </c>
      <c r="G10" s="18" t="n">
        <v>46.56167613</v>
      </c>
      <c r="H10" s="20" t="n">
        <v>1.9689907</v>
      </c>
      <c r="I10" s="18" t="s">
        <v>105</v>
      </c>
      <c r="J10" s="20" t="s">
        <v>105</v>
      </c>
      <c r="K10" s="18" t="n">
        <v>0.24814453</v>
      </c>
      <c r="L10" s="20" t="n">
        <v>0.20173844</v>
      </c>
      <c r="M10" s="18" t="n">
        <v>0</v>
      </c>
      <c r="N10" s="20" t="n">
        <v>0</v>
      </c>
      <c r="O10" s="18" t="n">
        <v>0</v>
      </c>
      <c r="P10" s="20" t="n">
        <v>0</v>
      </c>
      <c r="Q10" s="18" t="n">
        <v>0.84480181</v>
      </c>
      <c r="R10" s="20" t="n">
        <v>0.34415219</v>
      </c>
    </row>
    <row r="11" spans="1:18">
      <c r="A11" s="15" t="s">
        <v>110</v>
      </c>
      <c r="B11" s="17" t="n">
        <v>3500</v>
      </c>
      <c r="C11" s="18">
        <f>(2626.0/B11*100)</f>
        <v/>
      </c>
      <c r="D11" s="19" t="n">
        <v>874</v>
      </c>
      <c r="E11" s="18" t="n">
        <v>66.73078199</v>
      </c>
      <c r="F11" s="20" t="n">
        <v>1.71056072</v>
      </c>
      <c r="G11" s="18" t="n">
        <v>30.0548201</v>
      </c>
      <c r="H11" s="20" t="n">
        <v>1.56460394</v>
      </c>
      <c r="I11" s="18" t="s">
        <v>105</v>
      </c>
      <c r="J11" s="20" t="s">
        <v>105</v>
      </c>
      <c r="K11" s="18" t="n">
        <v>0.80690519</v>
      </c>
      <c r="L11" s="20" t="n">
        <v>0.36455196</v>
      </c>
      <c r="M11" s="18" t="n">
        <v>0</v>
      </c>
      <c r="N11" s="20" t="n">
        <v>0</v>
      </c>
      <c r="O11" s="18" t="n">
        <v>0</v>
      </c>
      <c r="P11" s="20" t="n">
        <v>0</v>
      </c>
      <c r="Q11" s="18" t="n">
        <v>2.40749272</v>
      </c>
      <c r="R11" s="20" t="n">
        <v>0.69148329</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5792</v>
      </c>
      <c r="C23" s="18">
        <f>(4472.0/B23*100)</f>
        <v/>
      </c>
      <c r="D23" s="19" t="n">
        <v>1320</v>
      </c>
      <c r="E23" s="18" t="n">
        <v>56.2831298</v>
      </c>
      <c r="F23" s="20" t="n">
        <v>1.94404602</v>
      </c>
      <c r="G23" s="18" t="n">
        <v>41.68857847</v>
      </c>
      <c r="H23" s="20" t="n">
        <v>2.01483015</v>
      </c>
      <c r="I23" s="18" t="s">
        <v>105</v>
      </c>
      <c r="J23" s="20" t="s">
        <v>105</v>
      </c>
      <c r="K23" s="18" t="n">
        <v>0.75722821</v>
      </c>
      <c r="L23" s="20" t="n">
        <v>0.33973128</v>
      </c>
      <c r="M23" s="18" t="n">
        <v>0</v>
      </c>
      <c r="N23" s="20" t="n">
        <v>0</v>
      </c>
      <c r="O23" s="18" t="n">
        <v>0</v>
      </c>
      <c r="P23" s="20" t="n">
        <v>0</v>
      </c>
      <c r="Q23" s="18" t="n">
        <v>1.27106351</v>
      </c>
      <c r="R23" s="20" t="n">
        <v>0.41228238</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2700</v>
      </c>
      <c r="C29" s="18">
        <f>(2020.0/B29*100)</f>
        <v/>
      </c>
      <c r="D29" s="19" t="n">
        <v>680</v>
      </c>
      <c r="E29" s="18" t="n">
        <v>60.36685462</v>
      </c>
      <c r="F29" s="20" t="n">
        <v>1.77077801</v>
      </c>
      <c r="G29" s="18" t="n">
        <v>39.34482038</v>
      </c>
      <c r="H29" s="20" t="n">
        <v>1.78945917</v>
      </c>
      <c r="I29" s="18" t="s">
        <v>105</v>
      </c>
      <c r="J29" s="20" t="s">
        <v>105</v>
      </c>
      <c r="K29" s="18" t="n">
        <v>0.12826646</v>
      </c>
      <c r="L29" s="20" t="n">
        <v>0.13672156</v>
      </c>
      <c r="M29" s="18" t="n">
        <v>0</v>
      </c>
      <c r="N29" s="20" t="n">
        <v>0</v>
      </c>
      <c r="O29" s="18" t="n">
        <v>0</v>
      </c>
      <c r="P29" s="20" t="n">
        <v>0</v>
      </c>
      <c r="Q29" s="18" t="n">
        <v>0.16005853</v>
      </c>
      <c r="R29" s="20" t="n">
        <v>0.17692369</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2209</v>
      </c>
      <c r="C32" s="18">
        <f>(1356.0/B32*100)</f>
        <v/>
      </c>
      <c r="D32" s="19" t="n">
        <v>853</v>
      </c>
      <c r="E32" s="18" t="n">
        <v>59.18239804</v>
      </c>
      <c r="F32" s="20" t="n">
        <v>1.87616424</v>
      </c>
      <c r="G32" s="18" t="n">
        <v>40.23033807</v>
      </c>
      <c r="H32" s="20" t="n">
        <v>1.89237485</v>
      </c>
      <c r="I32" s="18" t="s">
        <v>105</v>
      </c>
      <c r="J32" s="20" t="s">
        <v>105</v>
      </c>
      <c r="K32" s="18" t="n">
        <v>0.24469358</v>
      </c>
      <c r="L32" s="20" t="n">
        <v>0.18098644</v>
      </c>
      <c r="M32" s="18" t="n">
        <v>0</v>
      </c>
      <c r="N32" s="20" t="n">
        <v>0</v>
      </c>
      <c r="O32" s="18" t="n">
        <v>0</v>
      </c>
      <c r="P32" s="20" t="n">
        <v>0</v>
      </c>
      <c r="Q32" s="18" t="n">
        <v>0.3425703</v>
      </c>
      <c r="R32" s="20" t="n">
        <v>0.19236217</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3035</v>
      </c>
      <c r="C34" s="18">
        <f>(2313.0/B34*100)</f>
        <v/>
      </c>
      <c r="D34" s="19" t="n">
        <v>722</v>
      </c>
      <c r="E34" s="18" t="n">
        <v>62.70307968</v>
      </c>
      <c r="F34" s="20" t="n">
        <v>2.11786897</v>
      </c>
      <c r="G34" s="18" t="n">
        <v>34.84005083</v>
      </c>
      <c r="H34" s="20" t="n">
        <v>2.02708539</v>
      </c>
      <c r="I34" s="18" t="s">
        <v>105</v>
      </c>
      <c r="J34" s="20" t="s">
        <v>105</v>
      </c>
      <c r="K34" s="18" t="n">
        <v>0.9183402899999999</v>
      </c>
      <c r="L34" s="20" t="n">
        <v>0.40064264</v>
      </c>
      <c r="M34" s="18" t="n">
        <v>0</v>
      </c>
      <c r="N34" s="20" t="n">
        <v>0</v>
      </c>
      <c r="O34" s="18" t="n">
        <v>0</v>
      </c>
      <c r="P34" s="20" t="n">
        <v>0</v>
      </c>
      <c r="Q34" s="18" t="n">
        <v>1.5385292</v>
      </c>
      <c r="R34" s="20" t="n">
        <v>0.47694873</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3404</v>
      </c>
      <c r="C36" s="18">
        <f>(2545.0/B36*100)</f>
        <v/>
      </c>
      <c r="D36" s="19" t="n">
        <v>859</v>
      </c>
      <c r="E36" s="18" t="n">
        <v>60.03649744</v>
      </c>
      <c r="F36" s="20" t="n">
        <v>1.64884714</v>
      </c>
      <c r="G36" s="18" t="n">
        <v>36.18137017</v>
      </c>
      <c r="H36" s="20" t="n">
        <v>1.61331913</v>
      </c>
      <c r="I36" s="18" t="s">
        <v>105</v>
      </c>
      <c r="J36" s="20" t="s">
        <v>105</v>
      </c>
      <c r="K36" s="18" t="n">
        <v>0.50024795</v>
      </c>
      <c r="L36" s="20" t="n">
        <v>0.26902763</v>
      </c>
      <c r="M36" s="18" t="n">
        <v>0</v>
      </c>
      <c r="N36" s="20" t="n">
        <v>0</v>
      </c>
      <c r="O36" s="18" t="n">
        <v>0</v>
      </c>
      <c r="P36" s="20" t="n">
        <v>0</v>
      </c>
      <c r="Q36" s="18" t="n">
        <v>3.28188444</v>
      </c>
      <c r="R36" s="20" t="n">
        <v>0.61317128</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2854</v>
      </c>
      <c r="C41" s="18">
        <f>(2141.0/B41*100)</f>
        <v/>
      </c>
      <c r="D41" s="19" t="n">
        <v>713</v>
      </c>
      <c r="E41" s="18" t="n">
        <v>49.37547446</v>
      </c>
      <c r="F41" s="20" t="n">
        <v>2.3305995</v>
      </c>
      <c r="G41" s="18" t="n">
        <v>50.16972852</v>
      </c>
      <c r="H41" s="20" t="n">
        <v>2.28605288</v>
      </c>
      <c r="I41" s="18" t="s">
        <v>105</v>
      </c>
      <c r="J41" s="20" t="s">
        <v>105</v>
      </c>
      <c r="K41" s="18" t="n">
        <v>0</v>
      </c>
      <c r="L41" s="20" t="n">
        <v>0</v>
      </c>
      <c r="M41" s="18" t="n">
        <v>0</v>
      </c>
      <c r="N41" s="20" t="n">
        <v>0</v>
      </c>
      <c r="O41" s="18" t="n">
        <v>0</v>
      </c>
      <c r="P41" s="20" t="n">
        <v>0</v>
      </c>
      <c r="Q41" s="18" t="n">
        <v>0.45479702</v>
      </c>
      <c r="R41" s="20" t="n">
        <v>0.33093821</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12073</v>
      </c>
      <c r="C46" s="18">
        <f>(9795.0/B46*100)</f>
        <v/>
      </c>
      <c r="D46" s="19" t="n">
        <v>2278</v>
      </c>
      <c r="E46" s="18" t="n">
        <v>62.3729066</v>
      </c>
      <c r="F46" s="20" t="n">
        <v>1.43862702</v>
      </c>
      <c r="G46" s="18" t="n">
        <v>27.93803756</v>
      </c>
      <c r="H46" s="20" t="n">
        <v>1.14808851</v>
      </c>
      <c r="I46" s="18" t="s">
        <v>105</v>
      </c>
      <c r="J46" s="20" t="s">
        <v>105</v>
      </c>
      <c r="K46" s="18" t="n">
        <v>3.87914908</v>
      </c>
      <c r="L46" s="20" t="n">
        <v>0.5836821599999999</v>
      </c>
      <c r="M46" s="18" t="n">
        <v>0</v>
      </c>
      <c r="N46" s="20" t="n">
        <v>0</v>
      </c>
      <c r="O46" s="18" t="n">
        <v>0</v>
      </c>
      <c r="P46" s="20" t="n">
        <v>0</v>
      </c>
      <c r="Q46" s="18" t="n">
        <v>5.80990676</v>
      </c>
      <c r="R46" s="20" t="n">
        <v>0.6988008999999999</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4682</v>
      </c>
      <c r="C48" s="18">
        <f>(3496.0/B48*100)</f>
        <v/>
      </c>
      <c r="D48" s="19" t="n">
        <v>1186</v>
      </c>
      <c r="E48" s="18" t="n">
        <v>51.84280451</v>
      </c>
      <c r="F48" s="20" t="n">
        <v>2.18554338</v>
      </c>
      <c r="G48" s="18" t="n">
        <v>47.79908803</v>
      </c>
      <c r="H48" s="20" t="n">
        <v>2.19364433</v>
      </c>
      <c r="I48" s="18" t="s">
        <v>105</v>
      </c>
      <c r="J48" s="20" t="s">
        <v>105</v>
      </c>
      <c r="K48" s="18" t="n">
        <v>0</v>
      </c>
      <c r="L48" s="20" t="n">
        <v>0</v>
      </c>
      <c r="M48" s="18" t="n">
        <v>0</v>
      </c>
      <c r="N48" s="20" t="n">
        <v>0</v>
      </c>
      <c r="O48" s="18" t="n">
        <v>0</v>
      </c>
      <c r="P48" s="20" t="n">
        <v>0</v>
      </c>
      <c r="Q48" s="18" t="n">
        <v>0.35810746</v>
      </c>
      <c r="R48" s="20" t="n">
        <v>0.20451536</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3201</v>
      </c>
      <c r="C61" s="18">
        <f>(2362.0/B61*100)</f>
        <v/>
      </c>
      <c r="D61" s="19" t="n">
        <v>839</v>
      </c>
      <c r="E61" s="18" t="n">
        <v>62.5841587</v>
      </c>
      <c r="F61" s="20" t="n">
        <v>2.014726</v>
      </c>
      <c r="G61" s="18" t="n">
        <v>36.12915074</v>
      </c>
      <c r="H61" s="20" t="n">
        <v>1.97065555</v>
      </c>
      <c r="I61" s="18" t="s">
        <v>105</v>
      </c>
      <c r="J61" s="20" t="s">
        <v>105</v>
      </c>
      <c r="K61" s="18" t="n">
        <v>0.17973059</v>
      </c>
      <c r="L61" s="20" t="n">
        <v>0.16165234</v>
      </c>
      <c r="M61" s="18" t="n">
        <v>0</v>
      </c>
      <c r="N61" s="20" t="n">
        <v>0</v>
      </c>
      <c r="O61" s="18" t="n">
        <v>0</v>
      </c>
      <c r="P61" s="20" t="n">
        <v>0</v>
      </c>
      <c r="Q61" s="18" t="n">
        <v>1.10695997</v>
      </c>
      <c r="R61" s="20" t="n">
        <v>0.35206358</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3460</v>
      </c>
      <c r="C67" s="18">
        <f>(2676.0/B67*100)</f>
        <v/>
      </c>
      <c r="D67" s="19" t="n">
        <v>784</v>
      </c>
      <c r="E67" s="18" t="n">
        <v>73.86318543</v>
      </c>
      <c r="F67" s="20" t="n">
        <v>1.76545703</v>
      </c>
      <c r="G67" s="18" t="n">
        <v>24.29579639</v>
      </c>
      <c r="H67" s="20" t="n">
        <v>1.77715991</v>
      </c>
      <c r="I67" s="18" t="s">
        <v>105</v>
      </c>
      <c r="J67" s="20" t="s">
        <v>105</v>
      </c>
      <c r="K67" s="18" t="n">
        <v>0</v>
      </c>
      <c r="L67" s="20" t="n">
        <v>0</v>
      </c>
      <c r="M67" s="18" t="n">
        <v>0</v>
      </c>
      <c r="N67" s="20" t="n">
        <v>0</v>
      </c>
      <c r="O67" s="18" t="n">
        <v>0</v>
      </c>
      <c r="P67" s="20" t="n">
        <v>0</v>
      </c>
      <c r="Q67" s="18" t="n">
        <v>1.84101818</v>
      </c>
      <c r="R67" s="20" t="n">
        <v>0.49712461</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3107</v>
      </c>
      <c r="C70" s="18">
        <f>(2363.0/B70*100)</f>
        <v/>
      </c>
      <c r="D70" s="19" t="n">
        <v>744</v>
      </c>
      <c r="E70" s="18" t="n">
        <v>47.58469941</v>
      </c>
      <c r="F70" s="20" t="n">
        <v>1.93668999</v>
      </c>
      <c r="G70" s="18" t="n">
        <v>50.13123986</v>
      </c>
      <c r="H70" s="20" t="n">
        <v>2.1159309</v>
      </c>
      <c r="I70" s="18" t="s">
        <v>105</v>
      </c>
      <c r="J70" s="20" t="s">
        <v>105</v>
      </c>
      <c r="K70" s="18" t="n">
        <v>0.92239302</v>
      </c>
      <c r="L70" s="20" t="n">
        <v>0.3461137</v>
      </c>
      <c r="M70" s="18" t="n">
        <v>0</v>
      </c>
      <c r="N70" s="20" t="n">
        <v>0</v>
      </c>
      <c r="O70" s="18" t="n">
        <v>0</v>
      </c>
      <c r="P70" s="20" t="n">
        <v>0</v>
      </c>
      <c r="Q70" s="18" t="n">
        <v>1.36166771</v>
      </c>
      <c r="R70" s="20" t="n">
        <v>0.45409339</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39.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244</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7163</v>
      </c>
      <c r="C7" s="18">
        <f>(553.0/B7*100)</f>
        <v/>
      </c>
      <c r="D7" s="19" t="n">
        <v>6610</v>
      </c>
      <c r="E7" s="18" t="n">
        <v>57.65741415</v>
      </c>
      <c r="F7" s="20" t="n">
        <v>0.69192726</v>
      </c>
      <c r="G7" s="18" t="n">
        <v>33.60971577</v>
      </c>
      <c r="H7" s="20" t="n">
        <v>0.6326947000000001</v>
      </c>
      <c r="I7" s="18" t="s">
        <v>105</v>
      </c>
      <c r="J7" s="20" t="s">
        <v>105</v>
      </c>
      <c r="K7" s="18" t="n">
        <v>1.29000285</v>
      </c>
      <c r="L7" s="20" t="n">
        <v>0.15100832</v>
      </c>
      <c r="M7" s="18" t="n">
        <v>0</v>
      </c>
      <c r="N7" s="20" t="n">
        <v>0</v>
      </c>
      <c r="O7" s="18" t="n">
        <v>0</v>
      </c>
      <c r="P7" s="20" t="n">
        <v>0</v>
      </c>
      <c r="Q7" s="18" t="n">
        <v>7.44286723</v>
      </c>
      <c r="R7" s="20" t="n">
        <v>0.37802569</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2795</v>
      </c>
      <c r="C9" s="18">
        <f>(2162.0/B9*100)</f>
        <v/>
      </c>
      <c r="D9" s="19" t="n">
        <v>633</v>
      </c>
      <c r="E9" s="18" t="n">
        <v>59.74905272</v>
      </c>
      <c r="F9" s="20" t="n">
        <v>1.59709302</v>
      </c>
      <c r="G9" s="18" t="n">
        <v>34.76674923</v>
      </c>
      <c r="H9" s="20" t="n">
        <v>1.67567336</v>
      </c>
      <c r="I9" s="18" t="s">
        <v>105</v>
      </c>
      <c r="J9" s="20" t="s">
        <v>105</v>
      </c>
      <c r="K9" s="18" t="n">
        <v>0.67766105</v>
      </c>
      <c r="L9" s="20" t="n">
        <v>0.43290007</v>
      </c>
      <c r="M9" s="18" t="n">
        <v>0</v>
      </c>
      <c r="N9" s="20" t="n">
        <v>0</v>
      </c>
      <c r="O9" s="18" t="n">
        <v>0</v>
      </c>
      <c r="P9" s="20" t="n">
        <v>0</v>
      </c>
      <c r="Q9" s="18" t="n">
        <v>4.80653699</v>
      </c>
      <c r="R9" s="20" t="n">
        <v>0.76408538</v>
      </c>
    </row>
    <row r="10" spans="1:18">
      <c r="A10" s="15" t="s">
        <v>109</v>
      </c>
      <c r="B10" s="17" t="n">
        <v>6602</v>
      </c>
      <c r="C10" s="18">
        <f>(5023.0/B10*100)</f>
        <v/>
      </c>
      <c r="D10" s="19" t="n">
        <v>1579</v>
      </c>
      <c r="E10" s="18" t="n">
        <v>67.96044998000001</v>
      </c>
      <c r="F10" s="20" t="n">
        <v>2.01507021</v>
      </c>
      <c r="G10" s="18" t="n">
        <v>27.09828752</v>
      </c>
      <c r="H10" s="20" t="n">
        <v>1.98376374</v>
      </c>
      <c r="I10" s="18" t="s">
        <v>105</v>
      </c>
      <c r="J10" s="20" t="s">
        <v>105</v>
      </c>
      <c r="K10" s="18" t="n">
        <v>0.24862187</v>
      </c>
      <c r="L10" s="20" t="n">
        <v>0.20209826</v>
      </c>
      <c r="M10" s="18" t="n">
        <v>0</v>
      </c>
      <c r="N10" s="20" t="n">
        <v>0</v>
      </c>
      <c r="O10" s="18" t="n">
        <v>0</v>
      </c>
      <c r="P10" s="20" t="n">
        <v>0</v>
      </c>
      <c r="Q10" s="18" t="n">
        <v>4.69264062</v>
      </c>
      <c r="R10" s="20" t="n">
        <v>0.66736494</v>
      </c>
    </row>
    <row r="11" spans="1:18">
      <c r="A11" s="15" t="s">
        <v>110</v>
      </c>
      <c r="B11" s="17" t="n">
        <v>3500</v>
      </c>
      <c r="C11" s="18">
        <f>(2630.0/B11*100)</f>
        <v/>
      </c>
      <c r="D11" s="19" t="n">
        <v>870</v>
      </c>
      <c r="E11" s="18" t="n">
        <v>57.43418855</v>
      </c>
      <c r="F11" s="20" t="n">
        <v>1.81479327</v>
      </c>
      <c r="G11" s="18" t="n">
        <v>26.47251547</v>
      </c>
      <c r="H11" s="20" t="n">
        <v>1.7886302</v>
      </c>
      <c r="I11" s="18" t="s">
        <v>105</v>
      </c>
      <c r="J11" s="20" t="s">
        <v>105</v>
      </c>
      <c r="K11" s="18" t="n">
        <v>1.32146539</v>
      </c>
      <c r="L11" s="20" t="n">
        <v>0.49971941</v>
      </c>
      <c r="M11" s="18" t="n">
        <v>0</v>
      </c>
      <c r="N11" s="20" t="n">
        <v>0</v>
      </c>
      <c r="O11" s="18" t="n">
        <v>0</v>
      </c>
      <c r="P11" s="20" t="n">
        <v>0</v>
      </c>
      <c r="Q11" s="18" t="n">
        <v>14.7718306</v>
      </c>
      <c r="R11" s="20" t="n">
        <v>1.40942688</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5792</v>
      </c>
      <c r="C23" s="18">
        <f>(4476.0/B23*100)</f>
        <v/>
      </c>
      <c r="D23" s="19" t="n">
        <v>1316</v>
      </c>
      <c r="E23" s="18" t="n">
        <v>53.00620439</v>
      </c>
      <c r="F23" s="20" t="n">
        <v>2.11313546</v>
      </c>
      <c r="G23" s="18" t="n">
        <v>38.80014724</v>
      </c>
      <c r="H23" s="20" t="n">
        <v>1.99219783</v>
      </c>
      <c r="I23" s="18" t="s">
        <v>105</v>
      </c>
      <c r="J23" s="20" t="s">
        <v>105</v>
      </c>
      <c r="K23" s="18" t="n">
        <v>1.13782945</v>
      </c>
      <c r="L23" s="20" t="n">
        <v>0.33907497</v>
      </c>
      <c r="M23" s="18" t="n">
        <v>0</v>
      </c>
      <c r="N23" s="20" t="n">
        <v>0</v>
      </c>
      <c r="O23" s="18" t="n">
        <v>0</v>
      </c>
      <c r="P23" s="20" t="n">
        <v>0</v>
      </c>
      <c r="Q23" s="18" t="n">
        <v>7.05581892</v>
      </c>
      <c r="R23" s="20" t="n">
        <v>1.05924912</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2700</v>
      </c>
      <c r="C29" s="18">
        <f>(2020.0/B29*100)</f>
        <v/>
      </c>
      <c r="D29" s="19" t="n">
        <v>680</v>
      </c>
      <c r="E29" s="18" t="n">
        <v>62.91197119</v>
      </c>
      <c r="F29" s="20" t="n">
        <v>1.92700552</v>
      </c>
      <c r="G29" s="18" t="n">
        <v>32.11099336</v>
      </c>
      <c r="H29" s="20" t="n">
        <v>1.87354802</v>
      </c>
      <c r="I29" s="18" t="s">
        <v>105</v>
      </c>
      <c r="J29" s="20" t="s">
        <v>105</v>
      </c>
      <c r="K29" s="18" t="n">
        <v>0.12826646</v>
      </c>
      <c r="L29" s="20" t="n">
        <v>0.13672156</v>
      </c>
      <c r="M29" s="18" t="n">
        <v>0</v>
      </c>
      <c r="N29" s="20" t="n">
        <v>0</v>
      </c>
      <c r="O29" s="18" t="n">
        <v>0</v>
      </c>
      <c r="P29" s="20" t="n">
        <v>0</v>
      </c>
      <c r="Q29" s="18" t="n">
        <v>4.84876898</v>
      </c>
      <c r="R29" s="20" t="n">
        <v>0.8210269100000001</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2209</v>
      </c>
      <c r="C32" s="18">
        <f>(1356.0/B32*100)</f>
        <v/>
      </c>
      <c r="D32" s="19" t="n">
        <v>853</v>
      </c>
      <c r="E32" s="18" t="n">
        <v>56.20165792</v>
      </c>
      <c r="F32" s="20" t="n">
        <v>2.17351136</v>
      </c>
      <c r="G32" s="18" t="n">
        <v>34.07519083</v>
      </c>
      <c r="H32" s="20" t="n">
        <v>2.17378001</v>
      </c>
      <c r="I32" s="18" t="s">
        <v>105</v>
      </c>
      <c r="J32" s="20" t="s">
        <v>105</v>
      </c>
      <c r="K32" s="18" t="n">
        <v>0.24469358</v>
      </c>
      <c r="L32" s="20" t="n">
        <v>0.18098644</v>
      </c>
      <c r="M32" s="18" t="n">
        <v>0</v>
      </c>
      <c r="N32" s="20" t="n">
        <v>0</v>
      </c>
      <c r="O32" s="18" t="n">
        <v>0</v>
      </c>
      <c r="P32" s="20" t="n">
        <v>0</v>
      </c>
      <c r="Q32" s="18" t="n">
        <v>9.47845766</v>
      </c>
      <c r="R32" s="20" t="n">
        <v>1.12253481</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3035</v>
      </c>
      <c r="C34" s="18">
        <f>(2315.0/B34*100)</f>
        <v/>
      </c>
      <c r="D34" s="19" t="n">
        <v>720</v>
      </c>
      <c r="E34" s="18" t="n">
        <v>62.50533774</v>
      </c>
      <c r="F34" s="20" t="n">
        <v>1.90026904</v>
      </c>
      <c r="G34" s="18" t="n">
        <v>22.88782142</v>
      </c>
      <c r="H34" s="20" t="n">
        <v>1.68829064</v>
      </c>
      <c r="I34" s="18" t="s">
        <v>105</v>
      </c>
      <c r="J34" s="20" t="s">
        <v>105</v>
      </c>
      <c r="K34" s="18" t="n">
        <v>1.2690056</v>
      </c>
      <c r="L34" s="20" t="n">
        <v>0.48135396</v>
      </c>
      <c r="M34" s="18" t="n">
        <v>0</v>
      </c>
      <c r="N34" s="20" t="n">
        <v>0</v>
      </c>
      <c r="O34" s="18" t="n">
        <v>0</v>
      </c>
      <c r="P34" s="20" t="n">
        <v>0</v>
      </c>
      <c r="Q34" s="18" t="n">
        <v>13.33783524</v>
      </c>
      <c r="R34" s="20" t="n">
        <v>1.37415186</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3404</v>
      </c>
      <c r="C36" s="18">
        <f>(2547.0/B36*100)</f>
        <v/>
      </c>
      <c r="D36" s="19" t="n">
        <v>857</v>
      </c>
      <c r="E36" s="18" t="n">
        <v>71.50128785</v>
      </c>
      <c r="F36" s="20" t="n">
        <v>1.65584428</v>
      </c>
      <c r="G36" s="18" t="n">
        <v>17.785837</v>
      </c>
      <c r="H36" s="20" t="n">
        <v>1.39004783</v>
      </c>
      <c r="I36" s="18" t="s">
        <v>105</v>
      </c>
      <c r="J36" s="20" t="s">
        <v>105</v>
      </c>
      <c r="K36" s="18" t="n">
        <v>0.5013492000000001</v>
      </c>
      <c r="L36" s="20" t="n">
        <v>0.26967918</v>
      </c>
      <c r="M36" s="18" t="n">
        <v>0</v>
      </c>
      <c r="N36" s="20" t="n">
        <v>0</v>
      </c>
      <c r="O36" s="18" t="n">
        <v>0</v>
      </c>
      <c r="P36" s="20" t="n">
        <v>0</v>
      </c>
      <c r="Q36" s="18" t="n">
        <v>10.21152595</v>
      </c>
      <c r="R36" s="20" t="n">
        <v>1.15740172</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2854</v>
      </c>
      <c r="C41" s="18">
        <f>(2143.0/B41*100)</f>
        <v/>
      </c>
      <c r="D41" s="19" t="n">
        <v>711</v>
      </c>
      <c r="E41" s="18" t="n">
        <v>74.02098357</v>
      </c>
      <c r="F41" s="20" t="n">
        <v>1.5569388</v>
      </c>
      <c r="G41" s="18" t="n">
        <v>22.73042856</v>
      </c>
      <c r="H41" s="20" t="n">
        <v>1.41767149</v>
      </c>
      <c r="I41" s="18" t="s">
        <v>105</v>
      </c>
      <c r="J41" s="20" t="s">
        <v>105</v>
      </c>
      <c r="K41" s="18" t="n">
        <v>0.15116566</v>
      </c>
      <c r="L41" s="20" t="n">
        <v>0.15907724</v>
      </c>
      <c r="M41" s="18" t="n">
        <v>0</v>
      </c>
      <c r="N41" s="20" t="n">
        <v>0</v>
      </c>
      <c r="O41" s="18" t="n">
        <v>0</v>
      </c>
      <c r="P41" s="20" t="n">
        <v>0</v>
      </c>
      <c r="Q41" s="18" t="n">
        <v>3.09742221</v>
      </c>
      <c r="R41" s="20" t="n">
        <v>0.66348401</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12073</v>
      </c>
      <c r="C46" s="18">
        <f>(9853.0/B46*100)</f>
        <v/>
      </c>
      <c r="D46" s="19" t="n">
        <v>2220</v>
      </c>
      <c r="E46" s="18" t="n">
        <v>59.29409612</v>
      </c>
      <c r="F46" s="20" t="n">
        <v>1.63657864</v>
      </c>
      <c r="G46" s="18" t="n">
        <v>13.46918694</v>
      </c>
      <c r="H46" s="20" t="n">
        <v>1.03818288</v>
      </c>
      <c r="I46" s="18" t="s">
        <v>105</v>
      </c>
      <c r="J46" s="20" t="s">
        <v>105</v>
      </c>
      <c r="K46" s="18" t="n">
        <v>4.28761426</v>
      </c>
      <c r="L46" s="20" t="n">
        <v>0.6471523</v>
      </c>
      <c r="M46" s="18" t="n">
        <v>0</v>
      </c>
      <c r="N46" s="20" t="n">
        <v>0</v>
      </c>
      <c r="O46" s="18" t="n">
        <v>0</v>
      </c>
      <c r="P46" s="20" t="n">
        <v>0</v>
      </c>
      <c r="Q46" s="18" t="n">
        <v>22.94910267</v>
      </c>
      <c r="R46" s="20" t="n">
        <v>1.22089952</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4682</v>
      </c>
      <c r="C48" s="18">
        <f>(3497.0/B48*100)</f>
        <v/>
      </c>
      <c r="D48" s="19" t="n">
        <v>1185</v>
      </c>
      <c r="E48" s="18" t="n">
        <v>74.57251289</v>
      </c>
      <c r="F48" s="20" t="n">
        <v>1.46072619</v>
      </c>
      <c r="G48" s="18" t="n">
        <v>24.46408804</v>
      </c>
      <c r="H48" s="20" t="n">
        <v>1.50349802</v>
      </c>
      <c r="I48" s="18" t="s">
        <v>105</v>
      </c>
      <c r="J48" s="20" t="s">
        <v>105</v>
      </c>
      <c r="K48" s="18" t="n">
        <v>0.01910509</v>
      </c>
      <c r="L48" s="20" t="n">
        <v>0.01911562</v>
      </c>
      <c r="M48" s="18" t="n">
        <v>0</v>
      </c>
      <c r="N48" s="20" t="n">
        <v>0</v>
      </c>
      <c r="O48" s="18" t="n">
        <v>0</v>
      </c>
      <c r="P48" s="20" t="n">
        <v>0</v>
      </c>
      <c r="Q48" s="18" t="n">
        <v>0.94429399</v>
      </c>
      <c r="R48" s="20" t="n">
        <v>0.49770878</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3201</v>
      </c>
      <c r="C61" s="18">
        <f>(2362.0/B61*100)</f>
        <v/>
      </c>
      <c r="D61" s="19" t="n">
        <v>839</v>
      </c>
      <c r="E61" s="18" t="n">
        <v>58.53249172</v>
      </c>
      <c r="F61" s="20" t="n">
        <v>1.84064112</v>
      </c>
      <c r="G61" s="18" t="n">
        <v>29.72463332</v>
      </c>
      <c r="H61" s="20" t="n">
        <v>1.8120435</v>
      </c>
      <c r="I61" s="18" t="s">
        <v>105</v>
      </c>
      <c r="J61" s="20" t="s">
        <v>105</v>
      </c>
      <c r="K61" s="18" t="n">
        <v>0.3164625</v>
      </c>
      <c r="L61" s="20" t="n">
        <v>0.21364635</v>
      </c>
      <c r="M61" s="18" t="n">
        <v>0</v>
      </c>
      <c r="N61" s="20" t="n">
        <v>0</v>
      </c>
      <c r="O61" s="18" t="n">
        <v>0</v>
      </c>
      <c r="P61" s="20" t="n">
        <v>0</v>
      </c>
      <c r="Q61" s="18" t="n">
        <v>11.42641246</v>
      </c>
      <c r="R61" s="20" t="n">
        <v>1.12807849</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3460</v>
      </c>
      <c r="C67" s="18">
        <f>(2686.0/B67*100)</f>
        <v/>
      </c>
      <c r="D67" s="19" t="n">
        <v>774</v>
      </c>
      <c r="E67" s="18" t="n">
        <v>76.00649718</v>
      </c>
      <c r="F67" s="20" t="n">
        <v>1.64831107</v>
      </c>
      <c r="G67" s="18" t="n">
        <v>16.23817637</v>
      </c>
      <c r="H67" s="20" t="n">
        <v>1.39652652</v>
      </c>
      <c r="I67" s="18" t="s">
        <v>105</v>
      </c>
      <c r="J67" s="20" t="s">
        <v>105</v>
      </c>
      <c r="K67" s="18" t="n">
        <v>0.14198821</v>
      </c>
      <c r="L67" s="20" t="n">
        <v>0.14204425</v>
      </c>
      <c r="M67" s="18" t="n">
        <v>0</v>
      </c>
      <c r="N67" s="20" t="n">
        <v>0</v>
      </c>
      <c r="O67" s="18" t="n">
        <v>0</v>
      </c>
      <c r="P67" s="20" t="n">
        <v>0</v>
      </c>
      <c r="Q67" s="18" t="n">
        <v>7.61333825</v>
      </c>
      <c r="R67" s="20" t="n">
        <v>1.10137234</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3107</v>
      </c>
      <c r="C70" s="18">
        <f>(2367.0/B70*100)</f>
        <v/>
      </c>
      <c r="D70" s="19" t="n">
        <v>740</v>
      </c>
      <c r="E70" s="18" t="n">
        <v>42.76578719</v>
      </c>
      <c r="F70" s="20" t="n">
        <v>1.92130608</v>
      </c>
      <c r="G70" s="18" t="n">
        <v>49.37353661</v>
      </c>
      <c r="H70" s="20" t="n">
        <v>2.29174055</v>
      </c>
      <c r="I70" s="18" t="s">
        <v>105</v>
      </c>
      <c r="J70" s="20" t="s">
        <v>105</v>
      </c>
      <c r="K70" s="18" t="n">
        <v>1.15596206</v>
      </c>
      <c r="L70" s="20" t="n">
        <v>0.38594988</v>
      </c>
      <c r="M70" s="18" t="n">
        <v>0</v>
      </c>
      <c r="N70" s="20" t="n">
        <v>0</v>
      </c>
      <c r="O70" s="18" t="n">
        <v>0</v>
      </c>
      <c r="P70" s="20" t="n">
        <v>0</v>
      </c>
      <c r="Q70" s="18" t="n">
        <v>6.70471414</v>
      </c>
      <c r="R70" s="20" t="n">
        <v>1.2003971</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4.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197</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7163</v>
      </c>
      <c r="C7" s="18">
        <f>(287.0/B7*100)</f>
        <v/>
      </c>
      <c r="D7" s="19" t="n">
        <v>6876</v>
      </c>
      <c r="E7" s="18" t="n">
        <v>36.26557028</v>
      </c>
      <c r="F7" s="20" t="n">
        <v>0.7074468900000001</v>
      </c>
      <c r="G7" s="18" t="n">
        <v>62.35104528</v>
      </c>
      <c r="H7" s="20" t="n">
        <v>0.72371461</v>
      </c>
      <c r="I7" s="18" t="s">
        <v>105</v>
      </c>
      <c r="J7" s="20" t="s">
        <v>105</v>
      </c>
      <c r="K7" s="18" t="n">
        <v>0.34958023</v>
      </c>
      <c r="L7" s="20" t="n">
        <v>0.08914211</v>
      </c>
      <c r="M7" s="18" t="n">
        <v>0</v>
      </c>
      <c r="N7" s="20" t="n">
        <v>0</v>
      </c>
      <c r="O7" s="18" t="n">
        <v>0</v>
      </c>
      <c r="P7" s="20" t="n">
        <v>0</v>
      </c>
      <c r="Q7" s="18" t="n">
        <v>1.0338042</v>
      </c>
      <c r="R7" s="20" t="n">
        <v>0.16373767</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2795</v>
      </c>
      <c r="C9" s="18">
        <f>(2143.0/B9*100)</f>
        <v/>
      </c>
      <c r="D9" s="19" t="n">
        <v>652</v>
      </c>
      <c r="E9" s="18" t="n">
        <v>37.30665814</v>
      </c>
      <c r="F9" s="20" t="n">
        <v>2.08893184</v>
      </c>
      <c r="G9" s="18" t="n">
        <v>62.69334186</v>
      </c>
      <c r="H9" s="20" t="n">
        <v>2.08893184</v>
      </c>
      <c r="I9" s="18" t="s">
        <v>105</v>
      </c>
      <c r="J9" s="20" t="s">
        <v>105</v>
      </c>
      <c r="K9" s="18" t="n">
        <v>0</v>
      </c>
      <c r="L9" s="20" t="n">
        <v>0</v>
      </c>
      <c r="M9" s="18" t="n">
        <v>0</v>
      </c>
      <c r="N9" s="20" t="n">
        <v>0</v>
      </c>
      <c r="O9" s="18" t="n">
        <v>0</v>
      </c>
      <c r="P9" s="20" t="n">
        <v>0</v>
      </c>
      <c r="Q9" s="18" t="n">
        <v>0</v>
      </c>
      <c r="R9" s="20" t="n">
        <v>0</v>
      </c>
    </row>
    <row r="10" spans="1:18">
      <c r="A10" s="15" t="s">
        <v>109</v>
      </c>
      <c r="B10" s="17" t="n">
        <v>6602</v>
      </c>
      <c r="C10" s="18">
        <f>(5012.0/B10*100)</f>
        <v/>
      </c>
      <c r="D10" s="19" t="n">
        <v>1590</v>
      </c>
      <c r="E10" s="18" t="n">
        <v>30.87064163</v>
      </c>
      <c r="F10" s="20" t="n">
        <v>1.81266522</v>
      </c>
      <c r="G10" s="18" t="n">
        <v>68.40160246000001</v>
      </c>
      <c r="H10" s="20" t="n">
        <v>1.81042217</v>
      </c>
      <c r="I10" s="18" t="s">
        <v>105</v>
      </c>
      <c r="J10" s="20" t="s">
        <v>105</v>
      </c>
      <c r="K10" s="18" t="n">
        <v>0.02403624</v>
      </c>
      <c r="L10" s="20" t="n">
        <v>0.02538196</v>
      </c>
      <c r="M10" s="18" t="n">
        <v>0</v>
      </c>
      <c r="N10" s="20" t="n">
        <v>0</v>
      </c>
      <c r="O10" s="18" t="n">
        <v>0</v>
      </c>
      <c r="P10" s="20" t="n">
        <v>0</v>
      </c>
      <c r="Q10" s="18" t="n">
        <v>0.70371966</v>
      </c>
      <c r="R10" s="20" t="n">
        <v>0.30481371</v>
      </c>
    </row>
    <row r="11" spans="1:18">
      <c r="A11" s="15" t="s">
        <v>110</v>
      </c>
      <c r="B11" s="17" t="n">
        <v>3500</v>
      </c>
      <c r="C11" s="18">
        <f>(2606.0/B11*100)</f>
        <v/>
      </c>
      <c r="D11" s="19" t="n">
        <v>894</v>
      </c>
      <c r="E11" s="18" t="n">
        <v>42.20334095</v>
      </c>
      <c r="F11" s="20" t="n">
        <v>2.14442883</v>
      </c>
      <c r="G11" s="18" t="n">
        <v>56.27498712</v>
      </c>
      <c r="H11" s="20" t="n">
        <v>2.15549275</v>
      </c>
      <c r="I11" s="18" t="s">
        <v>105</v>
      </c>
      <c r="J11" s="20" t="s">
        <v>105</v>
      </c>
      <c r="K11" s="18" t="n">
        <v>0.21574873</v>
      </c>
      <c r="L11" s="20" t="n">
        <v>0.19574579</v>
      </c>
      <c r="M11" s="18" t="n">
        <v>0</v>
      </c>
      <c r="N11" s="20" t="n">
        <v>0</v>
      </c>
      <c r="O11" s="18" t="n">
        <v>0</v>
      </c>
      <c r="P11" s="20" t="n">
        <v>0</v>
      </c>
      <c r="Q11" s="18" t="n">
        <v>1.3059232</v>
      </c>
      <c r="R11" s="20" t="n">
        <v>0.35690644</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5792</v>
      </c>
      <c r="C23" s="18">
        <f>(4448.0/B23*100)</f>
        <v/>
      </c>
      <c r="D23" s="19" t="n">
        <v>1344</v>
      </c>
      <c r="E23" s="18" t="n">
        <v>30.70192292</v>
      </c>
      <c r="F23" s="20" t="n">
        <v>1.65078564</v>
      </c>
      <c r="G23" s="18" t="n">
        <v>68.37830002</v>
      </c>
      <c r="H23" s="20" t="n">
        <v>1.66802092</v>
      </c>
      <c r="I23" s="18" t="s">
        <v>105</v>
      </c>
      <c r="J23" s="20" t="s">
        <v>105</v>
      </c>
      <c r="K23" s="18" t="n">
        <v>0.22913622</v>
      </c>
      <c r="L23" s="20" t="n">
        <v>0.1661516</v>
      </c>
      <c r="M23" s="18" t="n">
        <v>0</v>
      </c>
      <c r="N23" s="20" t="n">
        <v>0</v>
      </c>
      <c r="O23" s="18" t="n">
        <v>0</v>
      </c>
      <c r="P23" s="20" t="n">
        <v>0</v>
      </c>
      <c r="Q23" s="18" t="n">
        <v>0.69064084</v>
      </c>
      <c r="R23" s="20" t="n">
        <v>0.2796343</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2700</v>
      </c>
      <c r="C29" s="18">
        <f>(2020.0/B29*100)</f>
        <v/>
      </c>
      <c r="D29" s="19" t="n">
        <v>680</v>
      </c>
      <c r="E29" s="18" t="n">
        <v>43.30184362</v>
      </c>
      <c r="F29" s="20" t="n">
        <v>1.69186174</v>
      </c>
      <c r="G29" s="18" t="n">
        <v>56.56988992</v>
      </c>
      <c r="H29" s="20" t="n">
        <v>1.7207594</v>
      </c>
      <c r="I29" s="18" t="s">
        <v>105</v>
      </c>
      <c r="J29" s="20" t="s">
        <v>105</v>
      </c>
      <c r="K29" s="18" t="n">
        <v>0.12826646</v>
      </c>
      <c r="L29" s="20" t="n">
        <v>0.13672156</v>
      </c>
      <c r="M29" s="18" t="n">
        <v>0</v>
      </c>
      <c r="N29" s="20" t="n">
        <v>0</v>
      </c>
      <c r="O29" s="18" t="n">
        <v>0</v>
      </c>
      <c r="P29" s="20" t="n">
        <v>0</v>
      </c>
      <c r="Q29" s="18" t="n">
        <v>0</v>
      </c>
      <c r="R29" s="20" t="n">
        <v>0</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2209</v>
      </c>
      <c r="C32" s="18">
        <f>(1356.0/B32*100)</f>
        <v/>
      </c>
      <c r="D32" s="19" t="n">
        <v>853</v>
      </c>
      <c r="E32" s="18" t="n">
        <v>35.65470674</v>
      </c>
      <c r="F32" s="20" t="n">
        <v>1.6184793</v>
      </c>
      <c r="G32" s="18" t="n">
        <v>63.9993741</v>
      </c>
      <c r="H32" s="20" t="n">
        <v>1.62800361</v>
      </c>
      <c r="I32" s="18" t="s">
        <v>105</v>
      </c>
      <c r="J32" s="20" t="s">
        <v>105</v>
      </c>
      <c r="K32" s="18" t="n">
        <v>0.13861391</v>
      </c>
      <c r="L32" s="20" t="n">
        <v>0.14629654</v>
      </c>
      <c r="M32" s="18" t="n">
        <v>0</v>
      </c>
      <c r="N32" s="20" t="n">
        <v>0</v>
      </c>
      <c r="O32" s="18" t="n">
        <v>0</v>
      </c>
      <c r="P32" s="20" t="n">
        <v>0</v>
      </c>
      <c r="Q32" s="18" t="n">
        <v>0.20730526</v>
      </c>
      <c r="R32" s="20" t="n">
        <v>0.14618545</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3035</v>
      </c>
      <c r="C34" s="18">
        <f>(2301.0/B34*100)</f>
        <v/>
      </c>
      <c r="D34" s="19" t="n">
        <v>734</v>
      </c>
      <c r="E34" s="18" t="n">
        <v>44.27379823</v>
      </c>
      <c r="F34" s="20" t="n">
        <v>2.21332927</v>
      </c>
      <c r="G34" s="18" t="n">
        <v>54.36371072</v>
      </c>
      <c r="H34" s="20" t="n">
        <v>2.23340841</v>
      </c>
      <c r="I34" s="18" t="s">
        <v>105</v>
      </c>
      <c r="J34" s="20" t="s">
        <v>105</v>
      </c>
      <c r="K34" s="18" t="n">
        <v>0.22309885</v>
      </c>
      <c r="L34" s="20" t="n">
        <v>0.16543954</v>
      </c>
      <c r="M34" s="18" t="n">
        <v>0</v>
      </c>
      <c r="N34" s="20" t="n">
        <v>0</v>
      </c>
      <c r="O34" s="18" t="n">
        <v>0</v>
      </c>
      <c r="P34" s="20" t="n">
        <v>0</v>
      </c>
      <c r="Q34" s="18" t="n">
        <v>1.13939219</v>
      </c>
      <c r="R34" s="20" t="n">
        <v>0.32711075</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3404</v>
      </c>
      <c r="C36" s="18">
        <f>(2529.0/B36*100)</f>
        <v/>
      </c>
      <c r="D36" s="19" t="n">
        <v>875</v>
      </c>
      <c r="E36" s="18" t="n">
        <v>44.86836489</v>
      </c>
      <c r="F36" s="20" t="n">
        <v>2.25536743</v>
      </c>
      <c r="G36" s="18" t="n">
        <v>53.89721856</v>
      </c>
      <c r="H36" s="20" t="n">
        <v>2.28561588</v>
      </c>
      <c r="I36" s="18" t="s">
        <v>105</v>
      </c>
      <c r="J36" s="20" t="s">
        <v>105</v>
      </c>
      <c r="K36" s="18" t="n">
        <v>0</v>
      </c>
      <c r="L36" s="20" t="n">
        <v>0</v>
      </c>
      <c r="M36" s="18" t="n">
        <v>0</v>
      </c>
      <c r="N36" s="20" t="n">
        <v>0</v>
      </c>
      <c r="O36" s="18" t="n">
        <v>0</v>
      </c>
      <c r="P36" s="20" t="n">
        <v>0</v>
      </c>
      <c r="Q36" s="18" t="n">
        <v>1.23441655</v>
      </c>
      <c r="R36" s="20" t="n">
        <v>0.32981278</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2854</v>
      </c>
      <c r="C41" s="18">
        <f>(2130.0/B41*100)</f>
        <v/>
      </c>
      <c r="D41" s="19" t="n">
        <v>724</v>
      </c>
      <c r="E41" s="18" t="n">
        <v>34.65001002</v>
      </c>
      <c r="F41" s="20" t="n">
        <v>2.05820102</v>
      </c>
      <c r="G41" s="18" t="n">
        <v>64.88286967000001</v>
      </c>
      <c r="H41" s="20" t="n">
        <v>2.06295355</v>
      </c>
      <c r="I41" s="18" t="s">
        <v>105</v>
      </c>
      <c r="J41" s="20" t="s">
        <v>105</v>
      </c>
      <c r="K41" s="18" t="n">
        <v>0</v>
      </c>
      <c r="L41" s="20" t="n">
        <v>0</v>
      </c>
      <c r="M41" s="18" t="n">
        <v>0</v>
      </c>
      <c r="N41" s="20" t="n">
        <v>0</v>
      </c>
      <c r="O41" s="18" t="n">
        <v>0</v>
      </c>
      <c r="P41" s="20" t="n">
        <v>0</v>
      </c>
      <c r="Q41" s="18" t="n">
        <v>0.46712031</v>
      </c>
      <c r="R41" s="20" t="n">
        <v>0.23452333</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12073</v>
      </c>
      <c r="C46" s="18">
        <f>(9352.0/B46*100)</f>
        <v/>
      </c>
      <c r="D46" s="19" t="n">
        <v>2721</v>
      </c>
      <c r="E46" s="18" t="n">
        <v>38.15981638</v>
      </c>
      <c r="F46" s="20" t="n">
        <v>1.26372537</v>
      </c>
      <c r="G46" s="18" t="n">
        <v>54.79596212</v>
      </c>
      <c r="H46" s="20" t="n">
        <v>1.40684286</v>
      </c>
      <c r="I46" s="18" t="s">
        <v>105</v>
      </c>
      <c r="J46" s="20" t="s">
        <v>105</v>
      </c>
      <c r="K46" s="18" t="n">
        <v>0.90817841</v>
      </c>
      <c r="L46" s="20" t="n">
        <v>0.2269535</v>
      </c>
      <c r="M46" s="18" t="n">
        <v>0</v>
      </c>
      <c r="N46" s="20" t="n">
        <v>0</v>
      </c>
      <c r="O46" s="18" t="n">
        <v>0</v>
      </c>
      <c r="P46" s="20" t="n">
        <v>0</v>
      </c>
      <c r="Q46" s="18" t="n">
        <v>6.13604309</v>
      </c>
      <c r="R46" s="20" t="n">
        <v>0.83672576</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4682</v>
      </c>
      <c r="C48" s="18">
        <f>(3490.0/B48*100)</f>
        <v/>
      </c>
      <c r="D48" s="19" t="n">
        <v>1192</v>
      </c>
      <c r="E48" s="18" t="n">
        <v>23.76373542</v>
      </c>
      <c r="F48" s="20" t="n">
        <v>1.70950956</v>
      </c>
      <c r="G48" s="18" t="n">
        <v>76.17192022</v>
      </c>
      <c r="H48" s="20" t="n">
        <v>1.71461755</v>
      </c>
      <c r="I48" s="18" t="s">
        <v>105</v>
      </c>
      <c r="J48" s="20" t="s">
        <v>105</v>
      </c>
      <c r="K48" s="18" t="n">
        <v>0.06434436</v>
      </c>
      <c r="L48" s="20" t="n">
        <v>0.06451257000000001</v>
      </c>
      <c r="M48" s="18" t="n">
        <v>0</v>
      </c>
      <c r="N48" s="20" t="n">
        <v>0</v>
      </c>
      <c r="O48" s="18" t="n">
        <v>0</v>
      </c>
      <c r="P48" s="20" t="n">
        <v>0</v>
      </c>
      <c r="Q48" s="18" t="n">
        <v>0</v>
      </c>
      <c r="R48" s="20" t="n">
        <v>0</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3201</v>
      </c>
      <c r="C61" s="18">
        <f>(2357.0/B61*100)</f>
        <v/>
      </c>
      <c r="D61" s="19" t="n">
        <v>844</v>
      </c>
      <c r="E61" s="18" t="n">
        <v>43.64403081</v>
      </c>
      <c r="F61" s="20" t="n">
        <v>1.93942059</v>
      </c>
      <c r="G61" s="18" t="n">
        <v>55.51242452</v>
      </c>
      <c r="H61" s="20" t="n">
        <v>1.88587498</v>
      </c>
      <c r="I61" s="18" t="s">
        <v>105</v>
      </c>
      <c r="J61" s="20" t="s">
        <v>105</v>
      </c>
      <c r="K61" s="18" t="n">
        <v>0.15209773</v>
      </c>
      <c r="L61" s="20" t="n">
        <v>0.1584732</v>
      </c>
      <c r="M61" s="18" t="n">
        <v>0</v>
      </c>
      <c r="N61" s="20" t="n">
        <v>0</v>
      </c>
      <c r="O61" s="18" t="n">
        <v>0</v>
      </c>
      <c r="P61" s="20" t="n">
        <v>0</v>
      </c>
      <c r="Q61" s="18" t="n">
        <v>0.69144694</v>
      </c>
      <c r="R61" s="20" t="n">
        <v>0.32010575</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3460</v>
      </c>
      <c r="C67" s="18">
        <f>(2574.0/B67*100)</f>
        <v/>
      </c>
      <c r="D67" s="19" t="n">
        <v>886</v>
      </c>
      <c r="E67" s="18" t="n">
        <v>53.47772861</v>
      </c>
      <c r="F67" s="20" t="n">
        <v>1.97761232</v>
      </c>
      <c r="G67" s="18" t="n">
        <v>45.88351318</v>
      </c>
      <c r="H67" s="20" t="n">
        <v>1.99157839</v>
      </c>
      <c r="I67" s="18" t="s">
        <v>105</v>
      </c>
      <c r="J67" s="20" t="s">
        <v>105</v>
      </c>
      <c r="K67" s="18" t="n">
        <v>0</v>
      </c>
      <c r="L67" s="20" t="n">
        <v>0</v>
      </c>
      <c r="M67" s="18" t="n">
        <v>0</v>
      </c>
      <c r="N67" s="20" t="n">
        <v>0</v>
      </c>
      <c r="O67" s="18" t="n">
        <v>0</v>
      </c>
      <c r="P67" s="20" t="n">
        <v>0</v>
      </c>
      <c r="Q67" s="18" t="n">
        <v>0.63875821</v>
      </c>
      <c r="R67" s="20" t="n">
        <v>0.26018689</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3107</v>
      </c>
      <c r="C70" s="18">
        <f>(2316.0/B70*100)</f>
        <v/>
      </c>
      <c r="D70" s="19" t="n">
        <v>791</v>
      </c>
      <c r="E70" s="18" t="n">
        <v>22.91357736</v>
      </c>
      <c r="F70" s="20" t="n">
        <v>2.02043395</v>
      </c>
      <c r="G70" s="18" t="n">
        <v>76.19104133</v>
      </c>
      <c r="H70" s="20" t="n">
        <v>2.13282113</v>
      </c>
      <c r="I70" s="18" t="s">
        <v>105</v>
      </c>
      <c r="J70" s="20" t="s">
        <v>105</v>
      </c>
      <c r="K70" s="18" t="n">
        <v>0</v>
      </c>
      <c r="L70" s="20" t="n">
        <v>0</v>
      </c>
      <c r="M70" s="18" t="n">
        <v>0</v>
      </c>
      <c r="N70" s="20" t="n">
        <v>0</v>
      </c>
      <c r="O70" s="18" t="n">
        <v>0</v>
      </c>
      <c r="P70" s="20" t="n">
        <v>0</v>
      </c>
      <c r="Q70" s="18" t="n">
        <v>0.89538131</v>
      </c>
      <c r="R70" s="20" t="n">
        <v>0.38646075</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40.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245</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7163</v>
      </c>
      <c r="C7" s="18">
        <f>(589.0/B7*100)</f>
        <v/>
      </c>
      <c r="D7" s="19" t="n">
        <v>6574</v>
      </c>
      <c r="E7" s="18" t="n">
        <v>68.46845691999999</v>
      </c>
      <c r="F7" s="20" t="n">
        <v>0.6545242100000001</v>
      </c>
      <c r="G7" s="18" t="n">
        <v>28.38792048</v>
      </c>
      <c r="H7" s="20" t="n">
        <v>0.62227598</v>
      </c>
      <c r="I7" s="18" t="s">
        <v>105</v>
      </c>
      <c r="J7" s="20" t="s">
        <v>105</v>
      </c>
      <c r="K7" s="18" t="n">
        <v>1.37509138</v>
      </c>
      <c r="L7" s="20" t="n">
        <v>0.15193547</v>
      </c>
      <c r="M7" s="18" t="n">
        <v>0</v>
      </c>
      <c r="N7" s="20" t="n">
        <v>0</v>
      </c>
      <c r="O7" s="18" t="n">
        <v>0</v>
      </c>
      <c r="P7" s="20" t="n">
        <v>0</v>
      </c>
      <c r="Q7" s="18" t="n">
        <v>1.76853122</v>
      </c>
      <c r="R7" s="20" t="n">
        <v>0.19020256</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2795</v>
      </c>
      <c r="C9" s="18">
        <f>(2165.0/B9*100)</f>
        <v/>
      </c>
      <c r="D9" s="19" t="n">
        <v>630</v>
      </c>
      <c r="E9" s="18" t="n">
        <v>69.81474586</v>
      </c>
      <c r="F9" s="20" t="n">
        <v>1.64979545</v>
      </c>
      <c r="G9" s="18" t="n">
        <v>27.58072686</v>
      </c>
      <c r="H9" s="20" t="n">
        <v>1.61358716</v>
      </c>
      <c r="I9" s="18" t="s">
        <v>105</v>
      </c>
      <c r="J9" s="20" t="s">
        <v>105</v>
      </c>
      <c r="K9" s="18" t="n">
        <v>0.68198672</v>
      </c>
      <c r="L9" s="20" t="n">
        <v>0.43543316</v>
      </c>
      <c r="M9" s="18" t="n">
        <v>0</v>
      </c>
      <c r="N9" s="20" t="n">
        <v>0</v>
      </c>
      <c r="O9" s="18" t="n">
        <v>0</v>
      </c>
      <c r="P9" s="20" t="n">
        <v>0</v>
      </c>
      <c r="Q9" s="18" t="n">
        <v>1.92254056</v>
      </c>
      <c r="R9" s="20" t="n">
        <v>0.47224063</v>
      </c>
    </row>
    <row r="10" spans="1:18">
      <c r="A10" s="15" t="s">
        <v>109</v>
      </c>
      <c r="B10" s="17" t="n">
        <v>6602</v>
      </c>
      <c r="C10" s="18">
        <f>(5026.0/B10*100)</f>
        <v/>
      </c>
      <c r="D10" s="19" t="n">
        <v>1576</v>
      </c>
      <c r="E10" s="18" t="n">
        <v>68.40819190000001</v>
      </c>
      <c r="F10" s="20" t="n">
        <v>1.69737967</v>
      </c>
      <c r="G10" s="18" t="n">
        <v>30.7085367</v>
      </c>
      <c r="H10" s="20" t="n">
        <v>1.60825015</v>
      </c>
      <c r="I10" s="18" t="s">
        <v>105</v>
      </c>
      <c r="J10" s="20" t="s">
        <v>105</v>
      </c>
      <c r="K10" s="18" t="n">
        <v>0.26904074</v>
      </c>
      <c r="L10" s="20" t="n">
        <v>0.20314799</v>
      </c>
      <c r="M10" s="18" t="n">
        <v>0</v>
      </c>
      <c r="N10" s="20" t="n">
        <v>0</v>
      </c>
      <c r="O10" s="18" t="n">
        <v>0</v>
      </c>
      <c r="P10" s="20" t="n">
        <v>0</v>
      </c>
      <c r="Q10" s="18" t="n">
        <v>0.61423067</v>
      </c>
      <c r="R10" s="20" t="n">
        <v>0.34694734</v>
      </c>
    </row>
    <row r="11" spans="1:18">
      <c r="A11" s="15" t="s">
        <v>110</v>
      </c>
      <c r="B11" s="17" t="n">
        <v>3500</v>
      </c>
      <c r="C11" s="18">
        <f>(2631.0/B11*100)</f>
        <v/>
      </c>
      <c r="D11" s="19" t="n">
        <v>869</v>
      </c>
      <c r="E11" s="18" t="n">
        <v>63.52251482</v>
      </c>
      <c r="F11" s="20" t="n">
        <v>1.90885496</v>
      </c>
      <c r="G11" s="18" t="n">
        <v>33.19087997</v>
      </c>
      <c r="H11" s="20" t="n">
        <v>1.91120582</v>
      </c>
      <c r="I11" s="18" t="s">
        <v>105</v>
      </c>
      <c r="J11" s="20" t="s">
        <v>105</v>
      </c>
      <c r="K11" s="18" t="n">
        <v>1.47442704</v>
      </c>
      <c r="L11" s="20" t="n">
        <v>0.52046405</v>
      </c>
      <c r="M11" s="18" t="n">
        <v>0</v>
      </c>
      <c r="N11" s="20" t="n">
        <v>0</v>
      </c>
      <c r="O11" s="18" t="n">
        <v>0</v>
      </c>
      <c r="P11" s="20" t="n">
        <v>0</v>
      </c>
      <c r="Q11" s="18" t="n">
        <v>1.81217817</v>
      </c>
      <c r="R11" s="20" t="n">
        <v>0.50609754</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5792</v>
      </c>
      <c r="C23" s="18">
        <f>(4480.0/B23*100)</f>
        <v/>
      </c>
      <c r="D23" s="19" t="n">
        <v>1312</v>
      </c>
      <c r="E23" s="18" t="n">
        <v>78.84097379000001</v>
      </c>
      <c r="F23" s="20" t="n">
        <v>1.6781622</v>
      </c>
      <c r="G23" s="18" t="n">
        <v>18.97544444</v>
      </c>
      <c r="H23" s="20" t="n">
        <v>1.59169272</v>
      </c>
      <c r="I23" s="18" t="s">
        <v>105</v>
      </c>
      <c r="J23" s="20" t="s">
        <v>105</v>
      </c>
      <c r="K23" s="18" t="n">
        <v>1.15489084</v>
      </c>
      <c r="L23" s="20" t="n">
        <v>0.34026283</v>
      </c>
      <c r="M23" s="18" t="n">
        <v>0</v>
      </c>
      <c r="N23" s="20" t="n">
        <v>0</v>
      </c>
      <c r="O23" s="18" t="n">
        <v>0</v>
      </c>
      <c r="P23" s="20" t="n">
        <v>0</v>
      </c>
      <c r="Q23" s="18" t="n">
        <v>1.02869092</v>
      </c>
      <c r="R23" s="20" t="n">
        <v>0.36371128</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2700</v>
      </c>
      <c r="C29" s="18">
        <f>(2020.0/B29*100)</f>
        <v/>
      </c>
      <c r="D29" s="19" t="n">
        <v>680</v>
      </c>
      <c r="E29" s="18" t="n">
        <v>62.18513818</v>
      </c>
      <c r="F29" s="20" t="n">
        <v>1.77265315</v>
      </c>
      <c r="G29" s="18" t="n">
        <v>37.56137071</v>
      </c>
      <c r="H29" s="20" t="n">
        <v>1.78141333</v>
      </c>
      <c r="I29" s="18" t="s">
        <v>105</v>
      </c>
      <c r="J29" s="20" t="s">
        <v>105</v>
      </c>
      <c r="K29" s="18" t="n">
        <v>0.12826646</v>
      </c>
      <c r="L29" s="20" t="n">
        <v>0.13672156</v>
      </c>
      <c r="M29" s="18" t="n">
        <v>0</v>
      </c>
      <c r="N29" s="20" t="n">
        <v>0</v>
      </c>
      <c r="O29" s="18" t="n">
        <v>0</v>
      </c>
      <c r="P29" s="20" t="n">
        <v>0</v>
      </c>
      <c r="Q29" s="18" t="n">
        <v>0.12522465</v>
      </c>
      <c r="R29" s="20" t="n">
        <v>0.11647476</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2209</v>
      </c>
      <c r="C32" s="18">
        <f>(1356.0/B32*100)</f>
        <v/>
      </c>
      <c r="D32" s="19" t="n">
        <v>853</v>
      </c>
      <c r="E32" s="18" t="n">
        <v>67.74948968</v>
      </c>
      <c r="F32" s="20" t="n">
        <v>1.62503647</v>
      </c>
      <c r="G32" s="18" t="n">
        <v>31.65897586</v>
      </c>
      <c r="H32" s="20" t="n">
        <v>1.65003573</v>
      </c>
      <c r="I32" s="18" t="s">
        <v>105</v>
      </c>
      <c r="J32" s="20" t="s">
        <v>105</v>
      </c>
      <c r="K32" s="18" t="n">
        <v>0.24469358</v>
      </c>
      <c r="L32" s="20" t="n">
        <v>0.18098644</v>
      </c>
      <c r="M32" s="18" t="n">
        <v>0</v>
      </c>
      <c r="N32" s="20" t="n">
        <v>0</v>
      </c>
      <c r="O32" s="18" t="n">
        <v>0</v>
      </c>
      <c r="P32" s="20" t="n">
        <v>0</v>
      </c>
      <c r="Q32" s="18" t="n">
        <v>0.34684087</v>
      </c>
      <c r="R32" s="20" t="n">
        <v>0.20303786</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3035</v>
      </c>
      <c r="C34" s="18">
        <f>(2318.0/B34*100)</f>
        <v/>
      </c>
      <c r="D34" s="19" t="n">
        <v>717</v>
      </c>
      <c r="E34" s="18" t="n">
        <v>73.87280262</v>
      </c>
      <c r="F34" s="20" t="n">
        <v>1.74610456</v>
      </c>
      <c r="G34" s="18" t="n">
        <v>22.50954108</v>
      </c>
      <c r="H34" s="20" t="n">
        <v>1.66016588</v>
      </c>
      <c r="I34" s="18" t="s">
        <v>105</v>
      </c>
      <c r="J34" s="20" t="s">
        <v>105</v>
      </c>
      <c r="K34" s="18" t="n">
        <v>1.27344941</v>
      </c>
      <c r="L34" s="20" t="n">
        <v>0.4826282</v>
      </c>
      <c r="M34" s="18" t="n">
        <v>0</v>
      </c>
      <c r="N34" s="20" t="n">
        <v>0</v>
      </c>
      <c r="O34" s="18" t="n">
        <v>0</v>
      </c>
      <c r="P34" s="20" t="n">
        <v>0</v>
      </c>
      <c r="Q34" s="18" t="n">
        <v>2.34420688</v>
      </c>
      <c r="R34" s="20" t="n">
        <v>0.61756076</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3404</v>
      </c>
      <c r="C36" s="18">
        <f>(2550.0/B36*100)</f>
        <v/>
      </c>
      <c r="D36" s="19" t="n">
        <v>854</v>
      </c>
      <c r="E36" s="18" t="n">
        <v>82.0647012</v>
      </c>
      <c r="F36" s="20" t="n">
        <v>1.28648174</v>
      </c>
      <c r="G36" s="18" t="n">
        <v>16.04797475</v>
      </c>
      <c r="H36" s="20" t="n">
        <v>1.27739343</v>
      </c>
      <c r="I36" s="18" t="s">
        <v>105</v>
      </c>
      <c r="J36" s="20" t="s">
        <v>105</v>
      </c>
      <c r="K36" s="18" t="n">
        <v>0.50341696</v>
      </c>
      <c r="L36" s="20" t="n">
        <v>0.27075361</v>
      </c>
      <c r="M36" s="18" t="n">
        <v>0</v>
      </c>
      <c r="N36" s="20" t="n">
        <v>0</v>
      </c>
      <c r="O36" s="18" t="n">
        <v>0</v>
      </c>
      <c r="P36" s="20" t="n">
        <v>0</v>
      </c>
      <c r="Q36" s="18" t="n">
        <v>1.38390708</v>
      </c>
      <c r="R36" s="20" t="n">
        <v>0.40665998</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2854</v>
      </c>
      <c r="C41" s="18">
        <f>(2145.0/B41*100)</f>
        <v/>
      </c>
      <c r="D41" s="19" t="n">
        <v>709</v>
      </c>
      <c r="E41" s="18" t="n">
        <v>66.83077195</v>
      </c>
      <c r="F41" s="20" t="n">
        <v>1.95116766</v>
      </c>
      <c r="G41" s="18" t="n">
        <v>31.92812429</v>
      </c>
      <c r="H41" s="20" t="n">
        <v>1.92057616</v>
      </c>
      <c r="I41" s="18" t="s">
        <v>105</v>
      </c>
      <c r="J41" s="20" t="s">
        <v>105</v>
      </c>
      <c r="K41" s="18" t="n">
        <v>0.33220272</v>
      </c>
      <c r="L41" s="20" t="n">
        <v>0.19617211</v>
      </c>
      <c r="M41" s="18" t="n">
        <v>0</v>
      </c>
      <c r="N41" s="20" t="n">
        <v>0</v>
      </c>
      <c r="O41" s="18" t="n">
        <v>0</v>
      </c>
      <c r="P41" s="20" t="n">
        <v>0</v>
      </c>
      <c r="Q41" s="18" t="n">
        <v>0.90890105</v>
      </c>
      <c r="R41" s="20" t="n">
        <v>0.43729673</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12073</v>
      </c>
      <c r="C46" s="18">
        <f>(9897.0/B46*100)</f>
        <v/>
      </c>
      <c r="D46" s="19" t="n">
        <v>2176</v>
      </c>
      <c r="E46" s="18" t="n">
        <v>67.42338458</v>
      </c>
      <c r="F46" s="20" t="n">
        <v>1.21758924</v>
      </c>
      <c r="G46" s="18" t="n">
        <v>22.25567953</v>
      </c>
      <c r="H46" s="20" t="n">
        <v>1.09035382</v>
      </c>
      <c r="I46" s="18" t="s">
        <v>105</v>
      </c>
      <c r="J46" s="20" t="s">
        <v>105</v>
      </c>
      <c r="K46" s="18" t="n">
        <v>4.52629612</v>
      </c>
      <c r="L46" s="20" t="n">
        <v>0.69725987</v>
      </c>
      <c r="M46" s="18" t="n">
        <v>0</v>
      </c>
      <c r="N46" s="20" t="n">
        <v>0</v>
      </c>
      <c r="O46" s="18" t="n">
        <v>0</v>
      </c>
      <c r="P46" s="20" t="n">
        <v>0</v>
      </c>
      <c r="Q46" s="18" t="n">
        <v>5.79463977</v>
      </c>
      <c r="R46" s="20" t="n">
        <v>0.75612578</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4682</v>
      </c>
      <c r="C48" s="18">
        <f>(3497.0/B48*100)</f>
        <v/>
      </c>
      <c r="D48" s="19" t="n">
        <v>1185</v>
      </c>
      <c r="E48" s="18" t="n">
        <v>65.48019336999999</v>
      </c>
      <c r="F48" s="20" t="n">
        <v>1.97335296</v>
      </c>
      <c r="G48" s="18" t="n">
        <v>34.30262298</v>
      </c>
      <c r="H48" s="20" t="n">
        <v>1.97748709</v>
      </c>
      <c r="I48" s="18" t="s">
        <v>105</v>
      </c>
      <c r="J48" s="20" t="s">
        <v>105</v>
      </c>
      <c r="K48" s="18" t="n">
        <v>0.01910509</v>
      </c>
      <c r="L48" s="20" t="n">
        <v>0.01911562</v>
      </c>
      <c r="M48" s="18" t="n">
        <v>0</v>
      </c>
      <c r="N48" s="20" t="n">
        <v>0</v>
      </c>
      <c r="O48" s="18" t="n">
        <v>0</v>
      </c>
      <c r="P48" s="20" t="n">
        <v>0</v>
      </c>
      <c r="Q48" s="18" t="n">
        <v>0.19807857</v>
      </c>
      <c r="R48" s="20" t="n">
        <v>0.11525684</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3201</v>
      </c>
      <c r="C61" s="18">
        <f>(2362.0/B61*100)</f>
        <v/>
      </c>
      <c r="D61" s="19" t="n">
        <v>839</v>
      </c>
      <c r="E61" s="18" t="n">
        <v>75.02382325000001</v>
      </c>
      <c r="F61" s="20" t="n">
        <v>1.66686655</v>
      </c>
      <c r="G61" s="18" t="n">
        <v>24.05775808</v>
      </c>
      <c r="H61" s="20" t="n">
        <v>1.70941228</v>
      </c>
      <c r="I61" s="18" t="s">
        <v>105</v>
      </c>
      <c r="J61" s="20" t="s">
        <v>105</v>
      </c>
      <c r="K61" s="18" t="n">
        <v>0.3164625</v>
      </c>
      <c r="L61" s="20" t="n">
        <v>0.21364635</v>
      </c>
      <c r="M61" s="18" t="n">
        <v>0</v>
      </c>
      <c r="N61" s="20" t="n">
        <v>0</v>
      </c>
      <c r="O61" s="18" t="n">
        <v>0</v>
      </c>
      <c r="P61" s="20" t="n">
        <v>0</v>
      </c>
      <c r="Q61" s="18" t="n">
        <v>0.60195617</v>
      </c>
      <c r="R61" s="20" t="n">
        <v>0.2463376</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3460</v>
      </c>
      <c r="C67" s="18">
        <f>(2696.0/B67*100)</f>
        <v/>
      </c>
      <c r="D67" s="19" t="n">
        <v>764</v>
      </c>
      <c r="E67" s="18" t="n">
        <v>73.44506144</v>
      </c>
      <c r="F67" s="20" t="n">
        <v>1.60528772</v>
      </c>
      <c r="G67" s="18" t="n">
        <v>26.30980629</v>
      </c>
      <c r="H67" s="20" t="n">
        <v>1.60085428</v>
      </c>
      <c r="I67" s="18" t="s">
        <v>105</v>
      </c>
      <c r="J67" s="20" t="s">
        <v>105</v>
      </c>
      <c r="K67" s="18" t="n">
        <v>0.14394034</v>
      </c>
      <c r="L67" s="20" t="n">
        <v>0.14399236</v>
      </c>
      <c r="M67" s="18" t="n">
        <v>0</v>
      </c>
      <c r="N67" s="20" t="n">
        <v>0</v>
      </c>
      <c r="O67" s="18" t="n">
        <v>0</v>
      </c>
      <c r="P67" s="20" t="n">
        <v>0</v>
      </c>
      <c r="Q67" s="18" t="n">
        <v>0.10119193</v>
      </c>
      <c r="R67" s="20" t="n">
        <v>0.10051339</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3107</v>
      </c>
      <c r="C70" s="18">
        <f>(2371.0/B70*100)</f>
        <v/>
      </c>
      <c r="D70" s="19" t="n">
        <v>736</v>
      </c>
      <c r="E70" s="18" t="n">
        <v>69.33324497</v>
      </c>
      <c r="F70" s="20" t="n">
        <v>1.61351961</v>
      </c>
      <c r="G70" s="18" t="n">
        <v>28.27281886</v>
      </c>
      <c r="H70" s="20" t="n">
        <v>1.49666245</v>
      </c>
      <c r="I70" s="18" t="s">
        <v>105</v>
      </c>
      <c r="J70" s="20" t="s">
        <v>105</v>
      </c>
      <c r="K70" s="18" t="n">
        <v>1.16169057</v>
      </c>
      <c r="L70" s="20" t="n">
        <v>0.38778444</v>
      </c>
      <c r="M70" s="18" t="n">
        <v>0</v>
      </c>
      <c r="N70" s="20" t="n">
        <v>0</v>
      </c>
      <c r="O70" s="18" t="n">
        <v>0</v>
      </c>
      <c r="P70" s="20" t="n">
        <v>0</v>
      </c>
      <c r="Q70" s="18" t="n">
        <v>1.2322456</v>
      </c>
      <c r="R70" s="20" t="n">
        <v>0.47102004</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41.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246</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7163</v>
      </c>
      <c r="C7" s="18">
        <f>(647.0/B7*100)</f>
        <v/>
      </c>
      <c r="D7" s="19" t="n">
        <v>6516</v>
      </c>
      <c r="E7" s="18" t="n">
        <v>61.23120942</v>
      </c>
      <c r="F7" s="20" t="n">
        <v>0.77940969</v>
      </c>
      <c r="G7" s="18" t="n">
        <v>36.09093304</v>
      </c>
      <c r="H7" s="20" t="n">
        <v>0.7617089500000001</v>
      </c>
      <c r="I7" s="18" t="s">
        <v>105</v>
      </c>
      <c r="J7" s="20" t="s">
        <v>105</v>
      </c>
      <c r="K7" s="18" t="n">
        <v>1.55474935</v>
      </c>
      <c r="L7" s="20" t="n">
        <v>0.15833779</v>
      </c>
      <c r="M7" s="18" t="n">
        <v>0</v>
      </c>
      <c r="N7" s="20" t="n">
        <v>0</v>
      </c>
      <c r="O7" s="18" t="n">
        <v>0</v>
      </c>
      <c r="P7" s="20" t="n">
        <v>0</v>
      </c>
      <c r="Q7" s="18" t="n">
        <v>1.12310818</v>
      </c>
      <c r="R7" s="20" t="n">
        <v>0.15583592</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2795</v>
      </c>
      <c r="C9" s="18">
        <f>(2167.0/B9*100)</f>
        <v/>
      </c>
      <c r="D9" s="19" t="n">
        <v>628</v>
      </c>
      <c r="E9" s="18" t="n">
        <v>62.97423243</v>
      </c>
      <c r="F9" s="20" t="n">
        <v>2.05814226</v>
      </c>
      <c r="G9" s="18" t="n">
        <v>35.89753774</v>
      </c>
      <c r="H9" s="20" t="n">
        <v>2.01758187</v>
      </c>
      <c r="I9" s="18" t="s">
        <v>105</v>
      </c>
      <c r="J9" s="20" t="s">
        <v>105</v>
      </c>
      <c r="K9" s="18" t="n">
        <v>0.83059927</v>
      </c>
      <c r="L9" s="20" t="n">
        <v>0.38351663</v>
      </c>
      <c r="M9" s="18" t="n">
        <v>0</v>
      </c>
      <c r="N9" s="20" t="n">
        <v>0</v>
      </c>
      <c r="O9" s="18" t="n">
        <v>0</v>
      </c>
      <c r="P9" s="20" t="n">
        <v>0</v>
      </c>
      <c r="Q9" s="18" t="n">
        <v>0.29763057</v>
      </c>
      <c r="R9" s="20" t="n">
        <v>0.1745973</v>
      </c>
    </row>
    <row r="10" spans="1:18">
      <c r="A10" s="15" t="s">
        <v>109</v>
      </c>
      <c r="B10" s="17" t="n">
        <v>6602</v>
      </c>
      <c r="C10" s="18">
        <f>(5028.0/B10*100)</f>
        <v/>
      </c>
      <c r="D10" s="19" t="n">
        <v>1574</v>
      </c>
      <c r="E10" s="18" t="n">
        <v>53.57175703</v>
      </c>
      <c r="F10" s="20" t="n">
        <v>1.97085898</v>
      </c>
      <c r="G10" s="18" t="n">
        <v>45.82897608</v>
      </c>
      <c r="H10" s="20" t="n">
        <v>1.97687652</v>
      </c>
      <c r="I10" s="18" t="s">
        <v>105</v>
      </c>
      <c r="J10" s="20" t="s">
        <v>105</v>
      </c>
      <c r="K10" s="18" t="n">
        <v>0.26912538</v>
      </c>
      <c r="L10" s="20" t="n">
        <v>0.20321235</v>
      </c>
      <c r="M10" s="18" t="n">
        <v>0</v>
      </c>
      <c r="N10" s="20" t="n">
        <v>0</v>
      </c>
      <c r="O10" s="18" t="n">
        <v>0</v>
      </c>
      <c r="P10" s="20" t="n">
        <v>0</v>
      </c>
      <c r="Q10" s="18" t="n">
        <v>0.33014151</v>
      </c>
      <c r="R10" s="20" t="n">
        <v>0.30379462</v>
      </c>
    </row>
    <row r="11" spans="1:18">
      <c r="A11" s="15" t="s">
        <v>110</v>
      </c>
      <c r="B11" s="17" t="n">
        <v>3500</v>
      </c>
      <c r="C11" s="18">
        <f>(2632.0/B11*100)</f>
        <v/>
      </c>
      <c r="D11" s="19" t="n">
        <v>868</v>
      </c>
      <c r="E11" s="18" t="n">
        <v>79.0781645</v>
      </c>
      <c r="F11" s="20" t="n">
        <v>1.95480107</v>
      </c>
      <c r="G11" s="18" t="n">
        <v>18.17618176</v>
      </c>
      <c r="H11" s="20" t="n">
        <v>1.80367192</v>
      </c>
      <c r="I11" s="18" t="s">
        <v>105</v>
      </c>
      <c r="J11" s="20" t="s">
        <v>105</v>
      </c>
      <c r="K11" s="18" t="n">
        <v>1.65062387</v>
      </c>
      <c r="L11" s="20" t="n">
        <v>0.5889956</v>
      </c>
      <c r="M11" s="18" t="n">
        <v>0</v>
      </c>
      <c r="N11" s="20" t="n">
        <v>0</v>
      </c>
      <c r="O11" s="18" t="n">
        <v>0</v>
      </c>
      <c r="P11" s="20" t="n">
        <v>0</v>
      </c>
      <c r="Q11" s="18" t="n">
        <v>1.09502987</v>
      </c>
      <c r="R11" s="20" t="n">
        <v>0.42433719</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5792</v>
      </c>
      <c r="C23" s="18">
        <f>(4487.0/B23*100)</f>
        <v/>
      </c>
      <c r="D23" s="19" t="n">
        <v>1305</v>
      </c>
      <c r="E23" s="18" t="n">
        <v>72.53651846</v>
      </c>
      <c r="F23" s="20" t="n">
        <v>1.53801742</v>
      </c>
      <c r="G23" s="18" t="n">
        <v>24.67850866</v>
      </c>
      <c r="H23" s="20" t="n">
        <v>1.66261872</v>
      </c>
      <c r="I23" s="18" t="s">
        <v>105</v>
      </c>
      <c r="J23" s="20" t="s">
        <v>105</v>
      </c>
      <c r="K23" s="18" t="n">
        <v>1.91898372</v>
      </c>
      <c r="L23" s="20" t="n">
        <v>0.45932342</v>
      </c>
      <c r="M23" s="18" t="n">
        <v>0</v>
      </c>
      <c r="N23" s="20" t="n">
        <v>0</v>
      </c>
      <c r="O23" s="18" t="n">
        <v>0</v>
      </c>
      <c r="P23" s="20" t="n">
        <v>0</v>
      </c>
      <c r="Q23" s="18" t="n">
        <v>0.86598916</v>
      </c>
      <c r="R23" s="20" t="n">
        <v>0.27273562</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2700</v>
      </c>
      <c r="C29" s="18">
        <f>(2020.0/B29*100)</f>
        <v/>
      </c>
      <c r="D29" s="19" t="n">
        <v>680</v>
      </c>
      <c r="E29" s="18" t="n">
        <v>42.53813103</v>
      </c>
      <c r="F29" s="20" t="n">
        <v>2.15675305</v>
      </c>
      <c r="G29" s="18" t="n">
        <v>57.17826246</v>
      </c>
      <c r="H29" s="20" t="n">
        <v>2.14230134</v>
      </c>
      <c r="I29" s="18" t="s">
        <v>105</v>
      </c>
      <c r="J29" s="20" t="s">
        <v>105</v>
      </c>
      <c r="K29" s="18" t="n">
        <v>0.12826646</v>
      </c>
      <c r="L29" s="20" t="n">
        <v>0.13672156</v>
      </c>
      <c r="M29" s="18" t="n">
        <v>0</v>
      </c>
      <c r="N29" s="20" t="n">
        <v>0</v>
      </c>
      <c r="O29" s="18" t="n">
        <v>0</v>
      </c>
      <c r="P29" s="20" t="n">
        <v>0</v>
      </c>
      <c r="Q29" s="18" t="n">
        <v>0.15534004</v>
      </c>
      <c r="R29" s="20" t="n">
        <v>0.17182501</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2209</v>
      </c>
      <c r="C32" s="18">
        <f>(1356.0/B32*100)</f>
        <v/>
      </c>
      <c r="D32" s="19" t="n">
        <v>853</v>
      </c>
      <c r="E32" s="18" t="n">
        <v>70.82315597</v>
      </c>
      <c r="F32" s="20" t="n">
        <v>1.86118021</v>
      </c>
      <c r="G32" s="18" t="n">
        <v>28.59963745</v>
      </c>
      <c r="H32" s="20" t="n">
        <v>1.83584958</v>
      </c>
      <c r="I32" s="18" t="s">
        <v>105</v>
      </c>
      <c r="J32" s="20" t="s">
        <v>105</v>
      </c>
      <c r="K32" s="18" t="n">
        <v>0.36266877</v>
      </c>
      <c r="L32" s="20" t="n">
        <v>0.21771583</v>
      </c>
      <c r="M32" s="18" t="n">
        <v>0</v>
      </c>
      <c r="N32" s="20" t="n">
        <v>0</v>
      </c>
      <c r="O32" s="18" t="n">
        <v>0</v>
      </c>
      <c r="P32" s="20" t="n">
        <v>0</v>
      </c>
      <c r="Q32" s="18" t="n">
        <v>0.2145378</v>
      </c>
      <c r="R32" s="20" t="n">
        <v>0.15108199</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3035</v>
      </c>
      <c r="C34" s="18">
        <f>(2321.0/B34*100)</f>
        <v/>
      </c>
      <c r="D34" s="19" t="n">
        <v>714</v>
      </c>
      <c r="E34" s="18" t="n">
        <v>74.14728717</v>
      </c>
      <c r="F34" s="20" t="n">
        <v>1.7158519</v>
      </c>
      <c r="G34" s="18" t="n">
        <v>23.15086485</v>
      </c>
      <c r="H34" s="20" t="n">
        <v>1.47405737</v>
      </c>
      <c r="I34" s="18" t="s">
        <v>105</v>
      </c>
      <c r="J34" s="20" t="s">
        <v>105</v>
      </c>
      <c r="K34" s="18" t="n">
        <v>1.88378937</v>
      </c>
      <c r="L34" s="20" t="n">
        <v>0.58462737</v>
      </c>
      <c r="M34" s="18" t="n">
        <v>0</v>
      </c>
      <c r="N34" s="20" t="n">
        <v>0</v>
      </c>
      <c r="O34" s="18" t="n">
        <v>0</v>
      </c>
      <c r="P34" s="20" t="n">
        <v>0</v>
      </c>
      <c r="Q34" s="18" t="n">
        <v>0.81805861</v>
      </c>
      <c r="R34" s="20" t="n">
        <v>0.3913275</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3404</v>
      </c>
      <c r="C36" s="18">
        <f>(2551.0/B36*100)</f>
        <v/>
      </c>
      <c r="D36" s="19" t="n">
        <v>853</v>
      </c>
      <c r="E36" s="18" t="n">
        <v>82.90628331000001</v>
      </c>
      <c r="F36" s="20" t="n">
        <v>1.43151092</v>
      </c>
      <c r="G36" s="18" t="n">
        <v>15.79319391</v>
      </c>
      <c r="H36" s="20" t="n">
        <v>1.3368758</v>
      </c>
      <c r="I36" s="18" t="s">
        <v>105</v>
      </c>
      <c r="J36" s="20" t="s">
        <v>105</v>
      </c>
      <c r="K36" s="18" t="n">
        <v>0.6258456999999999</v>
      </c>
      <c r="L36" s="20" t="n">
        <v>0.30055884</v>
      </c>
      <c r="M36" s="18" t="n">
        <v>0</v>
      </c>
      <c r="N36" s="20" t="n">
        <v>0</v>
      </c>
      <c r="O36" s="18" t="n">
        <v>0</v>
      </c>
      <c r="P36" s="20" t="n">
        <v>0</v>
      </c>
      <c r="Q36" s="18" t="n">
        <v>0.67467708</v>
      </c>
      <c r="R36" s="20" t="n">
        <v>0.29549934</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2854</v>
      </c>
      <c r="C41" s="18">
        <f>(2144.0/B41*100)</f>
        <v/>
      </c>
      <c r="D41" s="19" t="n">
        <v>710</v>
      </c>
      <c r="E41" s="18" t="n">
        <v>56.74928319</v>
      </c>
      <c r="F41" s="20" t="n">
        <v>2.36279344</v>
      </c>
      <c r="G41" s="18" t="n">
        <v>42.41078688</v>
      </c>
      <c r="H41" s="20" t="n">
        <v>2.2856202</v>
      </c>
      <c r="I41" s="18" t="s">
        <v>105</v>
      </c>
      <c r="J41" s="20" t="s">
        <v>105</v>
      </c>
      <c r="K41" s="18" t="n">
        <v>0.45505125</v>
      </c>
      <c r="L41" s="20" t="n">
        <v>0.22919202</v>
      </c>
      <c r="M41" s="18" t="n">
        <v>0</v>
      </c>
      <c r="N41" s="20" t="n">
        <v>0</v>
      </c>
      <c r="O41" s="18" t="n">
        <v>0</v>
      </c>
      <c r="P41" s="20" t="n">
        <v>0</v>
      </c>
      <c r="Q41" s="18" t="n">
        <v>0.38487868</v>
      </c>
      <c r="R41" s="20" t="n">
        <v>0.23878671</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12073</v>
      </c>
      <c r="C46" s="18">
        <f>(9954.0/B46*100)</f>
        <v/>
      </c>
      <c r="D46" s="19" t="n">
        <v>2119</v>
      </c>
      <c r="E46" s="18" t="n">
        <v>52.52796818</v>
      </c>
      <c r="F46" s="20" t="n">
        <v>1.27265254</v>
      </c>
      <c r="G46" s="18" t="n">
        <v>40.19106812</v>
      </c>
      <c r="H46" s="20" t="n">
        <v>1.31145256</v>
      </c>
      <c r="I46" s="18" t="s">
        <v>105</v>
      </c>
      <c r="J46" s="20" t="s">
        <v>105</v>
      </c>
      <c r="K46" s="18" t="n">
        <v>5.03358125</v>
      </c>
      <c r="L46" s="20" t="n">
        <v>0.72983604</v>
      </c>
      <c r="M46" s="18" t="n">
        <v>0</v>
      </c>
      <c r="N46" s="20" t="n">
        <v>0</v>
      </c>
      <c r="O46" s="18" t="n">
        <v>0</v>
      </c>
      <c r="P46" s="20" t="n">
        <v>0</v>
      </c>
      <c r="Q46" s="18" t="n">
        <v>2.24738245</v>
      </c>
      <c r="R46" s="20" t="n">
        <v>0.4352225</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4682</v>
      </c>
      <c r="C48" s="18">
        <f>(3499.0/B48*100)</f>
        <v/>
      </c>
      <c r="D48" s="19" t="n">
        <v>1183</v>
      </c>
      <c r="E48" s="18" t="n">
        <v>60.84824575</v>
      </c>
      <c r="F48" s="20" t="n">
        <v>1.91799551</v>
      </c>
      <c r="G48" s="18" t="n">
        <v>38.61639232</v>
      </c>
      <c r="H48" s="20" t="n">
        <v>1.84822647</v>
      </c>
      <c r="I48" s="18" t="s">
        <v>105</v>
      </c>
      <c r="J48" s="20" t="s">
        <v>105</v>
      </c>
      <c r="K48" s="18" t="n">
        <v>0.46087121</v>
      </c>
      <c r="L48" s="20" t="n">
        <v>0.43611851</v>
      </c>
      <c r="M48" s="18" t="n">
        <v>0</v>
      </c>
      <c r="N48" s="20" t="n">
        <v>0</v>
      </c>
      <c r="O48" s="18" t="n">
        <v>0</v>
      </c>
      <c r="P48" s="20" t="n">
        <v>0</v>
      </c>
      <c r="Q48" s="18" t="n">
        <v>0.07449071</v>
      </c>
      <c r="R48" s="20" t="n">
        <v>0.06600229000000001</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3201</v>
      </c>
      <c r="C61" s="18">
        <f>(2363.0/B61*100)</f>
        <v/>
      </c>
      <c r="D61" s="19" t="n">
        <v>838</v>
      </c>
      <c r="E61" s="18" t="n">
        <v>72.97381166</v>
      </c>
      <c r="F61" s="20" t="n">
        <v>1.80568005</v>
      </c>
      <c r="G61" s="18" t="n">
        <v>25.95379078</v>
      </c>
      <c r="H61" s="20" t="n">
        <v>1.8504407</v>
      </c>
      <c r="I61" s="18" t="s">
        <v>105</v>
      </c>
      <c r="J61" s="20" t="s">
        <v>105</v>
      </c>
      <c r="K61" s="18" t="n">
        <v>0.34429175</v>
      </c>
      <c r="L61" s="20" t="n">
        <v>0.21568437</v>
      </c>
      <c r="M61" s="18" t="n">
        <v>0</v>
      </c>
      <c r="N61" s="20" t="n">
        <v>0</v>
      </c>
      <c r="O61" s="18" t="n">
        <v>0</v>
      </c>
      <c r="P61" s="20" t="n">
        <v>0</v>
      </c>
      <c r="Q61" s="18" t="n">
        <v>0.72810581</v>
      </c>
      <c r="R61" s="20" t="n">
        <v>0.29549776</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3460</v>
      </c>
      <c r="C67" s="18">
        <f>(2707.0/B67*100)</f>
        <v/>
      </c>
      <c r="D67" s="19" t="n">
        <v>753</v>
      </c>
      <c r="E67" s="18" t="n">
        <v>86.41147547999999</v>
      </c>
      <c r="F67" s="20" t="n">
        <v>1.60594085</v>
      </c>
      <c r="G67" s="18" t="n">
        <v>13.01751054</v>
      </c>
      <c r="H67" s="20" t="n">
        <v>1.57827544</v>
      </c>
      <c r="I67" s="18" t="s">
        <v>105</v>
      </c>
      <c r="J67" s="20" t="s">
        <v>105</v>
      </c>
      <c r="K67" s="18" t="n">
        <v>0.1459586</v>
      </c>
      <c r="L67" s="20" t="n">
        <v>0.1461942</v>
      </c>
      <c r="M67" s="18" t="n">
        <v>0</v>
      </c>
      <c r="N67" s="20" t="n">
        <v>0</v>
      </c>
      <c r="O67" s="18" t="n">
        <v>0</v>
      </c>
      <c r="P67" s="20" t="n">
        <v>0</v>
      </c>
      <c r="Q67" s="18" t="n">
        <v>0.42505538</v>
      </c>
      <c r="R67" s="20" t="n">
        <v>0.25600984</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3107</v>
      </c>
      <c r="C70" s="18">
        <f>(2374.0/B70*100)</f>
        <v/>
      </c>
      <c r="D70" s="19" t="n">
        <v>733</v>
      </c>
      <c r="E70" s="18" t="n">
        <v>46.90225356</v>
      </c>
      <c r="F70" s="20" t="n">
        <v>1.91706335</v>
      </c>
      <c r="G70" s="18" t="n">
        <v>51.3490484</v>
      </c>
      <c r="H70" s="20" t="n">
        <v>2.11182072</v>
      </c>
      <c r="I70" s="18" t="s">
        <v>105</v>
      </c>
      <c r="J70" s="20" t="s">
        <v>105</v>
      </c>
      <c r="K70" s="18" t="n">
        <v>1.34039461</v>
      </c>
      <c r="L70" s="20" t="n">
        <v>0.40149446</v>
      </c>
      <c r="M70" s="18" t="n">
        <v>0</v>
      </c>
      <c r="N70" s="20" t="n">
        <v>0</v>
      </c>
      <c r="O70" s="18" t="n">
        <v>0</v>
      </c>
      <c r="P70" s="20" t="n">
        <v>0</v>
      </c>
      <c r="Q70" s="18" t="n">
        <v>0.40830342</v>
      </c>
      <c r="R70" s="20" t="n">
        <v>0.32756119</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42.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247</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7163</v>
      </c>
      <c r="C7" s="18">
        <f>(648.0/B7*100)</f>
        <v/>
      </c>
      <c r="D7" s="19" t="n">
        <v>6515</v>
      </c>
      <c r="E7" s="18" t="n">
        <v>74.28671075</v>
      </c>
      <c r="F7" s="20" t="n">
        <v>0.5830848</v>
      </c>
      <c r="G7" s="18" t="n">
        <v>20.56249901</v>
      </c>
      <c r="H7" s="20" t="n">
        <v>0.53586509</v>
      </c>
      <c r="I7" s="18" t="s">
        <v>105</v>
      </c>
      <c r="J7" s="20" t="s">
        <v>105</v>
      </c>
      <c r="K7" s="18" t="n">
        <v>2.28471111</v>
      </c>
      <c r="L7" s="20" t="n">
        <v>0.20644984</v>
      </c>
      <c r="M7" s="18" t="n">
        <v>0</v>
      </c>
      <c r="N7" s="20" t="n">
        <v>0</v>
      </c>
      <c r="O7" s="18" t="n">
        <v>0</v>
      </c>
      <c r="P7" s="20" t="n">
        <v>0</v>
      </c>
      <c r="Q7" s="18" t="n">
        <v>2.86607913</v>
      </c>
      <c r="R7" s="20" t="n">
        <v>0.25807632</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2795</v>
      </c>
      <c r="C9" s="18">
        <f>(2167.0/B9*100)</f>
        <v/>
      </c>
      <c r="D9" s="19" t="n">
        <v>628</v>
      </c>
      <c r="E9" s="18" t="n">
        <v>73.0692864</v>
      </c>
      <c r="F9" s="20" t="n">
        <v>1.53100445</v>
      </c>
      <c r="G9" s="18" t="n">
        <v>23.99411369</v>
      </c>
      <c r="H9" s="20" t="n">
        <v>1.67631376</v>
      </c>
      <c r="I9" s="18" t="s">
        <v>105</v>
      </c>
      <c r="J9" s="20" t="s">
        <v>105</v>
      </c>
      <c r="K9" s="18" t="n">
        <v>1.81485758</v>
      </c>
      <c r="L9" s="20" t="n">
        <v>0.6545637399999999</v>
      </c>
      <c r="M9" s="18" t="n">
        <v>0</v>
      </c>
      <c r="N9" s="20" t="n">
        <v>0</v>
      </c>
      <c r="O9" s="18" t="n">
        <v>0</v>
      </c>
      <c r="P9" s="20" t="n">
        <v>0</v>
      </c>
      <c r="Q9" s="18" t="n">
        <v>1.12174233</v>
      </c>
      <c r="R9" s="20" t="n">
        <v>0.31941115</v>
      </c>
    </row>
    <row r="10" spans="1:18">
      <c r="A10" s="15" t="s">
        <v>109</v>
      </c>
      <c r="B10" s="17" t="n">
        <v>6602</v>
      </c>
      <c r="C10" s="18">
        <f>(5029.0/B10*100)</f>
        <v/>
      </c>
      <c r="D10" s="19" t="n">
        <v>1573</v>
      </c>
      <c r="E10" s="18" t="n">
        <v>75.21267156</v>
      </c>
      <c r="F10" s="20" t="n">
        <v>1.66790939</v>
      </c>
      <c r="G10" s="18" t="n">
        <v>21.97965393</v>
      </c>
      <c r="H10" s="20" t="n">
        <v>1.49237357</v>
      </c>
      <c r="I10" s="18" t="s">
        <v>105</v>
      </c>
      <c r="J10" s="20" t="s">
        <v>105</v>
      </c>
      <c r="K10" s="18" t="n">
        <v>0.59612023</v>
      </c>
      <c r="L10" s="20" t="n">
        <v>0.25780537</v>
      </c>
      <c r="M10" s="18" t="n">
        <v>0</v>
      </c>
      <c r="N10" s="20" t="n">
        <v>0</v>
      </c>
      <c r="O10" s="18" t="n">
        <v>0</v>
      </c>
      <c r="P10" s="20" t="n">
        <v>0</v>
      </c>
      <c r="Q10" s="18" t="n">
        <v>2.21155428</v>
      </c>
      <c r="R10" s="20" t="n">
        <v>0.62984496</v>
      </c>
    </row>
    <row r="11" spans="1:18">
      <c r="A11" s="15" t="s">
        <v>110</v>
      </c>
      <c r="B11" s="17" t="n">
        <v>3500</v>
      </c>
      <c r="C11" s="18">
        <f>(2634.0/B11*100)</f>
        <v/>
      </c>
      <c r="D11" s="19" t="n">
        <v>866</v>
      </c>
      <c r="E11" s="18" t="n">
        <v>80.96542212999999</v>
      </c>
      <c r="F11" s="20" t="n">
        <v>1.72735265</v>
      </c>
      <c r="G11" s="18" t="n">
        <v>11.36473622</v>
      </c>
      <c r="H11" s="20" t="n">
        <v>1.47567293</v>
      </c>
      <c r="I11" s="18" t="s">
        <v>105</v>
      </c>
      <c r="J11" s="20" t="s">
        <v>105</v>
      </c>
      <c r="K11" s="18" t="n">
        <v>3.28061936</v>
      </c>
      <c r="L11" s="20" t="n">
        <v>0.7858784</v>
      </c>
      <c r="M11" s="18" t="n">
        <v>0</v>
      </c>
      <c r="N11" s="20" t="n">
        <v>0</v>
      </c>
      <c r="O11" s="18" t="n">
        <v>0</v>
      </c>
      <c r="P11" s="20" t="n">
        <v>0</v>
      </c>
      <c r="Q11" s="18" t="n">
        <v>4.38922229</v>
      </c>
      <c r="R11" s="20" t="n">
        <v>0.78381561</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5792</v>
      </c>
      <c r="C23" s="18">
        <f>(4487.0/B23*100)</f>
        <v/>
      </c>
      <c r="D23" s="19" t="n">
        <v>1305</v>
      </c>
      <c r="E23" s="18" t="n">
        <v>74.19757265</v>
      </c>
      <c r="F23" s="20" t="n">
        <v>1.91993096</v>
      </c>
      <c r="G23" s="18" t="n">
        <v>20.30413723</v>
      </c>
      <c r="H23" s="20" t="n">
        <v>1.81360326</v>
      </c>
      <c r="I23" s="18" t="s">
        <v>105</v>
      </c>
      <c r="J23" s="20" t="s">
        <v>105</v>
      </c>
      <c r="K23" s="18" t="n">
        <v>3.31024597</v>
      </c>
      <c r="L23" s="20" t="n">
        <v>0.61827084</v>
      </c>
      <c r="M23" s="18" t="n">
        <v>0</v>
      </c>
      <c r="N23" s="20" t="n">
        <v>0</v>
      </c>
      <c r="O23" s="18" t="n">
        <v>0</v>
      </c>
      <c r="P23" s="20" t="n">
        <v>0</v>
      </c>
      <c r="Q23" s="18" t="n">
        <v>2.18804415</v>
      </c>
      <c r="R23" s="20" t="n">
        <v>0.51240438</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2700</v>
      </c>
      <c r="C29" s="18">
        <f>(2020.0/B29*100)</f>
        <v/>
      </c>
      <c r="D29" s="19" t="n">
        <v>680</v>
      </c>
      <c r="E29" s="18" t="n">
        <v>71.74378838</v>
      </c>
      <c r="F29" s="20" t="n">
        <v>1.67428835</v>
      </c>
      <c r="G29" s="18" t="n">
        <v>27.33428223</v>
      </c>
      <c r="H29" s="20" t="n">
        <v>1.69270043</v>
      </c>
      <c r="I29" s="18" t="s">
        <v>105</v>
      </c>
      <c r="J29" s="20" t="s">
        <v>105</v>
      </c>
      <c r="K29" s="18" t="n">
        <v>0.28342929</v>
      </c>
      <c r="L29" s="20" t="n">
        <v>0.19571972</v>
      </c>
      <c r="M29" s="18" t="n">
        <v>0</v>
      </c>
      <c r="N29" s="20" t="n">
        <v>0</v>
      </c>
      <c r="O29" s="18" t="n">
        <v>0</v>
      </c>
      <c r="P29" s="20" t="n">
        <v>0</v>
      </c>
      <c r="Q29" s="18" t="n">
        <v>0.6385001</v>
      </c>
      <c r="R29" s="20" t="n">
        <v>0.31843628</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2209</v>
      </c>
      <c r="C32" s="18">
        <f>(1356.0/B32*100)</f>
        <v/>
      </c>
      <c r="D32" s="19" t="n">
        <v>853</v>
      </c>
      <c r="E32" s="18" t="n">
        <v>82.99917696999999</v>
      </c>
      <c r="F32" s="20" t="n">
        <v>1.48090175</v>
      </c>
      <c r="G32" s="18" t="n">
        <v>15.64125617</v>
      </c>
      <c r="H32" s="20" t="n">
        <v>1.46519973</v>
      </c>
      <c r="I32" s="18" t="s">
        <v>105</v>
      </c>
      <c r="J32" s="20" t="s">
        <v>105</v>
      </c>
      <c r="K32" s="18" t="n">
        <v>0.57676599</v>
      </c>
      <c r="L32" s="20" t="n">
        <v>0.26435153</v>
      </c>
      <c r="M32" s="18" t="n">
        <v>0</v>
      </c>
      <c r="N32" s="20" t="n">
        <v>0</v>
      </c>
      <c r="O32" s="18" t="n">
        <v>0</v>
      </c>
      <c r="P32" s="20" t="n">
        <v>0</v>
      </c>
      <c r="Q32" s="18" t="n">
        <v>0.78280087</v>
      </c>
      <c r="R32" s="20" t="n">
        <v>0.28010613</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3035</v>
      </c>
      <c r="C34" s="18">
        <f>(2323.0/B34*100)</f>
        <v/>
      </c>
      <c r="D34" s="19" t="n">
        <v>712</v>
      </c>
      <c r="E34" s="18" t="n">
        <v>79.94667763</v>
      </c>
      <c r="F34" s="20" t="n">
        <v>1.77844632</v>
      </c>
      <c r="G34" s="18" t="n">
        <v>14.77762426</v>
      </c>
      <c r="H34" s="20" t="n">
        <v>1.63991219</v>
      </c>
      <c r="I34" s="18" t="s">
        <v>105</v>
      </c>
      <c r="J34" s="20" t="s">
        <v>105</v>
      </c>
      <c r="K34" s="18" t="n">
        <v>2.36059942</v>
      </c>
      <c r="L34" s="20" t="n">
        <v>0.66393929</v>
      </c>
      <c r="M34" s="18" t="n">
        <v>0</v>
      </c>
      <c r="N34" s="20" t="n">
        <v>0</v>
      </c>
      <c r="O34" s="18" t="n">
        <v>0</v>
      </c>
      <c r="P34" s="20" t="n">
        <v>0</v>
      </c>
      <c r="Q34" s="18" t="n">
        <v>2.91509869</v>
      </c>
      <c r="R34" s="20" t="n">
        <v>0.756053</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3404</v>
      </c>
      <c r="C36" s="18">
        <f>(2552.0/B36*100)</f>
        <v/>
      </c>
      <c r="D36" s="19" t="n">
        <v>852</v>
      </c>
      <c r="E36" s="18" t="n">
        <v>81.73689544</v>
      </c>
      <c r="F36" s="20" t="n">
        <v>1.38523176</v>
      </c>
      <c r="G36" s="18" t="n">
        <v>13.80594485</v>
      </c>
      <c r="H36" s="20" t="n">
        <v>1.32402579</v>
      </c>
      <c r="I36" s="18" t="s">
        <v>105</v>
      </c>
      <c r="J36" s="20" t="s">
        <v>105</v>
      </c>
      <c r="K36" s="18" t="n">
        <v>0.93748171</v>
      </c>
      <c r="L36" s="20" t="n">
        <v>0.36603336</v>
      </c>
      <c r="M36" s="18" t="n">
        <v>0</v>
      </c>
      <c r="N36" s="20" t="n">
        <v>0</v>
      </c>
      <c r="O36" s="18" t="n">
        <v>0</v>
      </c>
      <c r="P36" s="20" t="n">
        <v>0</v>
      </c>
      <c r="Q36" s="18" t="n">
        <v>3.519678</v>
      </c>
      <c r="R36" s="20" t="n">
        <v>0.60460951</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2854</v>
      </c>
      <c r="C41" s="18">
        <f>(2144.0/B41*100)</f>
        <v/>
      </c>
      <c r="D41" s="19" t="n">
        <v>710</v>
      </c>
      <c r="E41" s="18" t="n">
        <v>84.89421153000001</v>
      </c>
      <c r="F41" s="20" t="n">
        <v>1.49260824</v>
      </c>
      <c r="G41" s="18" t="n">
        <v>13.47895422</v>
      </c>
      <c r="H41" s="20" t="n">
        <v>1.46370427</v>
      </c>
      <c r="I41" s="18" t="s">
        <v>105</v>
      </c>
      <c r="J41" s="20" t="s">
        <v>105</v>
      </c>
      <c r="K41" s="18" t="n">
        <v>0.45505125</v>
      </c>
      <c r="L41" s="20" t="n">
        <v>0.22919202</v>
      </c>
      <c r="M41" s="18" t="n">
        <v>0</v>
      </c>
      <c r="N41" s="20" t="n">
        <v>0</v>
      </c>
      <c r="O41" s="18" t="n">
        <v>0</v>
      </c>
      <c r="P41" s="20" t="n">
        <v>0</v>
      </c>
      <c r="Q41" s="18" t="n">
        <v>1.171783</v>
      </c>
      <c r="R41" s="20" t="n">
        <v>0.38454103</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12073</v>
      </c>
      <c r="C46" s="18">
        <f>(9956.0/B46*100)</f>
        <v/>
      </c>
      <c r="D46" s="19" t="n">
        <v>2117</v>
      </c>
      <c r="E46" s="18" t="n">
        <v>78.08412724999999</v>
      </c>
      <c r="F46" s="20" t="n">
        <v>1.37743394</v>
      </c>
      <c r="G46" s="18" t="n">
        <v>8.64408794</v>
      </c>
      <c r="H46" s="20" t="n">
        <v>0.725223</v>
      </c>
      <c r="I46" s="18" t="s">
        <v>105</v>
      </c>
      <c r="J46" s="20" t="s">
        <v>105</v>
      </c>
      <c r="K46" s="18" t="n">
        <v>8.59932515</v>
      </c>
      <c r="L46" s="20" t="n">
        <v>1.02198909</v>
      </c>
      <c r="M46" s="18" t="n">
        <v>0</v>
      </c>
      <c r="N46" s="20" t="n">
        <v>0</v>
      </c>
      <c r="O46" s="18" t="n">
        <v>0</v>
      </c>
      <c r="P46" s="20" t="n">
        <v>0</v>
      </c>
      <c r="Q46" s="18" t="n">
        <v>4.67245965</v>
      </c>
      <c r="R46" s="20" t="n">
        <v>0.63196187</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4682</v>
      </c>
      <c r="C48" s="18">
        <f>(3498.0/B48*100)</f>
        <v/>
      </c>
      <c r="D48" s="19" t="n">
        <v>1184</v>
      </c>
      <c r="E48" s="18" t="n">
        <v>55.97634504</v>
      </c>
      <c r="F48" s="20" t="n">
        <v>2.23979875</v>
      </c>
      <c r="G48" s="18" t="n">
        <v>43.24285237</v>
      </c>
      <c r="H48" s="20" t="n">
        <v>2.16687706</v>
      </c>
      <c r="I48" s="18" t="s">
        <v>105</v>
      </c>
      <c r="J48" s="20" t="s">
        <v>105</v>
      </c>
      <c r="K48" s="18" t="n">
        <v>0.7143945900000001</v>
      </c>
      <c r="L48" s="20" t="n">
        <v>0.45912045</v>
      </c>
      <c r="M48" s="18" t="n">
        <v>0</v>
      </c>
      <c r="N48" s="20" t="n">
        <v>0</v>
      </c>
      <c r="O48" s="18" t="n">
        <v>0</v>
      </c>
      <c r="P48" s="20" t="n">
        <v>0</v>
      </c>
      <c r="Q48" s="18" t="n">
        <v>0.06640799999999999</v>
      </c>
      <c r="R48" s="20" t="n">
        <v>0.06528049</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3201</v>
      </c>
      <c r="C61" s="18">
        <f>(2363.0/B61*100)</f>
        <v/>
      </c>
      <c r="D61" s="19" t="n">
        <v>838</v>
      </c>
      <c r="E61" s="18" t="n">
        <v>80.14649034</v>
      </c>
      <c r="F61" s="20" t="n">
        <v>1.31799676</v>
      </c>
      <c r="G61" s="18" t="n">
        <v>16.618334</v>
      </c>
      <c r="H61" s="20" t="n">
        <v>1.40123388</v>
      </c>
      <c r="I61" s="18" t="s">
        <v>105</v>
      </c>
      <c r="J61" s="20" t="s">
        <v>105</v>
      </c>
      <c r="K61" s="18" t="n">
        <v>0.71458043</v>
      </c>
      <c r="L61" s="20" t="n">
        <v>0.33610323</v>
      </c>
      <c r="M61" s="18" t="n">
        <v>0</v>
      </c>
      <c r="N61" s="20" t="n">
        <v>0</v>
      </c>
      <c r="O61" s="18" t="n">
        <v>0</v>
      </c>
      <c r="P61" s="20" t="n">
        <v>0</v>
      </c>
      <c r="Q61" s="18" t="n">
        <v>2.52059523</v>
      </c>
      <c r="R61" s="20" t="n">
        <v>0.5900458200000001</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3460</v>
      </c>
      <c r="C67" s="18">
        <f>(2713.0/B67*100)</f>
        <v/>
      </c>
      <c r="D67" s="19" t="n">
        <v>747</v>
      </c>
      <c r="E67" s="18" t="n">
        <v>84.79599629000001</v>
      </c>
      <c r="F67" s="20" t="n">
        <v>1.46965073</v>
      </c>
      <c r="G67" s="18" t="n">
        <v>12.59251555</v>
      </c>
      <c r="H67" s="20" t="n">
        <v>1.36101416</v>
      </c>
      <c r="I67" s="18" t="s">
        <v>105</v>
      </c>
      <c r="J67" s="20" t="s">
        <v>105</v>
      </c>
      <c r="K67" s="18" t="n">
        <v>0.25059831</v>
      </c>
      <c r="L67" s="20" t="n">
        <v>0.17896949</v>
      </c>
      <c r="M67" s="18" t="n">
        <v>0</v>
      </c>
      <c r="N67" s="20" t="n">
        <v>0</v>
      </c>
      <c r="O67" s="18" t="n">
        <v>0</v>
      </c>
      <c r="P67" s="20" t="n">
        <v>0</v>
      </c>
      <c r="Q67" s="18" t="n">
        <v>2.36088985</v>
      </c>
      <c r="R67" s="20" t="n">
        <v>0.63763044</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3107</v>
      </c>
      <c r="C70" s="18">
        <f>(2375.0/B70*100)</f>
        <v/>
      </c>
      <c r="D70" s="19" t="n">
        <v>732</v>
      </c>
      <c r="E70" s="18" t="n">
        <v>74.11081741</v>
      </c>
      <c r="F70" s="20" t="n">
        <v>1.60265697</v>
      </c>
      <c r="G70" s="18" t="n">
        <v>22.48348229</v>
      </c>
      <c r="H70" s="20" t="n">
        <v>1.49713816</v>
      </c>
      <c r="I70" s="18" t="s">
        <v>105</v>
      </c>
      <c r="J70" s="20" t="s">
        <v>105</v>
      </c>
      <c r="K70" s="18" t="n">
        <v>1.42678213</v>
      </c>
      <c r="L70" s="20" t="n">
        <v>0.40881549</v>
      </c>
      <c r="M70" s="18" t="n">
        <v>0</v>
      </c>
      <c r="N70" s="20" t="n">
        <v>0</v>
      </c>
      <c r="O70" s="18" t="n">
        <v>0</v>
      </c>
      <c r="P70" s="20" t="n">
        <v>0</v>
      </c>
      <c r="Q70" s="18" t="n">
        <v>1.97891817</v>
      </c>
      <c r="R70" s="20" t="n">
        <v>0.5879438299999999</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43.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248</v>
      </c>
    </row>
    <row customHeight="1" ht="30" r="4" spans="1:18">
      <c r="A4" s="6" t="n"/>
      <c r="B4" s="7" t="s">
        <v>89</v>
      </c>
      <c r="C4" s="7" t="s">
        <v>90</v>
      </c>
      <c r="D4" s="8" t="s">
        <v>89</v>
      </c>
      <c r="E4" s="9" t="s">
        <v>199</v>
      </c>
      <c r="F4" s="10" t="n"/>
      <c r="G4" s="9" t="s">
        <v>200</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7163</v>
      </c>
      <c r="C7" s="18">
        <f>(685.0/B7*100)</f>
        <v/>
      </c>
      <c r="D7" s="19" t="n">
        <v>6478</v>
      </c>
      <c r="E7" s="18" t="n">
        <v>88.27287874</v>
      </c>
      <c r="F7" s="20" t="n">
        <v>0.45161605</v>
      </c>
      <c r="G7" s="18" t="n">
        <v>4.60801824</v>
      </c>
      <c r="H7" s="20" t="n">
        <v>0.34219887</v>
      </c>
      <c r="I7" s="18" t="s">
        <v>105</v>
      </c>
      <c r="J7" s="20" t="s">
        <v>105</v>
      </c>
      <c r="K7" s="18" t="n">
        <v>4.39052086</v>
      </c>
      <c r="L7" s="20" t="n">
        <v>0.31497436</v>
      </c>
      <c r="M7" s="18" t="n">
        <v>0.00657731</v>
      </c>
      <c r="N7" s="20" t="n">
        <v>0.00321415</v>
      </c>
      <c r="O7" s="18" t="n">
        <v>0</v>
      </c>
      <c r="P7" s="20" t="n">
        <v>0</v>
      </c>
      <c r="Q7" s="18" t="n">
        <v>2.72200485</v>
      </c>
      <c r="R7" s="20" t="n">
        <v>0.25950133</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2795</v>
      </c>
      <c r="C9" s="18">
        <f>(2174.0/B9*100)</f>
        <v/>
      </c>
      <c r="D9" s="19" t="n">
        <v>621</v>
      </c>
      <c r="E9" s="18" t="n">
        <v>89.05044527</v>
      </c>
      <c r="F9" s="20" t="n">
        <v>1.28363169</v>
      </c>
      <c r="G9" s="18" t="n">
        <v>5.99847097</v>
      </c>
      <c r="H9" s="20" t="n">
        <v>1.01720793</v>
      </c>
      <c r="I9" s="18" t="s">
        <v>105</v>
      </c>
      <c r="J9" s="20" t="s">
        <v>105</v>
      </c>
      <c r="K9" s="18" t="n">
        <v>2.63015998</v>
      </c>
      <c r="L9" s="20" t="n">
        <v>0.69839036</v>
      </c>
      <c r="M9" s="18" t="n">
        <v>0.827772</v>
      </c>
      <c r="N9" s="20" t="n">
        <v>0.31897221</v>
      </c>
      <c r="O9" s="18" t="n">
        <v>0</v>
      </c>
      <c r="P9" s="20" t="n">
        <v>0</v>
      </c>
      <c r="Q9" s="18" t="n">
        <v>1.49315178</v>
      </c>
      <c r="R9" s="20" t="n">
        <v>0.51269342</v>
      </c>
    </row>
    <row r="10" spans="1:18">
      <c r="A10" s="15" t="s">
        <v>109</v>
      </c>
      <c r="B10" s="17" t="n">
        <v>6602</v>
      </c>
      <c r="C10" s="18">
        <f>(5029.0/B10*100)</f>
        <v/>
      </c>
      <c r="D10" s="19" t="n">
        <v>1573</v>
      </c>
      <c r="E10" s="18" t="n">
        <v>93.27239998</v>
      </c>
      <c r="F10" s="20" t="n">
        <v>0.91660654</v>
      </c>
      <c r="G10" s="18" t="n">
        <v>3.76517426</v>
      </c>
      <c r="H10" s="20" t="n">
        <v>0.7566032499999999</v>
      </c>
      <c r="I10" s="18" t="s">
        <v>105</v>
      </c>
      <c r="J10" s="20" t="s">
        <v>105</v>
      </c>
      <c r="K10" s="18" t="n">
        <v>0.81321906</v>
      </c>
      <c r="L10" s="20" t="n">
        <v>0.27047526</v>
      </c>
      <c r="M10" s="18" t="n">
        <v>0.22180952</v>
      </c>
      <c r="N10" s="20" t="n">
        <v>0.18815069</v>
      </c>
      <c r="O10" s="18" t="n">
        <v>0</v>
      </c>
      <c r="P10" s="20" t="n">
        <v>0</v>
      </c>
      <c r="Q10" s="18" t="n">
        <v>1.92739719</v>
      </c>
      <c r="R10" s="20" t="n">
        <v>0.45539554</v>
      </c>
    </row>
    <row r="11" spans="1:18">
      <c r="A11" s="15" t="s">
        <v>110</v>
      </c>
      <c r="B11" s="17" t="n">
        <v>3500</v>
      </c>
      <c r="C11" s="18">
        <f>(2637.0/B11*100)</f>
        <v/>
      </c>
      <c r="D11" s="19" t="n">
        <v>863</v>
      </c>
      <c r="E11" s="18" t="n">
        <v>87.53259091</v>
      </c>
      <c r="F11" s="20" t="n">
        <v>1.17269444</v>
      </c>
      <c r="G11" s="18" t="n">
        <v>0.5025950300000001</v>
      </c>
      <c r="H11" s="20" t="n">
        <v>0.2205372</v>
      </c>
      <c r="I11" s="18" t="s">
        <v>105</v>
      </c>
      <c r="J11" s="20" t="s">
        <v>105</v>
      </c>
      <c r="K11" s="18" t="n">
        <v>6.24251591</v>
      </c>
      <c r="L11" s="20" t="n">
        <v>0.9212711</v>
      </c>
      <c r="M11" s="18" t="n">
        <v>0.05067118</v>
      </c>
      <c r="N11" s="20" t="n">
        <v>0.05559379</v>
      </c>
      <c r="O11" s="18" t="n">
        <v>0</v>
      </c>
      <c r="P11" s="20" t="n">
        <v>0</v>
      </c>
      <c r="Q11" s="18" t="n">
        <v>5.67162697</v>
      </c>
      <c r="R11" s="20" t="n">
        <v>0.82980525</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5792</v>
      </c>
      <c r="C23" s="18">
        <f>(4497.0/B23*100)</f>
        <v/>
      </c>
      <c r="D23" s="19" t="n">
        <v>1295</v>
      </c>
      <c r="E23" s="18" t="n">
        <v>90.69267943</v>
      </c>
      <c r="F23" s="20" t="n">
        <v>1.08206615</v>
      </c>
      <c r="G23" s="18" t="n">
        <v>1.1694927</v>
      </c>
      <c r="H23" s="20" t="n">
        <v>0.34681135</v>
      </c>
      <c r="I23" s="18" t="s">
        <v>105</v>
      </c>
      <c r="J23" s="20" t="s">
        <v>105</v>
      </c>
      <c r="K23" s="18" t="n">
        <v>5.95599783</v>
      </c>
      <c r="L23" s="20" t="n">
        <v>0.85218603</v>
      </c>
      <c r="M23" s="18" t="n">
        <v>0</v>
      </c>
      <c r="N23" s="20" t="n">
        <v>0</v>
      </c>
      <c r="O23" s="18" t="n">
        <v>0</v>
      </c>
      <c r="P23" s="20" t="n">
        <v>0</v>
      </c>
      <c r="Q23" s="18" t="n">
        <v>2.18183004</v>
      </c>
      <c r="R23" s="20" t="n">
        <v>0.51486573</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2700</v>
      </c>
      <c r="C29" s="18">
        <f>(2020.0/B29*100)</f>
        <v/>
      </c>
      <c r="D29" s="19" t="n">
        <v>680</v>
      </c>
      <c r="E29" s="18" t="n">
        <v>90.3353571</v>
      </c>
      <c r="F29" s="20" t="n">
        <v>1.0920875</v>
      </c>
      <c r="G29" s="18" t="n">
        <v>8.16389493</v>
      </c>
      <c r="H29" s="20" t="n">
        <v>1.03303607</v>
      </c>
      <c r="I29" s="18" t="s">
        <v>105</v>
      </c>
      <c r="J29" s="20" t="s">
        <v>105</v>
      </c>
      <c r="K29" s="18" t="n">
        <v>0.64481686</v>
      </c>
      <c r="L29" s="20" t="n">
        <v>0.2989586</v>
      </c>
      <c r="M29" s="18" t="n">
        <v>0</v>
      </c>
      <c r="N29" s="20" t="n">
        <v>0</v>
      </c>
      <c r="O29" s="18" t="n">
        <v>0</v>
      </c>
      <c r="P29" s="20" t="n">
        <v>0</v>
      </c>
      <c r="Q29" s="18" t="n">
        <v>0.8559310999999999</v>
      </c>
      <c r="R29" s="20" t="n">
        <v>0.36606698</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2209</v>
      </c>
      <c r="C32" s="18">
        <f>(1356.0/B32*100)</f>
        <v/>
      </c>
      <c r="D32" s="19" t="n">
        <v>853</v>
      </c>
      <c r="E32" s="18" t="n">
        <v>95.01947104</v>
      </c>
      <c r="F32" s="20" t="n">
        <v>1.00522426</v>
      </c>
      <c r="G32" s="18" t="n">
        <v>1.27665862</v>
      </c>
      <c r="H32" s="20" t="n">
        <v>0.39713298</v>
      </c>
      <c r="I32" s="18" t="s">
        <v>105</v>
      </c>
      <c r="J32" s="20" t="s">
        <v>105</v>
      </c>
      <c r="K32" s="18" t="n">
        <v>1.49639198</v>
      </c>
      <c r="L32" s="20" t="n">
        <v>0.42624888</v>
      </c>
      <c r="M32" s="18" t="n">
        <v>0.49697506</v>
      </c>
      <c r="N32" s="20" t="n">
        <v>0.52915958</v>
      </c>
      <c r="O32" s="18" t="n">
        <v>0</v>
      </c>
      <c r="P32" s="20" t="n">
        <v>0</v>
      </c>
      <c r="Q32" s="18" t="n">
        <v>1.7105033</v>
      </c>
      <c r="R32" s="20" t="n">
        <v>0.4843454</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3035</v>
      </c>
      <c r="C34" s="18">
        <f>(2331.0/B34*100)</f>
        <v/>
      </c>
      <c r="D34" s="19" t="n">
        <v>704</v>
      </c>
      <c r="E34" s="18" t="n">
        <v>93.64092384</v>
      </c>
      <c r="F34" s="20" t="n">
        <v>0.9539019399999999</v>
      </c>
      <c r="G34" s="18" t="n">
        <v>1.78557982</v>
      </c>
      <c r="H34" s="20" t="n">
        <v>0.4943241</v>
      </c>
      <c r="I34" s="18" t="s">
        <v>105</v>
      </c>
      <c r="J34" s="20" t="s">
        <v>105</v>
      </c>
      <c r="K34" s="18" t="n">
        <v>3.66830433</v>
      </c>
      <c r="L34" s="20" t="n">
        <v>0.73864392</v>
      </c>
      <c r="M34" s="18" t="n">
        <v>0</v>
      </c>
      <c r="N34" s="20" t="n">
        <v>0</v>
      </c>
      <c r="O34" s="18" t="n">
        <v>0</v>
      </c>
      <c r="P34" s="20" t="n">
        <v>0</v>
      </c>
      <c r="Q34" s="18" t="n">
        <v>0.90519202</v>
      </c>
      <c r="R34" s="20" t="n">
        <v>0.39602232</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3404</v>
      </c>
      <c r="C36" s="18">
        <f>(2557.0/B36*100)</f>
        <v/>
      </c>
      <c r="D36" s="19" t="n">
        <v>847</v>
      </c>
      <c r="E36" s="18" t="n">
        <v>90.70765685000001</v>
      </c>
      <c r="F36" s="20" t="n">
        <v>0.88328641</v>
      </c>
      <c r="G36" s="18" t="n">
        <v>3.59583035</v>
      </c>
      <c r="H36" s="20" t="n">
        <v>0.63109866</v>
      </c>
      <c r="I36" s="18" t="s">
        <v>105</v>
      </c>
      <c r="J36" s="20" t="s">
        <v>105</v>
      </c>
      <c r="K36" s="18" t="n">
        <v>2.13165001</v>
      </c>
      <c r="L36" s="20" t="n">
        <v>0.48520909</v>
      </c>
      <c r="M36" s="18" t="n">
        <v>0</v>
      </c>
      <c r="N36" s="20" t="n">
        <v>0</v>
      </c>
      <c r="O36" s="18" t="n">
        <v>0</v>
      </c>
      <c r="P36" s="20" t="n">
        <v>0</v>
      </c>
      <c r="Q36" s="18" t="n">
        <v>3.56486278</v>
      </c>
      <c r="R36" s="20" t="n">
        <v>0.70610805</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2854</v>
      </c>
      <c r="C41" s="18">
        <f>(2147.0/B41*100)</f>
        <v/>
      </c>
      <c r="D41" s="19" t="n">
        <v>707</v>
      </c>
      <c r="E41" s="18" t="n">
        <v>95.08068092000001</v>
      </c>
      <c r="F41" s="20" t="n">
        <v>0.96987198</v>
      </c>
      <c r="G41" s="18" t="n">
        <v>2.83327575</v>
      </c>
      <c r="H41" s="20" t="n">
        <v>0.79740977</v>
      </c>
      <c r="I41" s="18" t="s">
        <v>105</v>
      </c>
      <c r="J41" s="20" t="s">
        <v>105</v>
      </c>
      <c r="K41" s="18" t="n">
        <v>0.79772016</v>
      </c>
      <c r="L41" s="20" t="n">
        <v>0.34734882</v>
      </c>
      <c r="M41" s="18" t="n">
        <v>0</v>
      </c>
      <c r="N41" s="20" t="n">
        <v>0</v>
      </c>
      <c r="O41" s="18" t="n">
        <v>0</v>
      </c>
      <c r="P41" s="20" t="n">
        <v>0</v>
      </c>
      <c r="Q41" s="18" t="n">
        <v>1.28832317</v>
      </c>
      <c r="R41" s="20" t="n">
        <v>0.43247019</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12073</v>
      </c>
      <c r="C46" s="18">
        <f>(10012.0/B46*100)</f>
        <v/>
      </c>
      <c r="D46" s="19" t="n">
        <v>2061</v>
      </c>
      <c r="E46" s="18" t="n">
        <v>81.30192359999999</v>
      </c>
      <c r="F46" s="20" t="n">
        <v>1.30906478</v>
      </c>
      <c r="G46" s="18" t="n">
        <v>0.17683444</v>
      </c>
      <c r="H46" s="20" t="n">
        <v>0.09817468</v>
      </c>
      <c r="I46" s="18" t="s">
        <v>105</v>
      </c>
      <c r="J46" s="20" t="s">
        <v>105</v>
      </c>
      <c r="K46" s="18" t="n">
        <v>14.03614848</v>
      </c>
      <c r="L46" s="20" t="n">
        <v>1.2760308</v>
      </c>
      <c r="M46" s="18" t="n">
        <v>0</v>
      </c>
      <c r="N46" s="20" t="n">
        <v>0</v>
      </c>
      <c r="O46" s="18" t="n">
        <v>0</v>
      </c>
      <c r="P46" s="20" t="n">
        <v>0</v>
      </c>
      <c r="Q46" s="18" t="n">
        <v>4.48509348</v>
      </c>
      <c r="R46" s="20" t="n">
        <v>0.62314228</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4682</v>
      </c>
      <c r="C48" s="18">
        <f>(3498.0/B48*100)</f>
        <v/>
      </c>
      <c r="D48" s="19" t="n">
        <v>1184</v>
      </c>
      <c r="E48" s="18" t="n">
        <v>78.82524429</v>
      </c>
      <c r="F48" s="20" t="n">
        <v>2.38359034</v>
      </c>
      <c r="G48" s="18" t="n">
        <v>19.75975656</v>
      </c>
      <c r="H48" s="20" t="n">
        <v>2.44713429</v>
      </c>
      <c r="I48" s="18" t="s">
        <v>105</v>
      </c>
      <c r="J48" s="20" t="s">
        <v>105</v>
      </c>
      <c r="K48" s="18" t="n">
        <v>0.83594925</v>
      </c>
      <c r="L48" s="20" t="n">
        <v>0.47378072</v>
      </c>
      <c r="M48" s="18" t="n">
        <v>0</v>
      </c>
      <c r="N48" s="20" t="n">
        <v>0</v>
      </c>
      <c r="O48" s="18" t="n">
        <v>0</v>
      </c>
      <c r="P48" s="20" t="n">
        <v>0</v>
      </c>
      <c r="Q48" s="18" t="n">
        <v>0.5790499</v>
      </c>
      <c r="R48" s="20" t="n">
        <v>0.27616024</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3201</v>
      </c>
      <c r="C61" s="18">
        <f>(2364.0/B61*100)</f>
        <v/>
      </c>
      <c r="D61" s="19" t="n">
        <v>837</v>
      </c>
      <c r="E61" s="18" t="n">
        <v>92.93738630999999</v>
      </c>
      <c r="F61" s="20" t="n">
        <v>0.90555721</v>
      </c>
      <c r="G61" s="18" t="n">
        <v>1.55478464</v>
      </c>
      <c r="H61" s="20" t="n">
        <v>0.46242474</v>
      </c>
      <c r="I61" s="18" t="s">
        <v>105</v>
      </c>
      <c r="J61" s="20" t="s">
        <v>105</v>
      </c>
      <c r="K61" s="18" t="n">
        <v>3.79107273</v>
      </c>
      <c r="L61" s="20" t="n">
        <v>0.66556645</v>
      </c>
      <c r="M61" s="18" t="n">
        <v>0</v>
      </c>
      <c r="N61" s="20" t="n">
        <v>0</v>
      </c>
      <c r="O61" s="18" t="n">
        <v>0</v>
      </c>
      <c r="P61" s="20" t="n">
        <v>0</v>
      </c>
      <c r="Q61" s="18" t="n">
        <v>1.71675632</v>
      </c>
      <c r="R61" s="20" t="n">
        <v>0.43964781</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3460</v>
      </c>
      <c r="C67" s="18">
        <f>(2735.0/B67*100)</f>
        <v/>
      </c>
      <c r="D67" s="19" t="n">
        <v>725</v>
      </c>
      <c r="E67" s="18" t="n">
        <v>96.07937583</v>
      </c>
      <c r="F67" s="20" t="n">
        <v>0.80152027</v>
      </c>
      <c r="G67" s="18" t="n">
        <v>0.25365771</v>
      </c>
      <c r="H67" s="20" t="n">
        <v>0.17877026</v>
      </c>
      <c r="I67" s="18" t="s">
        <v>105</v>
      </c>
      <c r="J67" s="20" t="s">
        <v>105</v>
      </c>
      <c r="K67" s="18" t="n">
        <v>1.09913713</v>
      </c>
      <c r="L67" s="20" t="n">
        <v>0.42805496</v>
      </c>
      <c r="M67" s="18" t="n">
        <v>0</v>
      </c>
      <c r="N67" s="20" t="n">
        <v>0</v>
      </c>
      <c r="O67" s="18" t="n">
        <v>0</v>
      </c>
      <c r="P67" s="20" t="n">
        <v>0</v>
      </c>
      <c r="Q67" s="18" t="n">
        <v>2.56782933</v>
      </c>
      <c r="R67" s="20" t="n">
        <v>0.62576877</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3107</v>
      </c>
      <c r="C70" s="18">
        <f>(2379.0/B70*100)</f>
        <v/>
      </c>
      <c r="D70" s="19" t="n">
        <v>728</v>
      </c>
      <c r="E70" s="18" t="n">
        <v>94.92988275</v>
      </c>
      <c r="F70" s="20" t="n">
        <v>0.75443817</v>
      </c>
      <c r="G70" s="18" t="n">
        <v>1.65487507</v>
      </c>
      <c r="H70" s="20" t="n">
        <v>0.45582412</v>
      </c>
      <c r="I70" s="18" t="s">
        <v>105</v>
      </c>
      <c r="J70" s="20" t="s">
        <v>105</v>
      </c>
      <c r="K70" s="18" t="n">
        <v>2.30748979</v>
      </c>
      <c r="L70" s="20" t="n">
        <v>0.48595749</v>
      </c>
      <c r="M70" s="18" t="n">
        <v>0</v>
      </c>
      <c r="N70" s="20" t="n">
        <v>0</v>
      </c>
      <c r="O70" s="18" t="n">
        <v>0</v>
      </c>
      <c r="P70" s="20" t="n">
        <v>0</v>
      </c>
      <c r="Q70" s="18" t="n">
        <v>1.1077524</v>
      </c>
      <c r="R70" s="20" t="n">
        <v>0.37684434</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44.xml><?xml version="1.0" encoding="utf-8"?>
<worksheet xmlns="http://schemas.openxmlformats.org/spreadsheetml/2006/main">
  <sheetPr>
    <outlinePr summaryBelow="1" summaryRight="1"/>
    <pageSetUpPr/>
  </sheetPr>
  <dimension ref="A1:T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0">
      <c r="A1" s="4" t="s">
        <v>87</v>
      </c>
    </row>
    <row r="2" spans="1:20">
      <c r="A2" s="5" t="s">
        <v>249</v>
      </c>
    </row>
    <row customHeight="1" ht="30" r="4" spans="1:20">
      <c r="A4" s="6" t="n"/>
      <c r="B4" s="7" t="s">
        <v>89</v>
      </c>
      <c r="C4" s="7" t="s">
        <v>90</v>
      </c>
      <c r="D4" s="8" t="s">
        <v>89</v>
      </c>
      <c r="E4" s="9" t="s">
        <v>199</v>
      </c>
      <c r="F4" s="10" t="n"/>
      <c r="G4" s="9" t="s">
        <v>207</v>
      </c>
      <c r="H4" s="10" t="n"/>
      <c r="I4" s="9" t="s">
        <v>208</v>
      </c>
      <c r="J4" s="10" t="n"/>
      <c r="K4" s="9" t="s">
        <v>93</v>
      </c>
      <c r="L4" s="10" t="n"/>
      <c r="M4" s="9" t="s">
        <v>94</v>
      </c>
      <c r="N4" s="10" t="n"/>
      <c r="O4" s="9" t="s">
        <v>95</v>
      </c>
      <c r="P4" s="10" t="n"/>
      <c r="Q4" s="9" t="s">
        <v>96</v>
      </c>
      <c r="R4" s="10" t="n"/>
      <c r="S4" s="9" t="s">
        <v>97</v>
      </c>
      <c r="T4" s="10" t="n"/>
    </row>
    <row r="5" spans="1:20">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c r="S5" s="12" t="s">
        <v>101</v>
      </c>
      <c r="T5" s="11" t="s">
        <v>102</v>
      </c>
    </row>
    <row r="6" spans="1:20">
      <c r="A6" s="13" t="s">
        <v>103</v>
      </c>
      <c r="B6" s="14" t="n"/>
      <c r="C6" s="14" t="n"/>
      <c r="D6" s="15" t="n"/>
      <c r="E6" s="14" t="n"/>
      <c r="F6" s="15" t="n"/>
      <c r="G6" s="14" t="n"/>
      <c r="H6" s="15" t="n"/>
      <c r="I6" s="14" t="n"/>
      <c r="J6" s="15" t="n"/>
      <c r="K6" s="14" t="n"/>
      <c r="L6" s="15" t="n"/>
      <c r="M6" s="14" t="n"/>
      <c r="N6" s="15" t="n"/>
      <c r="O6" s="14" t="n"/>
      <c r="P6" s="15" t="n"/>
      <c r="Q6" s="14" t="n"/>
      <c r="R6" s="15" t="n"/>
      <c r="S6" s="14" t="n"/>
      <c r="T6" s="16" t="n"/>
    </row>
    <row r="7" spans="1:20">
      <c r="A7" s="15" t="s">
        <v>104</v>
      </c>
      <c r="B7" s="17" t="n">
        <v>7163</v>
      </c>
      <c r="C7" s="18">
        <f>(755.0/B7*100)</f>
        <v/>
      </c>
      <c r="D7" s="19" t="n">
        <v>6408</v>
      </c>
      <c r="E7" s="18" t="n">
        <v>35.40960628</v>
      </c>
      <c r="F7" s="20" t="n">
        <v>0.6953929</v>
      </c>
      <c r="G7" s="18" t="n">
        <v>5.71159626</v>
      </c>
      <c r="H7" s="20" t="n">
        <v>0.40431451</v>
      </c>
      <c r="I7" s="18" t="n">
        <v>45.80687138</v>
      </c>
      <c r="J7" s="20" t="n">
        <v>0.77253814</v>
      </c>
      <c r="K7" s="18" t="s">
        <v>105</v>
      </c>
      <c r="L7" s="20" t="s">
        <v>105</v>
      </c>
      <c r="M7" s="18" t="n">
        <v>13.06528469</v>
      </c>
      <c r="N7" s="20" t="n">
        <v>0.54650997</v>
      </c>
      <c r="O7" s="18" t="n">
        <v>0.0066414</v>
      </c>
      <c r="P7" s="20" t="n">
        <v>0.00324348</v>
      </c>
      <c r="Q7" s="18" t="n">
        <v>0</v>
      </c>
      <c r="R7" s="20" t="n">
        <v>0</v>
      </c>
      <c r="S7" s="18" t="n">
        <v>0</v>
      </c>
      <c r="T7" s="20" t="n">
        <v>0</v>
      </c>
    </row>
    <row r="8" spans="1:20">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c r="S8" s="21" t="s">
        <v>107</v>
      </c>
      <c r="T8" s="22" t="s">
        <v>107</v>
      </c>
    </row>
    <row r="9" spans="1:20">
      <c r="A9" s="15" t="s">
        <v>108</v>
      </c>
      <c r="B9" s="17" t="n">
        <v>2795</v>
      </c>
      <c r="C9" s="18">
        <f>(2182.0/B9*100)</f>
        <v/>
      </c>
      <c r="D9" s="19" t="n">
        <v>613</v>
      </c>
      <c r="E9" s="18" t="n">
        <v>54.12931991</v>
      </c>
      <c r="F9" s="20" t="n">
        <v>2.02437318</v>
      </c>
      <c r="G9" s="18" t="n">
        <v>3.58571834</v>
      </c>
      <c r="H9" s="20" t="n">
        <v>0.68981835</v>
      </c>
      <c r="I9" s="18" t="n">
        <v>31.76111412</v>
      </c>
      <c r="J9" s="20" t="n">
        <v>1.87605763</v>
      </c>
      <c r="K9" s="18" t="s">
        <v>105</v>
      </c>
      <c r="L9" s="20" t="s">
        <v>105</v>
      </c>
      <c r="M9" s="18" t="n">
        <v>9.685570500000001</v>
      </c>
      <c r="N9" s="20" t="n">
        <v>1.23008649</v>
      </c>
      <c r="O9" s="18" t="n">
        <v>0.83827711</v>
      </c>
      <c r="P9" s="20" t="n">
        <v>0.32292909</v>
      </c>
      <c r="Q9" s="18" t="n">
        <v>0</v>
      </c>
      <c r="R9" s="20" t="n">
        <v>0</v>
      </c>
      <c r="S9" s="18" t="n">
        <v>0</v>
      </c>
      <c r="T9" s="20" t="n">
        <v>0</v>
      </c>
    </row>
    <row r="10" spans="1:20">
      <c r="A10" s="15" t="s">
        <v>109</v>
      </c>
      <c r="B10" s="17" t="n">
        <v>6602</v>
      </c>
      <c r="C10" s="18">
        <f>(5033.0/B10*100)</f>
        <v/>
      </c>
      <c r="D10" s="19" t="n">
        <v>1569</v>
      </c>
      <c r="E10" s="18" t="n">
        <v>37.10705779</v>
      </c>
      <c r="F10" s="20" t="n">
        <v>2.06182841</v>
      </c>
      <c r="G10" s="18" t="n">
        <v>1.26661712</v>
      </c>
      <c r="H10" s="20" t="n">
        <v>0.30341848</v>
      </c>
      <c r="I10" s="18" t="n">
        <v>55.60076495</v>
      </c>
      <c r="J10" s="20" t="n">
        <v>2.05861743</v>
      </c>
      <c r="K10" s="18" t="s">
        <v>105</v>
      </c>
      <c r="L10" s="20" t="s">
        <v>105</v>
      </c>
      <c r="M10" s="18" t="n">
        <v>5.8029862</v>
      </c>
      <c r="N10" s="20" t="n">
        <v>1.01874048</v>
      </c>
      <c r="O10" s="18" t="n">
        <v>0.22257393</v>
      </c>
      <c r="P10" s="20" t="n">
        <v>0.18880859</v>
      </c>
      <c r="Q10" s="18" t="n">
        <v>0</v>
      </c>
      <c r="R10" s="20" t="n">
        <v>0</v>
      </c>
      <c r="S10" s="18" t="n">
        <v>0</v>
      </c>
      <c r="T10" s="20" t="n">
        <v>0</v>
      </c>
    </row>
    <row r="11" spans="1:20">
      <c r="A11" s="15" t="s">
        <v>110</v>
      </c>
      <c r="B11" s="17" t="n">
        <v>3500</v>
      </c>
      <c r="C11" s="18">
        <f>(2638.0/B11*100)</f>
        <v/>
      </c>
      <c r="D11" s="19" t="n">
        <v>862</v>
      </c>
      <c r="E11" s="18" t="n">
        <v>56.17877843</v>
      </c>
      <c r="F11" s="20" t="n">
        <v>1.97078062</v>
      </c>
      <c r="G11" s="18" t="n">
        <v>2.56659218</v>
      </c>
      <c r="H11" s="20" t="n">
        <v>0.5926665800000001</v>
      </c>
      <c r="I11" s="18" t="n">
        <v>21.32576152</v>
      </c>
      <c r="J11" s="20" t="n">
        <v>1.49242255</v>
      </c>
      <c r="K11" s="18" t="s">
        <v>105</v>
      </c>
      <c r="L11" s="20" t="s">
        <v>105</v>
      </c>
      <c r="M11" s="18" t="n">
        <v>19.87812823</v>
      </c>
      <c r="N11" s="20" t="n">
        <v>1.66736598</v>
      </c>
      <c r="O11" s="18" t="n">
        <v>0.05073964</v>
      </c>
      <c r="P11" s="20" t="n">
        <v>0.0556692</v>
      </c>
      <c r="Q11" s="18" t="n">
        <v>0</v>
      </c>
      <c r="R11" s="20" t="n">
        <v>0</v>
      </c>
      <c r="S11" s="18" t="n">
        <v>0</v>
      </c>
      <c r="T11" s="20" t="n">
        <v>0</v>
      </c>
    </row>
    <row r="12" spans="1:20">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c r="S12" s="21" t="s">
        <v>107</v>
      </c>
      <c r="T12" s="22" t="s">
        <v>107</v>
      </c>
    </row>
    <row r="13" spans="1:20">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c r="S13" s="21" t="s">
        <v>107</v>
      </c>
      <c r="T13" s="22" t="s">
        <v>107</v>
      </c>
    </row>
    <row r="14" spans="1:20">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c r="S14" s="21" t="s">
        <v>107</v>
      </c>
      <c r="T14" s="22" t="s">
        <v>107</v>
      </c>
    </row>
    <row r="15" spans="1:20">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c r="S15" s="21" t="s">
        <v>107</v>
      </c>
      <c r="T15" s="22" t="s">
        <v>107</v>
      </c>
    </row>
    <row r="16" spans="1:20">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c r="S16" s="21" t="s">
        <v>107</v>
      </c>
      <c r="T16" s="22" t="s">
        <v>107</v>
      </c>
    </row>
    <row r="17" spans="1:20">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c r="S17" s="21" t="s">
        <v>107</v>
      </c>
      <c r="T17" s="22" t="s">
        <v>107</v>
      </c>
    </row>
    <row r="18" spans="1:20">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c r="S18" s="21" t="s">
        <v>107</v>
      </c>
      <c r="T18" s="22" t="s">
        <v>107</v>
      </c>
    </row>
    <row r="19" spans="1:20">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c r="S19" s="21" t="s">
        <v>107</v>
      </c>
      <c r="T19" s="22" t="s">
        <v>107</v>
      </c>
    </row>
    <row r="20" spans="1:20">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c r="S20" s="21" t="s">
        <v>107</v>
      </c>
      <c r="T20" s="22" t="s">
        <v>107</v>
      </c>
    </row>
    <row r="21" spans="1:20">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c r="S21" s="21" t="s">
        <v>107</v>
      </c>
      <c r="T21" s="22" t="s">
        <v>107</v>
      </c>
    </row>
    <row r="22" spans="1:20">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c r="S22" s="21" t="s">
        <v>107</v>
      </c>
      <c r="T22" s="22" t="s">
        <v>107</v>
      </c>
    </row>
    <row r="23" spans="1:20">
      <c r="A23" s="15" t="s">
        <v>122</v>
      </c>
      <c r="B23" s="17" t="n">
        <v>5792</v>
      </c>
      <c r="C23" s="18">
        <f>(4506.0/B23*100)</f>
        <v/>
      </c>
      <c r="D23" s="19" t="n">
        <v>1286</v>
      </c>
      <c r="E23" s="18" t="n">
        <v>48.41909774</v>
      </c>
      <c r="F23" s="20" t="n">
        <v>1.79969075</v>
      </c>
      <c r="G23" s="18" t="n">
        <v>7.08149289</v>
      </c>
      <c r="H23" s="20" t="n">
        <v>0.96202998</v>
      </c>
      <c r="I23" s="18" t="n">
        <v>19.91287447</v>
      </c>
      <c r="J23" s="20" t="n">
        <v>1.98981183</v>
      </c>
      <c r="K23" s="18" t="s">
        <v>105</v>
      </c>
      <c r="L23" s="20" t="s">
        <v>105</v>
      </c>
      <c r="M23" s="18" t="n">
        <v>24.5865349</v>
      </c>
      <c r="N23" s="20" t="n">
        <v>1.97762838</v>
      </c>
      <c r="O23" s="18" t="n">
        <v>0</v>
      </c>
      <c r="P23" s="20" t="n">
        <v>0</v>
      </c>
      <c r="Q23" s="18" t="n">
        <v>0</v>
      </c>
      <c r="R23" s="20" t="n">
        <v>0</v>
      </c>
      <c r="S23" s="18" t="n">
        <v>0</v>
      </c>
      <c r="T23" s="20" t="n">
        <v>0</v>
      </c>
    </row>
    <row r="24" spans="1:20">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c r="S24" s="21" t="s">
        <v>107</v>
      </c>
      <c r="T24" s="22" t="s">
        <v>107</v>
      </c>
    </row>
    <row r="25" spans="1:20">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c r="S25" s="21" t="s">
        <v>107</v>
      </c>
      <c r="T25" s="22" t="s">
        <v>107</v>
      </c>
    </row>
    <row r="26" spans="1:20">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c r="S26" s="21" t="s">
        <v>107</v>
      </c>
      <c r="T26" s="22" t="s">
        <v>107</v>
      </c>
    </row>
    <row r="27" spans="1:20">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c r="S27" s="21" t="s">
        <v>107</v>
      </c>
      <c r="T27" s="22" t="s">
        <v>107</v>
      </c>
    </row>
    <row r="28" spans="1:20">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c r="S28" s="21" t="s">
        <v>107</v>
      </c>
      <c r="T28" s="22" t="s">
        <v>107</v>
      </c>
    </row>
    <row r="29" spans="1:20">
      <c r="A29" s="15" t="s">
        <v>128</v>
      </c>
      <c r="B29" s="17" t="n">
        <v>2700</v>
      </c>
      <c r="C29" s="18">
        <f>(2020.0/B29*100)</f>
        <v/>
      </c>
      <c r="D29" s="19" t="n">
        <v>680</v>
      </c>
      <c r="E29" s="18" t="n">
        <v>57.12524925</v>
      </c>
      <c r="F29" s="20" t="n">
        <v>1.97447656</v>
      </c>
      <c r="G29" s="18" t="n">
        <v>4.6004646</v>
      </c>
      <c r="H29" s="20" t="n">
        <v>0.84098286</v>
      </c>
      <c r="I29" s="18" t="n">
        <v>32.38393793</v>
      </c>
      <c r="J29" s="20" t="n">
        <v>1.64458438</v>
      </c>
      <c r="K29" s="18" t="s">
        <v>105</v>
      </c>
      <c r="L29" s="20" t="s">
        <v>105</v>
      </c>
      <c r="M29" s="18" t="n">
        <v>5.89034822</v>
      </c>
      <c r="N29" s="20" t="n">
        <v>0.83988372</v>
      </c>
      <c r="O29" s="18" t="n">
        <v>0</v>
      </c>
      <c r="P29" s="20" t="n">
        <v>0</v>
      </c>
      <c r="Q29" s="18" t="n">
        <v>0</v>
      </c>
      <c r="R29" s="20" t="n">
        <v>0</v>
      </c>
      <c r="S29" s="18" t="n">
        <v>0</v>
      </c>
      <c r="T29" s="20" t="n">
        <v>0</v>
      </c>
    </row>
    <row r="30" spans="1:20">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c r="S30" s="21" t="s">
        <v>107</v>
      </c>
      <c r="T30" s="22" t="s">
        <v>107</v>
      </c>
    </row>
    <row r="31" spans="1:20">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c r="S31" s="21" t="s">
        <v>107</v>
      </c>
      <c r="T31" s="22" t="s">
        <v>107</v>
      </c>
    </row>
    <row r="32" spans="1:20">
      <c r="A32" s="15" t="s">
        <v>131</v>
      </c>
      <c r="B32" s="17" t="n">
        <v>2209</v>
      </c>
      <c r="C32" s="18">
        <f>(1356.0/B32*100)</f>
        <v/>
      </c>
      <c r="D32" s="19" t="n">
        <v>853</v>
      </c>
      <c r="E32" s="18" t="n">
        <v>39.8727469</v>
      </c>
      <c r="F32" s="20" t="n">
        <v>2.01372667</v>
      </c>
      <c r="G32" s="18" t="n">
        <v>9.021486619999999</v>
      </c>
      <c r="H32" s="20" t="n">
        <v>0.99606311</v>
      </c>
      <c r="I32" s="18" t="n">
        <v>35.27094822</v>
      </c>
      <c r="J32" s="20" t="n">
        <v>1.84916414</v>
      </c>
      <c r="K32" s="18" t="s">
        <v>105</v>
      </c>
      <c r="L32" s="20" t="s">
        <v>105</v>
      </c>
      <c r="M32" s="18" t="n">
        <v>15.33784319</v>
      </c>
      <c r="N32" s="20" t="n">
        <v>1.34521153</v>
      </c>
      <c r="O32" s="18" t="n">
        <v>0.49697506</v>
      </c>
      <c r="P32" s="20" t="n">
        <v>0.52915958</v>
      </c>
      <c r="Q32" s="18" t="n">
        <v>0</v>
      </c>
      <c r="R32" s="20" t="n">
        <v>0</v>
      </c>
      <c r="S32" s="18" t="n">
        <v>0</v>
      </c>
      <c r="T32" s="20" t="n">
        <v>0</v>
      </c>
    </row>
    <row r="33" spans="1:20">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c r="S33" s="21" t="s">
        <v>107</v>
      </c>
      <c r="T33" s="22" t="s">
        <v>107</v>
      </c>
    </row>
    <row r="34" spans="1:20">
      <c r="A34" s="15" t="s">
        <v>133</v>
      </c>
      <c r="B34" s="17" t="n">
        <v>3035</v>
      </c>
      <c r="C34" s="18">
        <f>(2332.0/B34*100)</f>
        <v/>
      </c>
      <c r="D34" s="19" t="n">
        <v>703</v>
      </c>
      <c r="E34" s="18" t="n">
        <v>45.54458635</v>
      </c>
      <c r="F34" s="20" t="n">
        <v>2.42727066</v>
      </c>
      <c r="G34" s="18" t="n">
        <v>3.20002645</v>
      </c>
      <c r="H34" s="20" t="n">
        <v>0.6192528</v>
      </c>
      <c r="I34" s="18" t="n">
        <v>25.19198643</v>
      </c>
      <c r="J34" s="20" t="n">
        <v>1.79441187</v>
      </c>
      <c r="K34" s="18" t="s">
        <v>105</v>
      </c>
      <c r="L34" s="20" t="s">
        <v>105</v>
      </c>
      <c r="M34" s="18" t="n">
        <v>26.06340077</v>
      </c>
      <c r="N34" s="20" t="n">
        <v>2.01525659</v>
      </c>
      <c r="O34" s="18" t="n">
        <v>0</v>
      </c>
      <c r="P34" s="20" t="n">
        <v>0</v>
      </c>
      <c r="Q34" s="18" t="n">
        <v>0</v>
      </c>
      <c r="R34" s="20" t="n">
        <v>0</v>
      </c>
      <c r="S34" s="18" t="n">
        <v>0</v>
      </c>
      <c r="T34" s="20" t="n">
        <v>0</v>
      </c>
    </row>
    <row r="35" spans="1:20">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c r="S35" s="21" t="s">
        <v>107</v>
      </c>
      <c r="T35" s="22" t="s">
        <v>107</v>
      </c>
    </row>
    <row r="36" spans="1:20">
      <c r="A36" s="15" t="s">
        <v>135</v>
      </c>
      <c r="B36" s="17" t="n">
        <v>3404</v>
      </c>
      <c r="C36" s="18">
        <f>(2563.0/B36*100)</f>
        <v/>
      </c>
      <c r="D36" s="19" t="n">
        <v>841</v>
      </c>
      <c r="E36" s="18" t="n">
        <v>53.17109599</v>
      </c>
      <c r="F36" s="20" t="n">
        <v>2.097764</v>
      </c>
      <c r="G36" s="18" t="n">
        <v>13.32085715</v>
      </c>
      <c r="H36" s="20" t="n">
        <v>1.25104498</v>
      </c>
      <c r="I36" s="18" t="n">
        <v>19.16839068</v>
      </c>
      <c r="J36" s="20" t="n">
        <v>1.55175289</v>
      </c>
      <c r="K36" s="18" t="s">
        <v>105</v>
      </c>
      <c r="L36" s="20" t="s">
        <v>105</v>
      </c>
      <c r="M36" s="18" t="n">
        <v>14.33965618</v>
      </c>
      <c r="N36" s="20" t="n">
        <v>1.42775791</v>
      </c>
      <c r="O36" s="18" t="n">
        <v>0</v>
      </c>
      <c r="P36" s="20" t="n">
        <v>0</v>
      </c>
      <c r="Q36" s="18" t="n">
        <v>0</v>
      </c>
      <c r="R36" s="20" t="n">
        <v>0</v>
      </c>
      <c r="S36" s="18" t="n">
        <v>0</v>
      </c>
      <c r="T36" s="20" t="n">
        <v>0</v>
      </c>
    </row>
    <row r="37" spans="1:20">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c r="S37" s="21" t="s">
        <v>107</v>
      </c>
      <c r="T37" s="22" t="s">
        <v>107</v>
      </c>
    </row>
    <row r="38" spans="1:20">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c r="S38" s="21" t="s">
        <v>107</v>
      </c>
      <c r="T38" s="22" t="s">
        <v>107</v>
      </c>
    </row>
    <row r="39" spans="1:20">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c r="S39" s="21" t="s">
        <v>107</v>
      </c>
      <c r="T39" s="22" t="s">
        <v>107</v>
      </c>
    </row>
    <row r="40" spans="1:20">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c r="S40" s="21" t="s">
        <v>107</v>
      </c>
      <c r="T40" s="22" t="s">
        <v>107</v>
      </c>
    </row>
    <row r="41" spans="1:20">
      <c r="A41" s="15" t="s">
        <v>140</v>
      </c>
      <c r="B41" s="17" t="n">
        <v>2854</v>
      </c>
      <c r="C41" s="18">
        <f>(2149.0/B41*100)</f>
        <v/>
      </c>
      <c r="D41" s="19" t="n">
        <v>705</v>
      </c>
      <c r="E41" s="18" t="n">
        <v>35.23262934</v>
      </c>
      <c r="F41" s="20" t="n">
        <v>1.6969198</v>
      </c>
      <c r="G41" s="18" t="n">
        <v>1.64992012</v>
      </c>
      <c r="H41" s="20" t="n">
        <v>0.41101175</v>
      </c>
      <c r="I41" s="18" t="n">
        <v>58.94503895</v>
      </c>
      <c r="J41" s="20" t="n">
        <v>1.93936432</v>
      </c>
      <c r="K41" s="18" t="s">
        <v>105</v>
      </c>
      <c r="L41" s="20" t="s">
        <v>105</v>
      </c>
      <c r="M41" s="18" t="n">
        <v>4.17241159</v>
      </c>
      <c r="N41" s="20" t="n">
        <v>0.82817701</v>
      </c>
      <c r="O41" s="18" t="n">
        <v>0</v>
      </c>
      <c r="P41" s="20" t="n">
        <v>0</v>
      </c>
      <c r="Q41" s="18" t="n">
        <v>0</v>
      </c>
      <c r="R41" s="20" t="n">
        <v>0</v>
      </c>
      <c r="S41" s="18" t="n">
        <v>0</v>
      </c>
      <c r="T41" s="20" t="n">
        <v>0</v>
      </c>
    </row>
    <row r="42" spans="1:20">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row>
    <row r="43" spans="1:20">
      <c r="A43" s="13" t="s">
        <v>142</v>
      </c>
      <c r="B43" s="14" t="n"/>
      <c r="C43" s="14" t="n"/>
      <c r="D43" s="15" t="n"/>
      <c r="E43" s="14" t="n"/>
      <c r="F43" s="15" t="n"/>
      <c r="G43" s="14" t="n"/>
      <c r="H43" s="15" t="n"/>
      <c r="I43" s="14" t="n"/>
      <c r="J43" s="15" t="n"/>
      <c r="K43" s="14" t="n"/>
      <c r="L43" s="15" t="n"/>
      <c r="M43" s="14" t="n"/>
      <c r="N43" s="15" t="n"/>
      <c r="O43" s="14" t="n"/>
      <c r="P43" s="15" t="n"/>
      <c r="Q43" s="14" t="n"/>
      <c r="R43" s="15" t="n"/>
      <c r="S43" s="14" t="n"/>
      <c r="T43" s="16" t="n"/>
    </row>
    <row r="44" spans="1:20">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c r="S44" s="21" t="s">
        <v>107</v>
      </c>
      <c r="T44" s="22" t="s">
        <v>107</v>
      </c>
    </row>
    <row r="45" spans="1:20">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c r="S45" s="21" t="s">
        <v>107</v>
      </c>
      <c r="T45" s="22" t="s">
        <v>107</v>
      </c>
    </row>
    <row r="46" spans="1:20">
      <c r="A46" s="15" t="s">
        <v>145</v>
      </c>
      <c r="B46" s="17" t="n">
        <v>12073</v>
      </c>
      <c r="C46" s="18">
        <f>(10056.0/B46*100)</f>
        <v/>
      </c>
      <c r="D46" s="19" t="n">
        <v>2017</v>
      </c>
      <c r="E46" s="18" t="n">
        <v>52.64369167</v>
      </c>
      <c r="F46" s="20" t="n">
        <v>1.55506948</v>
      </c>
      <c r="G46" s="18" t="n">
        <v>3.61876109</v>
      </c>
      <c r="H46" s="20" t="n">
        <v>0.53877222</v>
      </c>
      <c r="I46" s="18" t="n">
        <v>10.69734736</v>
      </c>
      <c r="J46" s="20" t="n">
        <v>0.96664298</v>
      </c>
      <c r="K46" s="18" t="s">
        <v>105</v>
      </c>
      <c r="L46" s="20" t="s">
        <v>105</v>
      </c>
      <c r="M46" s="18" t="n">
        <v>33.04019989</v>
      </c>
      <c r="N46" s="20" t="n">
        <v>1.43881868</v>
      </c>
      <c r="O46" s="18" t="n">
        <v>0</v>
      </c>
      <c r="P46" s="20" t="n">
        <v>0</v>
      </c>
      <c r="Q46" s="18" t="n">
        <v>0</v>
      </c>
      <c r="R46" s="20" t="n">
        <v>0</v>
      </c>
      <c r="S46" s="18" t="n">
        <v>0</v>
      </c>
      <c r="T46" s="20" t="n">
        <v>0</v>
      </c>
    </row>
    <row r="47" spans="1:20">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c r="S47" s="21" t="s">
        <v>107</v>
      </c>
      <c r="T47" s="22" t="s">
        <v>107</v>
      </c>
    </row>
    <row r="48" spans="1:20">
      <c r="A48" s="15" t="s">
        <v>147</v>
      </c>
      <c r="B48" s="17" t="n">
        <v>4682</v>
      </c>
      <c r="C48" s="18">
        <f>(3500.0/B48*100)</f>
        <v/>
      </c>
      <c r="D48" s="19" t="n">
        <v>1182</v>
      </c>
      <c r="E48" s="18" t="n">
        <v>55.1943079</v>
      </c>
      <c r="F48" s="20" t="n">
        <v>2.25026382</v>
      </c>
      <c r="G48" s="18" t="n">
        <v>0.50664885</v>
      </c>
      <c r="H48" s="20" t="n">
        <v>0.23035694</v>
      </c>
      <c r="I48" s="18" t="n">
        <v>35.38141017</v>
      </c>
      <c r="J48" s="20" t="n">
        <v>2.04640392</v>
      </c>
      <c r="K48" s="18" t="s">
        <v>105</v>
      </c>
      <c r="L48" s="20" t="s">
        <v>105</v>
      </c>
      <c r="M48" s="18" t="n">
        <v>8.91763308</v>
      </c>
      <c r="N48" s="20" t="n">
        <v>1.2455103</v>
      </c>
      <c r="O48" s="18" t="n">
        <v>0</v>
      </c>
      <c r="P48" s="20" t="n">
        <v>0</v>
      </c>
      <c r="Q48" s="18" t="n">
        <v>0</v>
      </c>
      <c r="R48" s="20" t="n">
        <v>0</v>
      </c>
      <c r="S48" s="18" t="n">
        <v>0</v>
      </c>
      <c r="T48" s="20" t="n">
        <v>0</v>
      </c>
    </row>
    <row r="49" spans="1:20">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c r="S49" s="21" t="s">
        <v>107</v>
      </c>
      <c r="T49" s="22" t="s">
        <v>107</v>
      </c>
    </row>
    <row r="50" spans="1:20">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c r="S50" s="21" t="s">
        <v>107</v>
      </c>
      <c r="T50" s="22" t="s">
        <v>107</v>
      </c>
    </row>
    <row r="51" spans="1:20">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c r="S51" s="21" t="s">
        <v>107</v>
      </c>
      <c r="T51" s="22" t="s">
        <v>107</v>
      </c>
    </row>
    <row r="52" spans="1:20">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c r="S52" s="21" t="s">
        <v>107</v>
      </c>
      <c r="T52" s="22" t="s">
        <v>107</v>
      </c>
    </row>
    <row r="53" spans="1:20">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c r="S53" s="21" t="s">
        <v>107</v>
      </c>
      <c r="T53" s="22" t="s">
        <v>107</v>
      </c>
    </row>
    <row r="54" spans="1:20">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c r="S54" s="21" t="s">
        <v>107</v>
      </c>
      <c r="T54" s="22" t="s">
        <v>107</v>
      </c>
    </row>
    <row r="55" spans="1:20">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c r="S55" s="21" t="s">
        <v>107</v>
      </c>
      <c r="T55" s="22" t="s">
        <v>107</v>
      </c>
    </row>
    <row r="56" spans="1:20">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c r="S56" s="21" t="s">
        <v>107</v>
      </c>
      <c r="T56" s="22" t="s">
        <v>107</v>
      </c>
    </row>
    <row r="57" spans="1:20">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c r="S57" s="21" t="s">
        <v>107</v>
      </c>
      <c r="T57" s="22" t="s">
        <v>107</v>
      </c>
    </row>
    <row r="58" spans="1:20">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c r="S58" s="21" t="s">
        <v>107</v>
      </c>
      <c r="T58" s="22" t="s">
        <v>107</v>
      </c>
    </row>
    <row r="59" spans="1:20">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c r="S59" s="21" t="s">
        <v>107</v>
      </c>
      <c r="T59" s="22" t="s">
        <v>107</v>
      </c>
    </row>
    <row r="60" spans="1:20">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c r="S60" s="21" t="s">
        <v>107</v>
      </c>
      <c r="T60" s="22" t="s">
        <v>107</v>
      </c>
    </row>
    <row r="61" spans="1:20">
      <c r="A61" s="15" t="s">
        <v>160</v>
      </c>
      <c r="B61" s="17" t="n">
        <v>3201</v>
      </c>
      <c r="C61" s="18">
        <f>(2365.0/B61*100)</f>
        <v/>
      </c>
      <c r="D61" s="19" t="n">
        <v>836</v>
      </c>
      <c r="E61" s="18" t="n">
        <v>43.76448502</v>
      </c>
      <c r="F61" s="20" t="n">
        <v>1.93165195</v>
      </c>
      <c r="G61" s="18" t="n">
        <v>5.17641425</v>
      </c>
      <c r="H61" s="20" t="n">
        <v>0.8954235</v>
      </c>
      <c r="I61" s="18" t="n">
        <v>30.64366955</v>
      </c>
      <c r="J61" s="20" t="n">
        <v>1.64924991</v>
      </c>
      <c r="K61" s="18" t="s">
        <v>105</v>
      </c>
      <c r="L61" s="20" t="s">
        <v>105</v>
      </c>
      <c r="M61" s="18" t="n">
        <v>20.41543118</v>
      </c>
      <c r="N61" s="20" t="n">
        <v>1.58253687</v>
      </c>
      <c r="O61" s="18" t="n">
        <v>0</v>
      </c>
      <c r="P61" s="20" t="n">
        <v>0</v>
      </c>
      <c r="Q61" s="18" t="n">
        <v>0</v>
      </c>
      <c r="R61" s="20" t="n">
        <v>0</v>
      </c>
      <c r="S61" s="18" t="n">
        <v>0</v>
      </c>
      <c r="T61" s="20" t="n">
        <v>0</v>
      </c>
    </row>
    <row r="62" spans="1:20">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c r="S62" s="21" t="s">
        <v>107</v>
      </c>
      <c r="T62" s="22" t="s">
        <v>107</v>
      </c>
    </row>
    <row r="63" spans="1:20">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c r="S63" s="21" t="s">
        <v>107</v>
      </c>
      <c r="T63" s="22" t="s">
        <v>107</v>
      </c>
    </row>
    <row r="64" spans="1:20">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c r="S64" s="21" t="s">
        <v>107</v>
      </c>
      <c r="T64" s="22" t="s">
        <v>107</v>
      </c>
    </row>
    <row r="65" spans="1:20">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c r="S65" s="21" t="s">
        <v>107</v>
      </c>
      <c r="T65" s="22" t="s">
        <v>107</v>
      </c>
    </row>
    <row r="66" spans="1:20">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c r="S66" s="21" t="s">
        <v>107</v>
      </c>
      <c r="T66" s="22" t="s">
        <v>107</v>
      </c>
    </row>
    <row r="67" spans="1:20">
      <c r="A67" s="15" t="s">
        <v>166</v>
      </c>
      <c r="B67" s="17" t="n">
        <v>3460</v>
      </c>
      <c r="C67" s="18">
        <f>(2752.0/B67*100)</f>
        <v/>
      </c>
      <c r="D67" s="19" t="n">
        <v>708</v>
      </c>
      <c r="E67" s="18" t="n">
        <v>67.96410950000001</v>
      </c>
      <c r="F67" s="20" t="n">
        <v>1.91398196</v>
      </c>
      <c r="G67" s="18" t="n">
        <v>1.47532099</v>
      </c>
      <c r="H67" s="20" t="n">
        <v>0.45715507</v>
      </c>
      <c r="I67" s="18" t="n">
        <v>21.79878626</v>
      </c>
      <c r="J67" s="20" t="n">
        <v>1.81686106</v>
      </c>
      <c r="K67" s="18" t="s">
        <v>105</v>
      </c>
      <c r="L67" s="20" t="s">
        <v>105</v>
      </c>
      <c r="M67" s="18" t="n">
        <v>8.761783250000001</v>
      </c>
      <c r="N67" s="20" t="n">
        <v>1.09875038</v>
      </c>
      <c r="O67" s="18" t="n">
        <v>0</v>
      </c>
      <c r="P67" s="20" t="n">
        <v>0</v>
      </c>
      <c r="Q67" s="18" t="n">
        <v>0</v>
      </c>
      <c r="R67" s="20" t="n">
        <v>0</v>
      </c>
      <c r="S67" s="18" t="n">
        <v>0</v>
      </c>
      <c r="T67" s="20" t="n">
        <v>0</v>
      </c>
    </row>
    <row r="68" spans="1:20">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c r="S68" s="21" t="s">
        <v>107</v>
      </c>
      <c r="T68" s="22" t="s">
        <v>107</v>
      </c>
    </row>
    <row r="69" spans="1:20">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c r="S69" s="21" t="s">
        <v>107</v>
      </c>
      <c r="T69" s="22" t="s">
        <v>107</v>
      </c>
    </row>
    <row r="70" spans="1:20">
      <c r="A70" s="15" t="s">
        <v>169</v>
      </c>
      <c r="B70" s="17" t="n">
        <v>3107</v>
      </c>
      <c r="C70" s="18">
        <f>(2388.0/B70*100)</f>
        <v/>
      </c>
      <c r="D70" s="19" t="n">
        <v>719</v>
      </c>
      <c r="E70" s="18" t="n">
        <v>55.78527451</v>
      </c>
      <c r="F70" s="20" t="n">
        <v>1.67120566</v>
      </c>
      <c r="G70" s="18" t="n">
        <v>4.19512985</v>
      </c>
      <c r="H70" s="20" t="n">
        <v>0.96802941</v>
      </c>
      <c r="I70" s="18" t="n">
        <v>24.90123193</v>
      </c>
      <c r="J70" s="20" t="n">
        <v>1.51442341</v>
      </c>
      <c r="K70" s="18" t="s">
        <v>105</v>
      </c>
      <c r="L70" s="20" t="s">
        <v>105</v>
      </c>
      <c r="M70" s="18" t="n">
        <v>15.1183637</v>
      </c>
      <c r="N70" s="20" t="n">
        <v>1.64876182</v>
      </c>
      <c r="O70" s="18" t="n">
        <v>0</v>
      </c>
      <c r="P70" s="20" t="n">
        <v>0</v>
      </c>
      <c r="Q70" s="18" t="n">
        <v>0</v>
      </c>
      <c r="R70" s="20" t="n">
        <v>0</v>
      </c>
      <c r="S70" s="18" t="n">
        <v>0</v>
      </c>
      <c r="T70" s="20" t="n">
        <v>0</v>
      </c>
    </row>
    <row r="71" spans="1:20">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c r="S71" s="21" t="s">
        <v>107</v>
      </c>
      <c r="T71" s="22" t="s">
        <v>107</v>
      </c>
    </row>
    <row r="72" spans="1:20">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c r="S72" s="21" t="s">
        <v>107</v>
      </c>
      <c r="T72" s="22" t="s">
        <v>107</v>
      </c>
    </row>
    <row r="73" spans="1:20">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c r="S73" s="21" t="s">
        <v>107</v>
      </c>
      <c r="T73" s="22" t="s">
        <v>107</v>
      </c>
    </row>
    <row r="74" spans="1:20">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c r="S74" s="21" t="s">
        <v>107</v>
      </c>
      <c r="T74" s="22" t="s">
        <v>107</v>
      </c>
    </row>
    <row r="75" spans="1:20">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c r="S75" s="21" t="s">
        <v>107</v>
      </c>
      <c r="T75" s="22" t="s">
        <v>107</v>
      </c>
    </row>
    <row r="76" spans="1:20">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c r="S76" s="21" t="s">
        <v>107</v>
      </c>
      <c r="T76" s="22" t="s">
        <v>107</v>
      </c>
    </row>
    <row r="77" spans="1:20">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c r="S77" s="21" t="s">
        <v>107</v>
      </c>
      <c r="T77" s="22" t="s">
        <v>107</v>
      </c>
    </row>
    <row r="78" spans="1:20">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c r="S78" s="21" t="s">
        <v>107</v>
      </c>
      <c r="T78" s="22" t="s">
        <v>107</v>
      </c>
    </row>
    <row customHeight="1" ht="25" r="79" spans="1:20">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c r="S79" s="21" t="s">
        <v>107</v>
      </c>
      <c r="T79" s="22" t="s">
        <v>107</v>
      </c>
    </row>
    <row r="80" spans="1:20">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c r="S80" s="21" t="s">
        <v>107</v>
      </c>
      <c r="T80" s="22" t="s">
        <v>107</v>
      </c>
    </row>
    <row r="81" spans="1:20">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c r="S81" s="21" t="s">
        <v>107</v>
      </c>
      <c r="T81" s="22" t="s">
        <v>107</v>
      </c>
    </row>
    <row r="82" spans="1:20">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c r="S82" s="24" t="s">
        <v>181</v>
      </c>
      <c r="T82" s="24" t="s">
        <v>181</v>
      </c>
    </row>
    <row r="83" spans="1:20">
      <c r="A83" s="3" t="s">
        <v>182</v>
      </c>
    </row>
    <row r="84" spans="1:20">
      <c r="A84" s="25" t="s">
        <v>183</v>
      </c>
    </row>
    <row r="85" spans="1:20">
      <c r="A85" s="25" t="s">
        <v>184</v>
      </c>
    </row>
    <row customHeight="1" ht="30" r="86" spans="1:20">
      <c r="A86" s="25" t="s">
        <v>185</v>
      </c>
    </row>
    <row customHeight="1" ht="30" r="87" spans="1:20">
      <c r="A87" s="25" t="s">
        <v>181</v>
      </c>
    </row>
    <row customHeight="1" ht="30" r="88" spans="1:20">
      <c r="A88" s="25" t="s">
        <v>186</v>
      </c>
    </row>
    <row customHeight="1" ht="30" r="89" spans="1:20">
      <c r="A89" s="25" t="s">
        <v>187</v>
      </c>
    </row>
    <row customHeight="1" ht="30" r="90" spans="1:20">
      <c r="A90" s="25" t="s">
        <v>188</v>
      </c>
    </row>
    <row customHeight="1" ht="30" r="91" spans="1:20">
      <c r="A91" s="25" t="s">
        <v>189</v>
      </c>
    </row>
    <row customHeight="1" ht="30" r="92" spans="1:20">
      <c r="A92" s="25" t="s">
        <v>190</v>
      </c>
    </row>
    <row customHeight="1" ht="30" r="93" spans="1:20">
      <c r="A93" s="25" t="s">
        <v>191</v>
      </c>
    </row>
    <row customHeight="1" ht="30" r="94" spans="1:20">
      <c r="A94" s="25" t="s">
        <v>192</v>
      </c>
    </row>
    <row customHeight="1" ht="30" r="95" spans="1:20">
      <c r="A95" s="25" t="s">
        <v>193</v>
      </c>
    </row>
    <row customHeight="1" ht="30" r="96" spans="1:20">
      <c r="A96" s="25" t="s">
        <v>194</v>
      </c>
    </row>
    <row customHeight="1" ht="30" r="97" spans="1:20">
      <c r="A97" s="25" t="s">
        <v>195</v>
      </c>
    </row>
  </sheetData>
  <mergeCells count="24">
    <mergeCell ref="E4:F4"/>
    <mergeCell ref="G4:H4"/>
    <mergeCell ref="I4:J4"/>
    <mergeCell ref="K4:L4"/>
    <mergeCell ref="M4:N4"/>
    <mergeCell ref="O4:P4"/>
    <mergeCell ref="Q4:R4"/>
    <mergeCell ref="S4:T4"/>
    <mergeCell ref="A1:T1"/>
    <mergeCell ref="A2:T2"/>
    <mergeCell ref="A84:T84"/>
    <mergeCell ref="A85:T85"/>
    <mergeCell ref="A86:T86"/>
    <mergeCell ref="A87:T87"/>
    <mergeCell ref="A88:T88"/>
    <mergeCell ref="A89:T89"/>
    <mergeCell ref="A90:T90"/>
    <mergeCell ref="A91:T91"/>
    <mergeCell ref="A92:T92"/>
    <mergeCell ref="A93:T93"/>
    <mergeCell ref="A94:T94"/>
    <mergeCell ref="A95:T95"/>
    <mergeCell ref="A96:T96"/>
    <mergeCell ref="A97:T97"/>
  </mergeCells>
  <pageMargins bottom="1" footer="0.5" header="0.5" left="0.75" right="0.75" top="1"/>
</worksheet>
</file>

<file path=xl/worksheets/sheet5.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198</v>
      </c>
    </row>
    <row customHeight="1" ht="30" r="4" spans="1:18">
      <c r="A4" s="6" t="n"/>
      <c r="B4" s="7" t="s">
        <v>89</v>
      </c>
      <c r="C4" s="7" t="s">
        <v>90</v>
      </c>
      <c r="D4" s="8" t="s">
        <v>89</v>
      </c>
      <c r="E4" s="9" t="s">
        <v>199</v>
      </c>
      <c r="F4" s="10" t="n"/>
      <c r="G4" s="9" t="s">
        <v>200</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7163</v>
      </c>
      <c r="C7" s="18">
        <f>(273.0/B7*100)</f>
        <v/>
      </c>
      <c r="D7" s="19" t="n">
        <v>6890</v>
      </c>
      <c r="E7" s="18" t="n">
        <v>31.73086201</v>
      </c>
      <c r="F7" s="20" t="n">
        <v>0.64998893</v>
      </c>
      <c r="G7" s="18" t="n">
        <v>61.39528398</v>
      </c>
      <c r="H7" s="20" t="n">
        <v>0.68830312</v>
      </c>
      <c r="I7" s="18" t="s">
        <v>105</v>
      </c>
      <c r="J7" s="20" t="s">
        <v>105</v>
      </c>
      <c r="K7" s="18" t="n">
        <v>0.36445538</v>
      </c>
      <c r="L7" s="20" t="n">
        <v>0.08838223000000001</v>
      </c>
      <c r="M7" s="18" t="n">
        <v>0.01104289</v>
      </c>
      <c r="N7" s="20" t="n">
        <v>0.00288911</v>
      </c>
      <c r="O7" s="18" t="n">
        <v>0</v>
      </c>
      <c r="P7" s="20" t="n">
        <v>0</v>
      </c>
      <c r="Q7" s="18" t="n">
        <v>6.49835574</v>
      </c>
      <c r="R7" s="20" t="n">
        <v>0.33725904</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2795</v>
      </c>
      <c r="C9" s="18">
        <f>(2143.0/B9*100)</f>
        <v/>
      </c>
      <c r="D9" s="19" t="n">
        <v>652</v>
      </c>
      <c r="E9" s="18" t="n">
        <v>27.87978851</v>
      </c>
      <c r="F9" s="20" t="n">
        <v>2.09157844</v>
      </c>
      <c r="G9" s="18" t="n">
        <v>67.72047688000001</v>
      </c>
      <c r="H9" s="20" t="n">
        <v>2.1555148</v>
      </c>
      <c r="I9" s="18" t="s">
        <v>105</v>
      </c>
      <c r="J9" s="20" t="s">
        <v>105</v>
      </c>
      <c r="K9" s="18" t="n">
        <v>0</v>
      </c>
      <c r="L9" s="20" t="n">
        <v>0</v>
      </c>
      <c r="M9" s="18" t="n">
        <v>0.78445568</v>
      </c>
      <c r="N9" s="20" t="n">
        <v>0.30261052</v>
      </c>
      <c r="O9" s="18" t="n">
        <v>0</v>
      </c>
      <c r="P9" s="20" t="n">
        <v>0</v>
      </c>
      <c r="Q9" s="18" t="n">
        <v>3.61527892</v>
      </c>
      <c r="R9" s="20" t="n">
        <v>0.75645942</v>
      </c>
    </row>
    <row r="10" spans="1:18">
      <c r="A10" s="15" t="s">
        <v>109</v>
      </c>
      <c r="B10" s="17" t="n">
        <v>6602</v>
      </c>
      <c r="C10" s="18">
        <f>(5010.0/B10*100)</f>
        <v/>
      </c>
      <c r="D10" s="19" t="n">
        <v>1592</v>
      </c>
      <c r="E10" s="18" t="n">
        <v>19.16195483</v>
      </c>
      <c r="F10" s="20" t="n">
        <v>1.45509136</v>
      </c>
      <c r="G10" s="18" t="n">
        <v>77.07299052</v>
      </c>
      <c r="H10" s="20" t="n">
        <v>1.53975333</v>
      </c>
      <c r="I10" s="18" t="s">
        <v>105</v>
      </c>
      <c r="J10" s="20" t="s">
        <v>105</v>
      </c>
      <c r="K10" s="18" t="n">
        <v>0.04410375</v>
      </c>
      <c r="L10" s="20" t="n">
        <v>0.0326476</v>
      </c>
      <c r="M10" s="18" t="n">
        <v>0.02540206</v>
      </c>
      <c r="N10" s="20" t="n">
        <v>0.01781791</v>
      </c>
      <c r="O10" s="18" t="n">
        <v>0</v>
      </c>
      <c r="P10" s="20" t="n">
        <v>0</v>
      </c>
      <c r="Q10" s="18" t="n">
        <v>3.69554885</v>
      </c>
      <c r="R10" s="20" t="n">
        <v>0.6331409099999999</v>
      </c>
    </row>
    <row r="11" spans="1:18">
      <c r="A11" s="15" t="s">
        <v>110</v>
      </c>
      <c r="B11" s="17" t="n">
        <v>3500</v>
      </c>
      <c r="C11" s="18">
        <f>(2606.0/B11*100)</f>
        <v/>
      </c>
      <c r="D11" s="19" t="n">
        <v>894</v>
      </c>
      <c r="E11" s="18" t="n">
        <v>38.39403772</v>
      </c>
      <c r="F11" s="20" t="n">
        <v>1.84189066</v>
      </c>
      <c r="G11" s="18" t="n">
        <v>50.84253915</v>
      </c>
      <c r="H11" s="20" t="n">
        <v>1.72366749</v>
      </c>
      <c r="I11" s="18" t="s">
        <v>105</v>
      </c>
      <c r="J11" s="20" t="s">
        <v>105</v>
      </c>
      <c r="K11" s="18" t="n">
        <v>0.34524595</v>
      </c>
      <c r="L11" s="20" t="n">
        <v>0.23381748</v>
      </c>
      <c r="M11" s="18" t="n">
        <v>0.04890272</v>
      </c>
      <c r="N11" s="20" t="n">
        <v>0.05364551</v>
      </c>
      <c r="O11" s="18" t="n">
        <v>0</v>
      </c>
      <c r="P11" s="20" t="n">
        <v>0</v>
      </c>
      <c r="Q11" s="18" t="n">
        <v>10.36927447</v>
      </c>
      <c r="R11" s="20" t="n">
        <v>1.33522513</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5792</v>
      </c>
      <c r="C23" s="18">
        <f>(4448.0/B23*100)</f>
        <v/>
      </c>
      <c r="D23" s="19" t="n">
        <v>1344</v>
      </c>
      <c r="E23" s="18" t="n">
        <v>34.92708577</v>
      </c>
      <c r="F23" s="20" t="n">
        <v>1.78899653</v>
      </c>
      <c r="G23" s="18" t="n">
        <v>40.16645813</v>
      </c>
      <c r="H23" s="20" t="n">
        <v>1.93365332</v>
      </c>
      <c r="I23" s="18" t="s">
        <v>105</v>
      </c>
      <c r="J23" s="20" t="s">
        <v>105</v>
      </c>
      <c r="K23" s="18" t="n">
        <v>0.26164866</v>
      </c>
      <c r="L23" s="20" t="n">
        <v>0.16977941</v>
      </c>
      <c r="M23" s="18" t="n">
        <v>0</v>
      </c>
      <c r="N23" s="20" t="n">
        <v>0</v>
      </c>
      <c r="O23" s="18" t="n">
        <v>0</v>
      </c>
      <c r="P23" s="20" t="n">
        <v>0</v>
      </c>
      <c r="Q23" s="18" t="n">
        <v>24.64480743</v>
      </c>
      <c r="R23" s="20" t="n">
        <v>2.01644632</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2700</v>
      </c>
      <c r="C29" s="18">
        <f>(2020.0/B29*100)</f>
        <v/>
      </c>
      <c r="D29" s="19" t="n">
        <v>680</v>
      </c>
      <c r="E29" s="18" t="n">
        <v>33.0150234</v>
      </c>
      <c r="F29" s="20" t="n">
        <v>1.70219644</v>
      </c>
      <c r="G29" s="18" t="n">
        <v>62.63823042</v>
      </c>
      <c r="H29" s="20" t="n">
        <v>1.74081648</v>
      </c>
      <c r="I29" s="18" t="s">
        <v>105</v>
      </c>
      <c r="J29" s="20" t="s">
        <v>105</v>
      </c>
      <c r="K29" s="18" t="n">
        <v>0.12826646</v>
      </c>
      <c r="L29" s="20" t="n">
        <v>0.13672156</v>
      </c>
      <c r="M29" s="18" t="n">
        <v>0</v>
      </c>
      <c r="N29" s="20" t="n">
        <v>0</v>
      </c>
      <c r="O29" s="18" t="n">
        <v>0</v>
      </c>
      <c r="P29" s="20" t="n">
        <v>0</v>
      </c>
      <c r="Q29" s="18" t="n">
        <v>4.21847972</v>
      </c>
      <c r="R29" s="20" t="n">
        <v>0.6253267300000001</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2209</v>
      </c>
      <c r="C32" s="18">
        <f>(1356.0/B32*100)</f>
        <v/>
      </c>
      <c r="D32" s="19" t="n">
        <v>853</v>
      </c>
      <c r="E32" s="18" t="n">
        <v>21.98458224</v>
      </c>
      <c r="F32" s="20" t="n">
        <v>1.49687686</v>
      </c>
      <c r="G32" s="18" t="n">
        <v>66.20386041</v>
      </c>
      <c r="H32" s="20" t="n">
        <v>1.54666469</v>
      </c>
      <c r="I32" s="18" t="s">
        <v>105</v>
      </c>
      <c r="J32" s="20" t="s">
        <v>105</v>
      </c>
      <c r="K32" s="18" t="n">
        <v>0.13861391</v>
      </c>
      <c r="L32" s="20" t="n">
        <v>0.14629654</v>
      </c>
      <c r="M32" s="18" t="n">
        <v>0.49697506</v>
      </c>
      <c r="N32" s="20" t="n">
        <v>0.52915958</v>
      </c>
      <c r="O32" s="18" t="n">
        <v>0</v>
      </c>
      <c r="P32" s="20" t="n">
        <v>0</v>
      </c>
      <c r="Q32" s="18" t="n">
        <v>11.17596838</v>
      </c>
      <c r="R32" s="20" t="n">
        <v>1.15582546</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3035</v>
      </c>
      <c r="C34" s="18">
        <f>(2300.0/B34*100)</f>
        <v/>
      </c>
      <c r="D34" s="19" t="n">
        <v>735</v>
      </c>
      <c r="E34" s="18" t="n">
        <v>29.2668744</v>
      </c>
      <c r="F34" s="20" t="n">
        <v>1.75812446</v>
      </c>
      <c r="G34" s="18" t="n">
        <v>56.0494319</v>
      </c>
      <c r="H34" s="20" t="n">
        <v>2.00530074</v>
      </c>
      <c r="I34" s="18" t="s">
        <v>105</v>
      </c>
      <c r="J34" s="20" t="s">
        <v>105</v>
      </c>
      <c r="K34" s="18" t="n">
        <v>0.47786133</v>
      </c>
      <c r="L34" s="20" t="n">
        <v>0.29677979</v>
      </c>
      <c r="M34" s="18" t="n">
        <v>0</v>
      </c>
      <c r="N34" s="20" t="n">
        <v>0</v>
      </c>
      <c r="O34" s="18" t="n">
        <v>0</v>
      </c>
      <c r="P34" s="20" t="n">
        <v>0</v>
      </c>
      <c r="Q34" s="18" t="n">
        <v>14.20583236</v>
      </c>
      <c r="R34" s="20" t="n">
        <v>1.31010294</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3404</v>
      </c>
      <c r="C36" s="18">
        <f>(2530.0/B36*100)</f>
        <v/>
      </c>
      <c r="D36" s="19" t="n">
        <v>874</v>
      </c>
      <c r="E36" s="18" t="n">
        <v>35.34590228</v>
      </c>
      <c r="F36" s="20" t="n">
        <v>1.70369875</v>
      </c>
      <c r="G36" s="18" t="n">
        <v>56.25689579</v>
      </c>
      <c r="H36" s="20" t="n">
        <v>1.63383177</v>
      </c>
      <c r="I36" s="18" t="s">
        <v>105</v>
      </c>
      <c r="J36" s="20" t="s">
        <v>105</v>
      </c>
      <c r="K36" s="18" t="n">
        <v>0.08607036</v>
      </c>
      <c r="L36" s="20" t="n">
        <v>0.0865855</v>
      </c>
      <c r="M36" s="18" t="n">
        <v>0</v>
      </c>
      <c r="N36" s="20" t="n">
        <v>0</v>
      </c>
      <c r="O36" s="18" t="n">
        <v>0</v>
      </c>
      <c r="P36" s="20" t="n">
        <v>0</v>
      </c>
      <c r="Q36" s="18" t="n">
        <v>8.311131570000001</v>
      </c>
      <c r="R36" s="20" t="n">
        <v>1.05951132</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2854</v>
      </c>
      <c r="C41" s="18">
        <f>(2130.0/B41*100)</f>
        <v/>
      </c>
      <c r="D41" s="19" t="n">
        <v>724</v>
      </c>
      <c r="E41" s="18" t="n">
        <v>42.56243801</v>
      </c>
      <c r="F41" s="20" t="n">
        <v>1.64060157</v>
      </c>
      <c r="G41" s="18" t="n">
        <v>52.68648218</v>
      </c>
      <c r="H41" s="20" t="n">
        <v>1.78795164</v>
      </c>
      <c r="I41" s="18" t="s">
        <v>105</v>
      </c>
      <c r="J41" s="20" t="s">
        <v>105</v>
      </c>
      <c r="K41" s="18" t="n">
        <v>0</v>
      </c>
      <c r="L41" s="20" t="n">
        <v>0</v>
      </c>
      <c r="M41" s="18" t="n">
        <v>0</v>
      </c>
      <c r="N41" s="20" t="n">
        <v>0</v>
      </c>
      <c r="O41" s="18" t="n">
        <v>0</v>
      </c>
      <c r="P41" s="20" t="n">
        <v>0</v>
      </c>
      <c r="Q41" s="18" t="n">
        <v>4.75107981</v>
      </c>
      <c r="R41" s="20" t="n">
        <v>0.83861158</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12073</v>
      </c>
      <c r="C46" s="18">
        <f>(9370.0/B46*100)</f>
        <v/>
      </c>
      <c r="D46" s="19" t="n">
        <v>2703</v>
      </c>
      <c r="E46" s="18" t="n">
        <v>37.60635472</v>
      </c>
      <c r="F46" s="20" t="n">
        <v>1.09287905</v>
      </c>
      <c r="G46" s="18" t="n">
        <v>32.90813372</v>
      </c>
      <c r="H46" s="20" t="n">
        <v>1.33614095</v>
      </c>
      <c r="I46" s="18" t="s">
        <v>105</v>
      </c>
      <c r="J46" s="20" t="s">
        <v>105</v>
      </c>
      <c r="K46" s="18" t="n">
        <v>1.04029416</v>
      </c>
      <c r="L46" s="20" t="n">
        <v>0.23246248</v>
      </c>
      <c r="M46" s="18" t="n">
        <v>0</v>
      </c>
      <c r="N46" s="20" t="n">
        <v>0</v>
      </c>
      <c r="O46" s="18" t="n">
        <v>0</v>
      </c>
      <c r="P46" s="20" t="n">
        <v>0</v>
      </c>
      <c r="Q46" s="18" t="n">
        <v>28.4452174</v>
      </c>
      <c r="R46" s="20" t="n">
        <v>1.30010072</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4682</v>
      </c>
      <c r="C48" s="18">
        <f>(3491.0/B48*100)</f>
        <v/>
      </c>
      <c r="D48" s="19" t="n">
        <v>1191</v>
      </c>
      <c r="E48" s="18" t="n">
        <v>27.99508236</v>
      </c>
      <c r="F48" s="20" t="n">
        <v>1.74177395</v>
      </c>
      <c r="G48" s="18" t="n">
        <v>65.07855487</v>
      </c>
      <c r="H48" s="20" t="n">
        <v>1.8070769</v>
      </c>
      <c r="I48" s="18" t="s">
        <v>105</v>
      </c>
      <c r="J48" s="20" t="s">
        <v>105</v>
      </c>
      <c r="K48" s="18" t="n">
        <v>0.06442289</v>
      </c>
      <c r="L48" s="20" t="n">
        <v>0.06459267</v>
      </c>
      <c r="M48" s="18" t="n">
        <v>0</v>
      </c>
      <c r="N48" s="20" t="n">
        <v>0</v>
      </c>
      <c r="O48" s="18" t="n">
        <v>0</v>
      </c>
      <c r="P48" s="20" t="n">
        <v>0</v>
      </c>
      <c r="Q48" s="18" t="n">
        <v>6.86193987</v>
      </c>
      <c r="R48" s="20" t="n">
        <v>1.19684357</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3201</v>
      </c>
      <c r="C61" s="18">
        <f>(2357.0/B61*100)</f>
        <v/>
      </c>
      <c r="D61" s="19" t="n">
        <v>844</v>
      </c>
      <c r="E61" s="18" t="n">
        <v>16.93992492</v>
      </c>
      <c r="F61" s="20" t="n">
        <v>1.55108885</v>
      </c>
      <c r="G61" s="18" t="n">
        <v>74.48614637</v>
      </c>
      <c r="H61" s="20" t="n">
        <v>1.76416072</v>
      </c>
      <c r="I61" s="18" t="s">
        <v>105</v>
      </c>
      <c r="J61" s="20" t="s">
        <v>105</v>
      </c>
      <c r="K61" s="18" t="n">
        <v>0.15209773</v>
      </c>
      <c r="L61" s="20" t="n">
        <v>0.1584732</v>
      </c>
      <c r="M61" s="18" t="n">
        <v>0.13895893</v>
      </c>
      <c r="N61" s="20" t="n">
        <v>0.12511591</v>
      </c>
      <c r="O61" s="18" t="n">
        <v>0</v>
      </c>
      <c r="P61" s="20" t="n">
        <v>0</v>
      </c>
      <c r="Q61" s="18" t="n">
        <v>8.282872040000001</v>
      </c>
      <c r="R61" s="20" t="n">
        <v>1.14395002</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3460</v>
      </c>
      <c r="C67" s="18">
        <f>(2579.0/B67*100)</f>
        <v/>
      </c>
      <c r="D67" s="19" t="n">
        <v>881</v>
      </c>
      <c r="E67" s="18" t="n">
        <v>57.69251799</v>
      </c>
      <c r="F67" s="20" t="n">
        <v>1.44486928</v>
      </c>
      <c r="G67" s="18" t="n">
        <v>34.1048565</v>
      </c>
      <c r="H67" s="20" t="n">
        <v>1.49524666</v>
      </c>
      <c r="I67" s="18" t="s">
        <v>105</v>
      </c>
      <c r="J67" s="20" t="s">
        <v>105</v>
      </c>
      <c r="K67" s="18" t="n">
        <v>0</v>
      </c>
      <c r="L67" s="20" t="n">
        <v>0</v>
      </c>
      <c r="M67" s="18" t="n">
        <v>0</v>
      </c>
      <c r="N67" s="20" t="n">
        <v>0</v>
      </c>
      <c r="O67" s="18" t="n">
        <v>0</v>
      </c>
      <c r="P67" s="20" t="n">
        <v>0</v>
      </c>
      <c r="Q67" s="18" t="n">
        <v>8.202625510000001</v>
      </c>
      <c r="R67" s="20" t="n">
        <v>1.09186679</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3107</v>
      </c>
      <c r="C70" s="18">
        <f>(2316.0/B70*100)</f>
        <v/>
      </c>
      <c r="D70" s="19" t="n">
        <v>791</v>
      </c>
      <c r="E70" s="18" t="n">
        <v>30.81424839</v>
      </c>
      <c r="F70" s="20" t="n">
        <v>1.42510268</v>
      </c>
      <c r="G70" s="18" t="n">
        <v>62.52645158</v>
      </c>
      <c r="H70" s="20" t="n">
        <v>1.67402328</v>
      </c>
      <c r="I70" s="18" t="s">
        <v>105</v>
      </c>
      <c r="J70" s="20" t="s">
        <v>105</v>
      </c>
      <c r="K70" s="18" t="n">
        <v>0</v>
      </c>
      <c r="L70" s="20" t="n">
        <v>0</v>
      </c>
      <c r="M70" s="18" t="n">
        <v>0</v>
      </c>
      <c r="N70" s="20" t="n">
        <v>0</v>
      </c>
      <c r="O70" s="18" t="n">
        <v>0</v>
      </c>
      <c r="P70" s="20" t="n">
        <v>0</v>
      </c>
      <c r="Q70" s="18" t="n">
        <v>6.65930003</v>
      </c>
      <c r="R70" s="20" t="n">
        <v>1.01250388</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6.xml><?xml version="1.0" encoding="utf-8"?>
<worksheet xmlns="http://schemas.openxmlformats.org/spreadsheetml/2006/main">
  <sheetPr>
    <outlinePr summaryBelow="1" summaryRight="1"/>
    <pageSetUpPr/>
  </sheetPr>
  <dimension ref="A1:T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0">
      <c r="A1" s="4" t="s">
        <v>87</v>
      </c>
    </row>
    <row r="2" spans="1:20">
      <c r="A2" s="5" t="s">
        <v>201</v>
      </c>
    </row>
    <row customHeight="1" ht="30" r="4" spans="1:20">
      <c r="A4" s="6" t="n"/>
      <c r="B4" s="7" t="s">
        <v>89</v>
      </c>
      <c r="C4" s="7" t="s">
        <v>90</v>
      </c>
      <c r="D4" s="8" t="s">
        <v>89</v>
      </c>
      <c r="E4" s="9" t="s">
        <v>202</v>
      </c>
      <c r="F4" s="10" t="n"/>
      <c r="G4" s="9" t="s">
        <v>203</v>
      </c>
      <c r="H4" s="10" t="n"/>
      <c r="I4" s="9" t="s">
        <v>204</v>
      </c>
      <c r="J4" s="10" t="n"/>
      <c r="K4" s="9" t="s">
        <v>93</v>
      </c>
      <c r="L4" s="10" t="n"/>
      <c r="M4" s="9" t="s">
        <v>94</v>
      </c>
      <c r="N4" s="10" t="n"/>
      <c r="O4" s="9" t="s">
        <v>95</v>
      </c>
      <c r="P4" s="10" t="n"/>
      <c r="Q4" s="9" t="s">
        <v>96</v>
      </c>
      <c r="R4" s="10" t="n"/>
      <c r="S4" s="9" t="s">
        <v>97</v>
      </c>
      <c r="T4" s="10" t="n"/>
    </row>
    <row r="5" spans="1:20">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c r="S5" s="12" t="s">
        <v>101</v>
      </c>
      <c r="T5" s="11" t="s">
        <v>102</v>
      </c>
    </row>
    <row r="6" spans="1:20">
      <c r="A6" s="13" t="s">
        <v>103</v>
      </c>
      <c r="B6" s="14" t="n"/>
      <c r="C6" s="14" t="n"/>
      <c r="D6" s="15" t="n"/>
      <c r="E6" s="14" t="n"/>
      <c r="F6" s="15" t="n"/>
      <c r="G6" s="14" t="n"/>
      <c r="H6" s="15" t="n"/>
      <c r="I6" s="14" t="n"/>
      <c r="J6" s="15" t="n"/>
      <c r="K6" s="14" t="n"/>
      <c r="L6" s="15" t="n"/>
      <c r="M6" s="14" t="n"/>
      <c r="N6" s="15" t="n"/>
      <c r="O6" s="14" t="n"/>
      <c r="P6" s="15" t="n"/>
      <c r="Q6" s="14" t="n"/>
      <c r="R6" s="15" t="n"/>
      <c r="S6" s="14" t="n"/>
      <c r="T6" s="16" t="n"/>
    </row>
    <row r="7" spans="1:20">
      <c r="A7" s="15" t="s">
        <v>104</v>
      </c>
      <c r="B7" s="17" t="n">
        <v>7163</v>
      </c>
      <c r="C7" s="18">
        <f>(300.0/B7*100)</f>
        <v/>
      </c>
      <c r="D7" s="19" t="n">
        <v>6863</v>
      </c>
      <c r="E7" s="18" t="n">
        <v>32.29067896</v>
      </c>
      <c r="F7" s="20" t="n">
        <v>0.72570399</v>
      </c>
      <c r="G7" s="18" t="n">
        <v>51.99973387</v>
      </c>
      <c r="H7" s="20" t="n">
        <v>0.78052193</v>
      </c>
      <c r="I7" s="18" t="n">
        <v>10.44815907</v>
      </c>
      <c r="J7" s="20" t="n">
        <v>0.46261949</v>
      </c>
      <c r="K7" s="18" t="s">
        <v>105</v>
      </c>
      <c r="L7" s="20" t="s">
        <v>105</v>
      </c>
      <c r="M7" s="18" t="n">
        <v>0.36717765</v>
      </c>
      <c r="N7" s="20" t="n">
        <v>0.08873996000000001</v>
      </c>
      <c r="O7" s="18" t="n">
        <v>0.01107953</v>
      </c>
      <c r="P7" s="20" t="n">
        <v>0.0028965</v>
      </c>
      <c r="Q7" s="18" t="n">
        <v>0</v>
      </c>
      <c r="R7" s="20" t="n">
        <v>0</v>
      </c>
      <c r="S7" s="18" t="n">
        <v>4.88317092</v>
      </c>
      <c r="T7" s="20" t="n">
        <v>0.33960432</v>
      </c>
    </row>
    <row r="8" spans="1:20">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c r="S8" s="21" t="s">
        <v>107</v>
      </c>
      <c r="T8" s="22" t="s">
        <v>107</v>
      </c>
    </row>
    <row r="9" spans="1:20">
      <c r="A9" s="15" t="s">
        <v>108</v>
      </c>
      <c r="B9" s="17" t="n">
        <v>2795</v>
      </c>
      <c r="C9" s="18">
        <f>(2144.0/B9*100)</f>
        <v/>
      </c>
      <c r="D9" s="19" t="n">
        <v>651</v>
      </c>
      <c r="E9" s="18" t="n">
        <v>24.86392004</v>
      </c>
      <c r="F9" s="20" t="n">
        <v>1.61856491</v>
      </c>
      <c r="G9" s="18" t="n">
        <v>53.27315144</v>
      </c>
      <c r="H9" s="20" t="n">
        <v>1.84110465</v>
      </c>
      <c r="I9" s="18" t="n">
        <v>14.715013</v>
      </c>
      <c r="J9" s="20" t="n">
        <v>1.34319635</v>
      </c>
      <c r="K9" s="18" t="s">
        <v>105</v>
      </c>
      <c r="L9" s="20" t="s">
        <v>105</v>
      </c>
      <c r="M9" s="18" t="n">
        <v>0</v>
      </c>
      <c r="N9" s="20" t="n">
        <v>0</v>
      </c>
      <c r="O9" s="18" t="n">
        <v>0.78557159</v>
      </c>
      <c r="P9" s="20" t="n">
        <v>0.30302352</v>
      </c>
      <c r="Q9" s="18" t="n">
        <v>0</v>
      </c>
      <c r="R9" s="20" t="n">
        <v>0</v>
      </c>
      <c r="S9" s="18" t="n">
        <v>6.36234393</v>
      </c>
      <c r="T9" s="20" t="n">
        <v>0.71488134</v>
      </c>
    </row>
    <row r="10" spans="1:20">
      <c r="A10" s="15" t="s">
        <v>109</v>
      </c>
      <c r="B10" s="17" t="n">
        <v>6602</v>
      </c>
      <c r="C10" s="18">
        <f>(5011.0/B10*100)</f>
        <v/>
      </c>
      <c r="D10" s="19" t="n">
        <v>1591</v>
      </c>
      <c r="E10" s="18" t="n">
        <v>25.35677479</v>
      </c>
      <c r="F10" s="20" t="n">
        <v>1.63348305</v>
      </c>
      <c r="G10" s="18" t="n">
        <v>63.11759774</v>
      </c>
      <c r="H10" s="20" t="n">
        <v>1.8518387</v>
      </c>
      <c r="I10" s="18" t="n">
        <v>8.72079023</v>
      </c>
      <c r="J10" s="20" t="n">
        <v>0.98291978</v>
      </c>
      <c r="K10" s="18" t="s">
        <v>105</v>
      </c>
      <c r="L10" s="20" t="s">
        <v>105</v>
      </c>
      <c r="M10" s="18" t="n">
        <v>0.04422553</v>
      </c>
      <c r="N10" s="20" t="n">
        <v>0.03274413</v>
      </c>
      <c r="O10" s="18" t="n">
        <v>0.22054997</v>
      </c>
      <c r="P10" s="20" t="n">
        <v>0.1870976</v>
      </c>
      <c r="Q10" s="18" t="n">
        <v>0</v>
      </c>
      <c r="R10" s="20" t="n">
        <v>0</v>
      </c>
      <c r="S10" s="18" t="n">
        <v>2.54006173</v>
      </c>
      <c r="T10" s="20" t="n">
        <v>0.58997806</v>
      </c>
    </row>
    <row r="11" spans="1:20">
      <c r="A11" s="15" t="s">
        <v>110</v>
      </c>
      <c r="B11" s="17" t="n">
        <v>3500</v>
      </c>
      <c r="C11" s="18">
        <f>(2607.0/B11*100)</f>
        <v/>
      </c>
      <c r="D11" s="19" t="n">
        <v>893</v>
      </c>
      <c r="E11" s="18" t="n">
        <v>55.70641233</v>
      </c>
      <c r="F11" s="20" t="n">
        <v>1.82298898</v>
      </c>
      <c r="G11" s="18" t="n">
        <v>24.8359231</v>
      </c>
      <c r="H11" s="20" t="n">
        <v>1.56813112</v>
      </c>
      <c r="I11" s="18" t="n">
        <v>8.20714678</v>
      </c>
      <c r="J11" s="20" t="n">
        <v>1.2539017</v>
      </c>
      <c r="K11" s="18" t="s">
        <v>105</v>
      </c>
      <c r="L11" s="20" t="s">
        <v>105</v>
      </c>
      <c r="M11" s="18" t="n">
        <v>0.34579061</v>
      </c>
      <c r="N11" s="20" t="n">
        <v>0.23419106</v>
      </c>
      <c r="O11" s="18" t="n">
        <v>0.08243265</v>
      </c>
      <c r="P11" s="20" t="n">
        <v>0.06332635</v>
      </c>
      <c r="Q11" s="18" t="n">
        <v>0</v>
      </c>
      <c r="R11" s="20" t="n">
        <v>0</v>
      </c>
      <c r="S11" s="18" t="n">
        <v>10.82229453</v>
      </c>
      <c r="T11" s="20" t="n">
        <v>1.14745676</v>
      </c>
    </row>
    <row r="12" spans="1:20">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c r="S12" s="21" t="s">
        <v>107</v>
      </c>
      <c r="T12" s="22" t="s">
        <v>107</v>
      </c>
    </row>
    <row r="13" spans="1:20">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c r="S13" s="21" t="s">
        <v>107</v>
      </c>
      <c r="T13" s="22" t="s">
        <v>107</v>
      </c>
    </row>
    <row r="14" spans="1:20">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c r="S14" s="21" t="s">
        <v>107</v>
      </c>
      <c r="T14" s="22" t="s">
        <v>107</v>
      </c>
    </row>
    <row r="15" spans="1:20">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c r="S15" s="21" t="s">
        <v>107</v>
      </c>
      <c r="T15" s="22" t="s">
        <v>107</v>
      </c>
    </row>
    <row r="16" spans="1:20">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c r="S16" s="21" t="s">
        <v>107</v>
      </c>
      <c r="T16" s="22" t="s">
        <v>107</v>
      </c>
    </row>
    <row r="17" spans="1:20">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c r="S17" s="21" t="s">
        <v>107</v>
      </c>
      <c r="T17" s="22" t="s">
        <v>107</v>
      </c>
    </row>
    <row r="18" spans="1:20">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c r="S18" s="21" t="s">
        <v>107</v>
      </c>
      <c r="T18" s="22" t="s">
        <v>107</v>
      </c>
    </row>
    <row r="19" spans="1:20">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c r="S19" s="21" t="s">
        <v>107</v>
      </c>
      <c r="T19" s="22" t="s">
        <v>107</v>
      </c>
    </row>
    <row r="20" spans="1:20">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c r="S20" s="21" t="s">
        <v>107</v>
      </c>
      <c r="T20" s="22" t="s">
        <v>107</v>
      </c>
    </row>
    <row r="21" spans="1:20">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c r="S21" s="21" t="s">
        <v>107</v>
      </c>
      <c r="T21" s="22" t="s">
        <v>107</v>
      </c>
    </row>
    <row r="22" spans="1:20">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c r="S22" s="21" t="s">
        <v>107</v>
      </c>
      <c r="T22" s="22" t="s">
        <v>107</v>
      </c>
    </row>
    <row r="23" spans="1:20">
      <c r="A23" s="15" t="s">
        <v>122</v>
      </c>
      <c r="B23" s="17" t="n">
        <v>5792</v>
      </c>
      <c r="C23" s="18">
        <f>(4452.0/B23*100)</f>
        <v/>
      </c>
      <c r="D23" s="19" t="n">
        <v>1340</v>
      </c>
      <c r="E23" s="18" t="n">
        <v>43.72370441</v>
      </c>
      <c r="F23" s="20" t="n">
        <v>1.78263816</v>
      </c>
      <c r="G23" s="18" t="n">
        <v>23.28750349</v>
      </c>
      <c r="H23" s="20" t="n">
        <v>1.76452726</v>
      </c>
      <c r="I23" s="18" t="n">
        <v>19.76244394</v>
      </c>
      <c r="J23" s="20" t="n">
        <v>1.4726766</v>
      </c>
      <c r="K23" s="18" t="s">
        <v>105</v>
      </c>
      <c r="L23" s="20" t="s">
        <v>105</v>
      </c>
      <c r="M23" s="18" t="n">
        <v>0.26276726</v>
      </c>
      <c r="N23" s="20" t="n">
        <v>0.17050669</v>
      </c>
      <c r="O23" s="18" t="n">
        <v>0</v>
      </c>
      <c r="P23" s="20" t="n">
        <v>0</v>
      </c>
      <c r="Q23" s="18" t="n">
        <v>0</v>
      </c>
      <c r="R23" s="20" t="n">
        <v>0</v>
      </c>
      <c r="S23" s="18" t="n">
        <v>12.96358091</v>
      </c>
      <c r="T23" s="20" t="n">
        <v>1.57013951</v>
      </c>
    </row>
    <row r="24" spans="1:20">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c r="S24" s="21" t="s">
        <v>107</v>
      </c>
      <c r="T24" s="22" t="s">
        <v>107</v>
      </c>
    </row>
    <row r="25" spans="1:20">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c r="S25" s="21" t="s">
        <v>107</v>
      </c>
      <c r="T25" s="22" t="s">
        <v>107</v>
      </c>
    </row>
    <row r="26" spans="1:20">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c r="S26" s="21" t="s">
        <v>107</v>
      </c>
      <c r="T26" s="22" t="s">
        <v>107</v>
      </c>
    </row>
    <row r="27" spans="1:20">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c r="S27" s="21" t="s">
        <v>107</v>
      </c>
      <c r="T27" s="22" t="s">
        <v>107</v>
      </c>
    </row>
    <row r="28" spans="1:20">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c r="S28" s="21" t="s">
        <v>107</v>
      </c>
      <c r="T28" s="22" t="s">
        <v>107</v>
      </c>
    </row>
    <row r="29" spans="1:20">
      <c r="A29" s="15" t="s">
        <v>128</v>
      </c>
      <c r="B29" s="17" t="n">
        <v>2700</v>
      </c>
      <c r="C29" s="18">
        <f>(2020.0/B29*100)</f>
        <v/>
      </c>
      <c r="D29" s="19" t="n">
        <v>680</v>
      </c>
      <c r="E29" s="18" t="n">
        <v>38.25209275</v>
      </c>
      <c r="F29" s="20" t="n">
        <v>1.77068306</v>
      </c>
      <c r="G29" s="18" t="n">
        <v>44.23695523</v>
      </c>
      <c r="H29" s="20" t="n">
        <v>1.84733937</v>
      </c>
      <c r="I29" s="18" t="n">
        <v>13.22784589</v>
      </c>
      <c r="J29" s="20" t="n">
        <v>1.09814676</v>
      </c>
      <c r="K29" s="18" t="s">
        <v>105</v>
      </c>
      <c r="L29" s="20" t="s">
        <v>105</v>
      </c>
      <c r="M29" s="18" t="n">
        <v>0.12826646</v>
      </c>
      <c r="N29" s="20" t="n">
        <v>0.13672156</v>
      </c>
      <c r="O29" s="18" t="n">
        <v>0</v>
      </c>
      <c r="P29" s="20" t="n">
        <v>0</v>
      </c>
      <c r="Q29" s="18" t="n">
        <v>0</v>
      </c>
      <c r="R29" s="20" t="n">
        <v>0</v>
      </c>
      <c r="S29" s="18" t="n">
        <v>4.15483967</v>
      </c>
      <c r="T29" s="20" t="n">
        <v>0.86831634</v>
      </c>
    </row>
    <row r="30" spans="1:20">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c r="S30" s="21" t="s">
        <v>107</v>
      </c>
      <c r="T30" s="22" t="s">
        <v>107</v>
      </c>
    </row>
    <row r="31" spans="1:20">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c r="S31" s="21" t="s">
        <v>107</v>
      </c>
      <c r="T31" s="22" t="s">
        <v>107</v>
      </c>
    </row>
    <row r="32" spans="1:20">
      <c r="A32" s="15" t="s">
        <v>131</v>
      </c>
      <c r="B32" s="17" t="n">
        <v>2209</v>
      </c>
      <c r="C32" s="18">
        <f>(1357.0/B32*100)</f>
        <v/>
      </c>
      <c r="D32" s="19" t="n">
        <v>852</v>
      </c>
      <c r="E32" s="18" t="n">
        <v>41.52118735</v>
      </c>
      <c r="F32" s="20" t="n">
        <v>1.64165221</v>
      </c>
      <c r="G32" s="18" t="n">
        <v>39.46432375</v>
      </c>
      <c r="H32" s="20" t="n">
        <v>1.74051678</v>
      </c>
      <c r="I32" s="18" t="n">
        <v>6.25718337</v>
      </c>
      <c r="J32" s="20" t="n">
        <v>0.81671986</v>
      </c>
      <c r="K32" s="18" t="s">
        <v>105</v>
      </c>
      <c r="L32" s="20" t="s">
        <v>105</v>
      </c>
      <c r="M32" s="18" t="n">
        <v>0.13876111</v>
      </c>
      <c r="N32" s="20" t="n">
        <v>0.14645252</v>
      </c>
      <c r="O32" s="18" t="n">
        <v>0.49750281</v>
      </c>
      <c r="P32" s="20" t="n">
        <v>0.5297224699999999</v>
      </c>
      <c r="Q32" s="18" t="n">
        <v>0</v>
      </c>
      <c r="R32" s="20" t="n">
        <v>0</v>
      </c>
      <c r="S32" s="18" t="n">
        <v>12.12104162</v>
      </c>
      <c r="T32" s="20" t="n">
        <v>1.12171053</v>
      </c>
    </row>
    <row r="33" spans="1:20">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c r="S33" s="21" t="s">
        <v>107</v>
      </c>
      <c r="T33" s="22" t="s">
        <v>107</v>
      </c>
    </row>
    <row r="34" spans="1:20">
      <c r="A34" s="15" t="s">
        <v>133</v>
      </c>
      <c r="B34" s="17" t="n">
        <v>3035</v>
      </c>
      <c r="C34" s="18">
        <f>(2302.0/B34*100)</f>
        <v/>
      </c>
      <c r="D34" s="19" t="n">
        <v>733</v>
      </c>
      <c r="E34" s="18" t="n">
        <v>46.030571</v>
      </c>
      <c r="F34" s="20" t="n">
        <v>2.19086116</v>
      </c>
      <c r="G34" s="18" t="n">
        <v>23.74728714</v>
      </c>
      <c r="H34" s="20" t="n">
        <v>1.58716659</v>
      </c>
      <c r="I34" s="18" t="n">
        <v>13.27148263</v>
      </c>
      <c r="J34" s="20" t="n">
        <v>1.24997132</v>
      </c>
      <c r="K34" s="18" t="s">
        <v>105</v>
      </c>
      <c r="L34" s="20" t="s">
        <v>105</v>
      </c>
      <c r="M34" s="18" t="n">
        <v>0.4788588</v>
      </c>
      <c r="N34" s="20" t="n">
        <v>0.29740959</v>
      </c>
      <c r="O34" s="18" t="n">
        <v>0</v>
      </c>
      <c r="P34" s="20" t="n">
        <v>0</v>
      </c>
      <c r="Q34" s="18" t="n">
        <v>0</v>
      </c>
      <c r="R34" s="20" t="n">
        <v>0</v>
      </c>
      <c r="S34" s="18" t="n">
        <v>16.47180044</v>
      </c>
      <c r="T34" s="20" t="n">
        <v>1.49555764</v>
      </c>
    </row>
    <row r="35" spans="1:20">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c r="S35" s="21" t="s">
        <v>107</v>
      </c>
      <c r="T35" s="22" t="s">
        <v>107</v>
      </c>
    </row>
    <row r="36" spans="1:20">
      <c r="A36" s="15" t="s">
        <v>135</v>
      </c>
      <c r="B36" s="17" t="n">
        <v>3404</v>
      </c>
      <c r="C36" s="18">
        <f>(2531.0/B36*100)</f>
        <v/>
      </c>
      <c r="D36" s="19" t="n">
        <v>873</v>
      </c>
      <c r="E36" s="18" t="n">
        <v>53.65159636</v>
      </c>
      <c r="F36" s="20" t="n">
        <v>1.80840333</v>
      </c>
      <c r="G36" s="18" t="n">
        <v>27.76046034</v>
      </c>
      <c r="H36" s="20" t="n">
        <v>1.74884049</v>
      </c>
      <c r="I36" s="18" t="n">
        <v>10.83250173</v>
      </c>
      <c r="J36" s="20" t="n">
        <v>1.04770048</v>
      </c>
      <c r="K36" s="18" t="s">
        <v>105</v>
      </c>
      <c r="L36" s="20" t="s">
        <v>105</v>
      </c>
      <c r="M36" s="18" t="n">
        <v>0.20482263</v>
      </c>
      <c r="N36" s="20" t="n">
        <v>0.15657295</v>
      </c>
      <c r="O36" s="18" t="n">
        <v>0</v>
      </c>
      <c r="P36" s="20" t="n">
        <v>0</v>
      </c>
      <c r="Q36" s="18" t="n">
        <v>0</v>
      </c>
      <c r="R36" s="20" t="n">
        <v>0</v>
      </c>
      <c r="S36" s="18" t="n">
        <v>7.55061894</v>
      </c>
      <c r="T36" s="20" t="n">
        <v>0.85962932</v>
      </c>
    </row>
    <row r="37" spans="1:20">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c r="S37" s="21" t="s">
        <v>107</v>
      </c>
      <c r="T37" s="22" t="s">
        <v>107</v>
      </c>
    </row>
    <row r="38" spans="1:20">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c r="S38" s="21" t="s">
        <v>107</v>
      </c>
      <c r="T38" s="22" t="s">
        <v>107</v>
      </c>
    </row>
    <row r="39" spans="1:20">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c r="S39" s="21" t="s">
        <v>107</v>
      </c>
      <c r="T39" s="22" t="s">
        <v>107</v>
      </c>
    </row>
    <row r="40" spans="1:20">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c r="S40" s="21" t="s">
        <v>107</v>
      </c>
      <c r="T40" s="22" t="s">
        <v>107</v>
      </c>
    </row>
    <row r="41" spans="1:20">
      <c r="A41" s="15" t="s">
        <v>140</v>
      </c>
      <c r="B41" s="17" t="n">
        <v>2854</v>
      </c>
      <c r="C41" s="18">
        <f>(2132.0/B41*100)</f>
        <v/>
      </c>
      <c r="D41" s="19" t="n">
        <v>722</v>
      </c>
      <c r="E41" s="18" t="n">
        <v>48.12989563</v>
      </c>
      <c r="F41" s="20" t="n">
        <v>1.99866813</v>
      </c>
      <c r="G41" s="18" t="n">
        <v>33.86386615</v>
      </c>
      <c r="H41" s="20" t="n">
        <v>1.68572707</v>
      </c>
      <c r="I41" s="18" t="n">
        <v>15.17437004</v>
      </c>
      <c r="J41" s="20" t="n">
        <v>1.35312379</v>
      </c>
      <c r="K41" s="18" t="s">
        <v>105</v>
      </c>
      <c r="L41" s="20" t="s">
        <v>105</v>
      </c>
      <c r="M41" s="18" t="n">
        <v>0</v>
      </c>
      <c r="N41" s="20" t="n">
        <v>0</v>
      </c>
      <c r="O41" s="18" t="n">
        <v>0</v>
      </c>
      <c r="P41" s="20" t="n">
        <v>0</v>
      </c>
      <c r="Q41" s="18" t="n">
        <v>0</v>
      </c>
      <c r="R41" s="20" t="n">
        <v>0</v>
      </c>
      <c r="S41" s="18" t="n">
        <v>2.83186817</v>
      </c>
      <c r="T41" s="20" t="n">
        <v>0.72761299</v>
      </c>
    </row>
    <row r="42" spans="1:20">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row>
    <row r="43" spans="1:20">
      <c r="A43" s="13" t="s">
        <v>142</v>
      </c>
      <c r="B43" s="14" t="n"/>
      <c r="C43" s="14" t="n"/>
      <c r="D43" s="15" t="n"/>
      <c r="E43" s="14" t="n"/>
      <c r="F43" s="15" t="n"/>
      <c r="G43" s="14" t="n"/>
      <c r="H43" s="15" t="n"/>
      <c r="I43" s="14" t="n"/>
      <c r="J43" s="15" t="n"/>
      <c r="K43" s="14" t="n"/>
      <c r="L43" s="15" t="n"/>
      <c r="M43" s="14" t="n"/>
      <c r="N43" s="15" t="n"/>
      <c r="O43" s="14" t="n"/>
      <c r="P43" s="15" t="n"/>
      <c r="Q43" s="14" t="n"/>
      <c r="R43" s="15" t="n"/>
      <c r="S43" s="14" t="n"/>
      <c r="T43" s="16" t="n"/>
    </row>
    <row r="44" spans="1:20">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c r="S44" s="21" t="s">
        <v>107</v>
      </c>
      <c r="T44" s="22" t="s">
        <v>107</v>
      </c>
    </row>
    <row r="45" spans="1:20">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c r="S45" s="21" t="s">
        <v>107</v>
      </c>
      <c r="T45" s="22" t="s">
        <v>107</v>
      </c>
    </row>
    <row r="46" spans="1:20">
      <c r="A46" s="15" t="s">
        <v>145</v>
      </c>
      <c r="B46" s="17" t="n">
        <v>12073</v>
      </c>
      <c r="C46" s="18">
        <f>(9441.0/B46*100)</f>
        <v/>
      </c>
      <c r="D46" s="19" t="n">
        <v>2632</v>
      </c>
      <c r="E46" s="18" t="n">
        <v>55.25042735</v>
      </c>
      <c r="F46" s="20" t="n">
        <v>1.34776778</v>
      </c>
      <c r="G46" s="18" t="n">
        <v>13.8074319</v>
      </c>
      <c r="H46" s="20" t="n">
        <v>0.9970553</v>
      </c>
      <c r="I46" s="18" t="n">
        <v>11.53338518</v>
      </c>
      <c r="J46" s="20" t="n">
        <v>0.9477935</v>
      </c>
      <c r="K46" s="18" t="s">
        <v>105</v>
      </c>
      <c r="L46" s="20" t="s">
        <v>105</v>
      </c>
      <c r="M46" s="18" t="n">
        <v>1.06780176</v>
      </c>
      <c r="N46" s="20" t="n">
        <v>0.23866307</v>
      </c>
      <c r="O46" s="18" t="n">
        <v>0</v>
      </c>
      <c r="P46" s="20" t="n">
        <v>0</v>
      </c>
      <c r="Q46" s="18" t="n">
        <v>0</v>
      </c>
      <c r="R46" s="20" t="n">
        <v>0</v>
      </c>
      <c r="S46" s="18" t="n">
        <v>18.34095382</v>
      </c>
      <c r="T46" s="20" t="n">
        <v>1.03873787</v>
      </c>
    </row>
    <row r="47" spans="1:20">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c r="S47" s="21" t="s">
        <v>107</v>
      </c>
      <c r="T47" s="22" t="s">
        <v>107</v>
      </c>
    </row>
    <row r="48" spans="1:20">
      <c r="A48" s="15" t="s">
        <v>147</v>
      </c>
      <c r="B48" s="17" t="n">
        <v>4682</v>
      </c>
      <c r="C48" s="18">
        <f>(3492.0/B48*100)</f>
        <v/>
      </c>
      <c r="D48" s="19" t="n">
        <v>1190</v>
      </c>
      <c r="E48" s="18" t="n">
        <v>28.85765204</v>
      </c>
      <c r="F48" s="20" t="n">
        <v>2.05687162</v>
      </c>
      <c r="G48" s="18" t="n">
        <v>22.43553423</v>
      </c>
      <c r="H48" s="20" t="n">
        <v>1.88901605</v>
      </c>
      <c r="I48" s="18" t="n">
        <v>42.85529769</v>
      </c>
      <c r="J48" s="20" t="n">
        <v>1.86580979</v>
      </c>
      <c r="K48" s="18" t="s">
        <v>105</v>
      </c>
      <c r="L48" s="20" t="s">
        <v>105</v>
      </c>
      <c r="M48" s="18" t="n">
        <v>0.06446440000000001</v>
      </c>
      <c r="N48" s="20" t="n">
        <v>0.06463480000000001</v>
      </c>
      <c r="O48" s="18" t="n">
        <v>0</v>
      </c>
      <c r="P48" s="20" t="n">
        <v>0</v>
      </c>
      <c r="Q48" s="18" t="n">
        <v>0</v>
      </c>
      <c r="R48" s="20" t="n">
        <v>0</v>
      </c>
      <c r="S48" s="18" t="n">
        <v>5.78705164</v>
      </c>
      <c r="T48" s="20" t="n">
        <v>0.8624468199999999</v>
      </c>
    </row>
    <row r="49" spans="1:20">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c r="S49" s="21" t="s">
        <v>107</v>
      </c>
      <c r="T49" s="22" t="s">
        <v>107</v>
      </c>
    </row>
    <row r="50" spans="1:20">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c r="S50" s="21" t="s">
        <v>107</v>
      </c>
      <c r="T50" s="22" t="s">
        <v>107</v>
      </c>
    </row>
    <row r="51" spans="1:20">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c r="S51" s="21" t="s">
        <v>107</v>
      </c>
      <c r="T51" s="22" t="s">
        <v>107</v>
      </c>
    </row>
    <row r="52" spans="1:20">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c r="S52" s="21" t="s">
        <v>107</v>
      </c>
      <c r="T52" s="22" t="s">
        <v>107</v>
      </c>
    </row>
    <row r="53" spans="1:20">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c r="S53" s="21" t="s">
        <v>107</v>
      </c>
      <c r="T53" s="22" t="s">
        <v>107</v>
      </c>
    </row>
    <row r="54" spans="1:20">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c r="S54" s="21" t="s">
        <v>107</v>
      </c>
      <c r="T54" s="22" t="s">
        <v>107</v>
      </c>
    </row>
    <row r="55" spans="1:20">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c r="S55" s="21" t="s">
        <v>107</v>
      </c>
      <c r="T55" s="22" t="s">
        <v>107</v>
      </c>
    </row>
    <row r="56" spans="1:20">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c r="S56" s="21" t="s">
        <v>107</v>
      </c>
      <c r="T56" s="22" t="s">
        <v>107</v>
      </c>
    </row>
    <row r="57" spans="1:20">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c r="S57" s="21" t="s">
        <v>107</v>
      </c>
      <c r="T57" s="22" t="s">
        <v>107</v>
      </c>
    </row>
    <row r="58" spans="1:20">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c r="S58" s="21" t="s">
        <v>107</v>
      </c>
      <c r="T58" s="22" t="s">
        <v>107</v>
      </c>
    </row>
    <row r="59" spans="1:20">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c r="S59" s="21" t="s">
        <v>107</v>
      </c>
      <c r="T59" s="22" t="s">
        <v>107</v>
      </c>
    </row>
    <row r="60" spans="1:20">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c r="S60" s="21" t="s">
        <v>107</v>
      </c>
      <c r="T60" s="22" t="s">
        <v>107</v>
      </c>
    </row>
    <row r="61" spans="1:20">
      <c r="A61" s="15" t="s">
        <v>160</v>
      </c>
      <c r="B61" s="17" t="n">
        <v>3201</v>
      </c>
      <c r="C61" s="18">
        <f>(2358.0/B61*100)</f>
        <v/>
      </c>
      <c r="D61" s="19" t="n">
        <v>843</v>
      </c>
      <c r="E61" s="18" t="n">
        <v>48.20335087</v>
      </c>
      <c r="F61" s="20" t="n">
        <v>2.24596449</v>
      </c>
      <c r="G61" s="18" t="n">
        <v>26.07641295</v>
      </c>
      <c r="H61" s="20" t="n">
        <v>1.67309158</v>
      </c>
      <c r="I61" s="18" t="n">
        <v>6.72064755</v>
      </c>
      <c r="J61" s="20" t="n">
        <v>1.06582486</v>
      </c>
      <c r="K61" s="18" t="s">
        <v>105</v>
      </c>
      <c r="L61" s="20" t="s">
        <v>105</v>
      </c>
      <c r="M61" s="18" t="n">
        <v>0.15213832</v>
      </c>
      <c r="N61" s="20" t="n">
        <v>0.15851715</v>
      </c>
      <c r="O61" s="18" t="n">
        <v>0.13899601</v>
      </c>
      <c r="P61" s="20" t="n">
        <v>0.12514946</v>
      </c>
      <c r="Q61" s="18" t="n">
        <v>0</v>
      </c>
      <c r="R61" s="20" t="n">
        <v>0</v>
      </c>
      <c r="S61" s="18" t="n">
        <v>18.70845429</v>
      </c>
      <c r="T61" s="20" t="n">
        <v>1.51886438</v>
      </c>
    </row>
    <row r="62" spans="1:20">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c r="S62" s="21" t="s">
        <v>107</v>
      </c>
      <c r="T62" s="22" t="s">
        <v>107</v>
      </c>
    </row>
    <row r="63" spans="1:20">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c r="S63" s="21" t="s">
        <v>107</v>
      </c>
      <c r="T63" s="22" t="s">
        <v>107</v>
      </c>
    </row>
    <row r="64" spans="1:20">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c r="S64" s="21" t="s">
        <v>107</v>
      </c>
      <c r="T64" s="22" t="s">
        <v>107</v>
      </c>
    </row>
    <row r="65" spans="1:20">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c r="S65" s="21" t="s">
        <v>107</v>
      </c>
      <c r="T65" s="22" t="s">
        <v>107</v>
      </c>
    </row>
    <row r="66" spans="1:20">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c r="S66" s="21" t="s">
        <v>107</v>
      </c>
      <c r="T66" s="22" t="s">
        <v>107</v>
      </c>
    </row>
    <row r="67" spans="1:20">
      <c r="A67" s="15" t="s">
        <v>166</v>
      </c>
      <c r="B67" s="17" t="n">
        <v>3460</v>
      </c>
      <c r="C67" s="18">
        <f>(2597.0/B67*100)</f>
        <v/>
      </c>
      <c r="D67" s="19" t="n">
        <v>863</v>
      </c>
      <c r="E67" s="18" t="n">
        <v>74.20733877000001</v>
      </c>
      <c r="F67" s="20" t="n">
        <v>1.3897296</v>
      </c>
      <c r="G67" s="18" t="n">
        <v>11.63418208</v>
      </c>
      <c r="H67" s="20" t="n">
        <v>1.04842358</v>
      </c>
      <c r="I67" s="18" t="n">
        <v>8.73452406</v>
      </c>
      <c r="J67" s="20" t="n">
        <v>0.9097685599999999</v>
      </c>
      <c r="K67" s="18" t="s">
        <v>105</v>
      </c>
      <c r="L67" s="20" t="s">
        <v>105</v>
      </c>
      <c r="M67" s="18" t="n">
        <v>0</v>
      </c>
      <c r="N67" s="20" t="n">
        <v>0</v>
      </c>
      <c r="O67" s="18" t="n">
        <v>0</v>
      </c>
      <c r="P67" s="20" t="n">
        <v>0</v>
      </c>
      <c r="Q67" s="18" t="n">
        <v>0</v>
      </c>
      <c r="R67" s="20" t="n">
        <v>0</v>
      </c>
      <c r="S67" s="18" t="n">
        <v>5.42395509</v>
      </c>
      <c r="T67" s="20" t="n">
        <v>0.67186462</v>
      </c>
    </row>
    <row r="68" spans="1:20">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c r="S68" s="21" t="s">
        <v>107</v>
      </c>
      <c r="T68" s="22" t="s">
        <v>107</v>
      </c>
    </row>
    <row r="69" spans="1:20">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c r="S69" s="21" t="s">
        <v>107</v>
      </c>
      <c r="T69" s="22" t="s">
        <v>107</v>
      </c>
    </row>
    <row r="70" spans="1:20">
      <c r="A70" s="15" t="s">
        <v>169</v>
      </c>
      <c r="B70" s="17" t="n">
        <v>3107</v>
      </c>
      <c r="C70" s="18">
        <f>(2323.0/B70*100)</f>
        <v/>
      </c>
      <c r="D70" s="19" t="n">
        <v>784</v>
      </c>
      <c r="E70" s="18" t="n">
        <v>57.52585199</v>
      </c>
      <c r="F70" s="20" t="n">
        <v>1.8691833</v>
      </c>
      <c r="G70" s="18" t="n">
        <v>17.62530302</v>
      </c>
      <c r="H70" s="20" t="n">
        <v>1.7829549</v>
      </c>
      <c r="I70" s="18" t="n">
        <v>16.43478377</v>
      </c>
      <c r="J70" s="20" t="n">
        <v>1.71152639</v>
      </c>
      <c r="K70" s="18" t="s">
        <v>105</v>
      </c>
      <c r="L70" s="20" t="s">
        <v>105</v>
      </c>
      <c r="M70" s="18" t="n">
        <v>0</v>
      </c>
      <c r="N70" s="20" t="n">
        <v>0</v>
      </c>
      <c r="O70" s="18" t="n">
        <v>0</v>
      </c>
      <c r="P70" s="20" t="n">
        <v>0</v>
      </c>
      <c r="Q70" s="18" t="n">
        <v>0</v>
      </c>
      <c r="R70" s="20" t="n">
        <v>0</v>
      </c>
      <c r="S70" s="18" t="n">
        <v>8.414061220000001</v>
      </c>
      <c r="T70" s="20" t="n">
        <v>1.32988625</v>
      </c>
    </row>
    <row r="71" spans="1:20">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c r="S71" s="21" t="s">
        <v>107</v>
      </c>
      <c r="T71" s="22" t="s">
        <v>107</v>
      </c>
    </row>
    <row r="72" spans="1:20">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c r="S72" s="21" t="s">
        <v>107</v>
      </c>
      <c r="T72" s="22" t="s">
        <v>107</v>
      </c>
    </row>
    <row r="73" spans="1:20">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c r="S73" s="21" t="s">
        <v>107</v>
      </c>
      <c r="T73" s="22" t="s">
        <v>107</v>
      </c>
    </row>
    <row r="74" spans="1:20">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c r="S74" s="21" t="s">
        <v>107</v>
      </c>
      <c r="T74" s="22" t="s">
        <v>107</v>
      </c>
    </row>
    <row r="75" spans="1:20">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c r="S75" s="21" t="s">
        <v>107</v>
      </c>
      <c r="T75" s="22" t="s">
        <v>107</v>
      </c>
    </row>
    <row r="76" spans="1:20">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c r="S76" s="21" t="s">
        <v>107</v>
      </c>
      <c r="T76" s="22" t="s">
        <v>107</v>
      </c>
    </row>
    <row r="77" spans="1:20">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c r="S77" s="21" t="s">
        <v>107</v>
      </c>
      <c r="T77" s="22" t="s">
        <v>107</v>
      </c>
    </row>
    <row r="78" spans="1:20">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c r="S78" s="21" t="s">
        <v>107</v>
      </c>
      <c r="T78" s="22" t="s">
        <v>107</v>
      </c>
    </row>
    <row customHeight="1" ht="25" r="79" spans="1:20">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c r="S79" s="21" t="s">
        <v>107</v>
      </c>
      <c r="T79" s="22" t="s">
        <v>107</v>
      </c>
    </row>
    <row r="80" spans="1:20">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c r="S80" s="21" t="s">
        <v>107</v>
      </c>
      <c r="T80" s="22" t="s">
        <v>107</v>
      </c>
    </row>
    <row r="81" spans="1:20">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c r="S81" s="21" t="s">
        <v>107</v>
      </c>
      <c r="T81" s="22" t="s">
        <v>107</v>
      </c>
    </row>
    <row r="82" spans="1:20">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c r="S82" s="24" t="s">
        <v>181</v>
      </c>
      <c r="T82" s="24" t="s">
        <v>181</v>
      </c>
    </row>
    <row r="83" spans="1:20">
      <c r="A83" s="3" t="s">
        <v>182</v>
      </c>
    </row>
    <row r="84" spans="1:20">
      <c r="A84" s="25" t="s">
        <v>183</v>
      </c>
    </row>
    <row r="85" spans="1:20">
      <c r="A85" s="25" t="s">
        <v>184</v>
      </c>
    </row>
    <row customHeight="1" ht="30" r="86" spans="1:20">
      <c r="A86" s="25" t="s">
        <v>185</v>
      </c>
    </row>
    <row customHeight="1" ht="30" r="87" spans="1:20">
      <c r="A87" s="25" t="s">
        <v>181</v>
      </c>
    </row>
    <row customHeight="1" ht="30" r="88" spans="1:20">
      <c r="A88" s="25" t="s">
        <v>186</v>
      </c>
    </row>
    <row customHeight="1" ht="30" r="89" spans="1:20">
      <c r="A89" s="25" t="s">
        <v>187</v>
      </c>
    </row>
    <row customHeight="1" ht="30" r="90" spans="1:20">
      <c r="A90" s="25" t="s">
        <v>188</v>
      </c>
    </row>
    <row customHeight="1" ht="30" r="91" spans="1:20">
      <c r="A91" s="25" t="s">
        <v>189</v>
      </c>
    </row>
    <row customHeight="1" ht="30" r="92" spans="1:20">
      <c r="A92" s="25" t="s">
        <v>190</v>
      </c>
    </row>
    <row customHeight="1" ht="30" r="93" spans="1:20">
      <c r="A93" s="25" t="s">
        <v>191</v>
      </c>
    </row>
    <row customHeight="1" ht="30" r="94" spans="1:20">
      <c r="A94" s="25" t="s">
        <v>192</v>
      </c>
    </row>
    <row customHeight="1" ht="30" r="95" spans="1:20">
      <c r="A95" s="25" t="s">
        <v>193</v>
      </c>
    </row>
    <row customHeight="1" ht="30" r="96" spans="1:20">
      <c r="A96" s="25" t="s">
        <v>194</v>
      </c>
    </row>
    <row customHeight="1" ht="30" r="97" spans="1:20">
      <c r="A97" s="25" t="s">
        <v>195</v>
      </c>
    </row>
  </sheetData>
  <mergeCells count="24">
    <mergeCell ref="E4:F4"/>
    <mergeCell ref="G4:H4"/>
    <mergeCell ref="I4:J4"/>
    <mergeCell ref="K4:L4"/>
    <mergeCell ref="M4:N4"/>
    <mergeCell ref="O4:P4"/>
    <mergeCell ref="Q4:R4"/>
    <mergeCell ref="S4:T4"/>
    <mergeCell ref="A1:T1"/>
    <mergeCell ref="A2:T2"/>
    <mergeCell ref="A84:T84"/>
    <mergeCell ref="A85:T85"/>
    <mergeCell ref="A86:T86"/>
    <mergeCell ref="A87:T87"/>
    <mergeCell ref="A88:T88"/>
    <mergeCell ref="A89:T89"/>
    <mergeCell ref="A90:T90"/>
    <mergeCell ref="A91:T91"/>
    <mergeCell ref="A92:T92"/>
    <mergeCell ref="A93:T93"/>
    <mergeCell ref="A94:T94"/>
    <mergeCell ref="A95:T95"/>
    <mergeCell ref="A96:T96"/>
    <mergeCell ref="A97:T97"/>
  </mergeCells>
  <pageMargins bottom="1" footer="0.5" header="0.5" left="0.75" right="0.75" top="1"/>
</worksheet>
</file>

<file path=xl/worksheets/sheet7.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205</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7163</v>
      </c>
      <c r="C7" s="18">
        <f>(311.0/B7*100)</f>
        <v/>
      </c>
      <c r="D7" s="19" t="n">
        <v>6852</v>
      </c>
      <c r="E7" s="18" t="n">
        <v>40.60052689</v>
      </c>
      <c r="F7" s="20" t="n">
        <v>0.85043803</v>
      </c>
      <c r="G7" s="18" t="n">
        <v>57.02765583</v>
      </c>
      <c r="H7" s="20" t="n">
        <v>0.87516013</v>
      </c>
      <c r="I7" s="18" t="s">
        <v>105</v>
      </c>
      <c r="J7" s="20" t="s">
        <v>105</v>
      </c>
      <c r="K7" s="18" t="n">
        <v>0.36744854</v>
      </c>
      <c r="L7" s="20" t="n">
        <v>0.08877380999999999</v>
      </c>
      <c r="M7" s="18" t="n">
        <v>0</v>
      </c>
      <c r="N7" s="20" t="n">
        <v>0</v>
      </c>
      <c r="O7" s="18" t="n">
        <v>0</v>
      </c>
      <c r="P7" s="20" t="n">
        <v>0</v>
      </c>
      <c r="Q7" s="18" t="n">
        <v>2.00436873</v>
      </c>
      <c r="R7" s="20" t="n">
        <v>0.23563154</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2795</v>
      </c>
      <c r="C9" s="18">
        <f>(2144.0/B9*100)</f>
        <v/>
      </c>
      <c r="D9" s="19" t="n">
        <v>651</v>
      </c>
      <c r="E9" s="18" t="n">
        <v>25.31777366</v>
      </c>
      <c r="F9" s="20" t="n">
        <v>1.68860869</v>
      </c>
      <c r="G9" s="18" t="n">
        <v>74.11992126</v>
      </c>
      <c r="H9" s="20" t="n">
        <v>1.72235324</v>
      </c>
      <c r="I9" s="18" t="s">
        <v>105</v>
      </c>
      <c r="J9" s="20" t="s">
        <v>105</v>
      </c>
      <c r="K9" s="18" t="n">
        <v>0</v>
      </c>
      <c r="L9" s="20" t="n">
        <v>0</v>
      </c>
      <c r="M9" s="18" t="n">
        <v>0</v>
      </c>
      <c r="N9" s="20" t="n">
        <v>0</v>
      </c>
      <c r="O9" s="18" t="n">
        <v>0</v>
      </c>
      <c r="P9" s="20" t="n">
        <v>0</v>
      </c>
      <c r="Q9" s="18" t="n">
        <v>0.56230508</v>
      </c>
      <c r="R9" s="20" t="n">
        <v>0.27494858</v>
      </c>
    </row>
    <row r="10" spans="1:18">
      <c r="A10" s="15" t="s">
        <v>109</v>
      </c>
      <c r="B10" s="17" t="n">
        <v>6602</v>
      </c>
      <c r="C10" s="18">
        <f>(5013.0/B10*100)</f>
        <v/>
      </c>
      <c r="D10" s="19" t="n">
        <v>1589</v>
      </c>
      <c r="E10" s="18" t="n">
        <v>33.09268432</v>
      </c>
      <c r="F10" s="20" t="n">
        <v>1.62576775</v>
      </c>
      <c r="G10" s="18" t="n">
        <v>65.86969087</v>
      </c>
      <c r="H10" s="20" t="n">
        <v>1.70979254</v>
      </c>
      <c r="I10" s="18" t="s">
        <v>105</v>
      </c>
      <c r="J10" s="20" t="s">
        <v>105</v>
      </c>
      <c r="K10" s="18" t="n">
        <v>0.0533077</v>
      </c>
      <c r="L10" s="20" t="n">
        <v>0.03400539</v>
      </c>
      <c r="M10" s="18" t="n">
        <v>0</v>
      </c>
      <c r="N10" s="20" t="n">
        <v>0</v>
      </c>
      <c r="O10" s="18" t="n">
        <v>0</v>
      </c>
      <c r="P10" s="20" t="n">
        <v>0</v>
      </c>
      <c r="Q10" s="18" t="n">
        <v>0.98431711</v>
      </c>
      <c r="R10" s="20" t="n">
        <v>0.37706822</v>
      </c>
    </row>
    <row r="11" spans="1:18">
      <c r="A11" s="15" t="s">
        <v>110</v>
      </c>
      <c r="B11" s="17" t="n">
        <v>3500</v>
      </c>
      <c r="C11" s="18">
        <f>(2607.0/B11*100)</f>
        <v/>
      </c>
      <c r="D11" s="19" t="n">
        <v>893</v>
      </c>
      <c r="E11" s="18" t="n">
        <v>55.02562242</v>
      </c>
      <c r="F11" s="20" t="n">
        <v>2.19836969</v>
      </c>
      <c r="G11" s="18" t="n">
        <v>42.31398239</v>
      </c>
      <c r="H11" s="20" t="n">
        <v>2.1644198</v>
      </c>
      <c r="I11" s="18" t="s">
        <v>105</v>
      </c>
      <c r="J11" s="20" t="s">
        <v>105</v>
      </c>
      <c r="K11" s="18" t="n">
        <v>0.34579061</v>
      </c>
      <c r="L11" s="20" t="n">
        <v>0.23419106</v>
      </c>
      <c r="M11" s="18" t="n">
        <v>0</v>
      </c>
      <c r="N11" s="20" t="n">
        <v>0</v>
      </c>
      <c r="O11" s="18" t="n">
        <v>0</v>
      </c>
      <c r="P11" s="20" t="n">
        <v>0</v>
      </c>
      <c r="Q11" s="18" t="n">
        <v>2.31460459</v>
      </c>
      <c r="R11" s="20" t="n">
        <v>0.57236544</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5792</v>
      </c>
      <c r="C23" s="18">
        <f>(4449.0/B23*100)</f>
        <v/>
      </c>
      <c r="D23" s="19" t="n">
        <v>1343</v>
      </c>
      <c r="E23" s="18" t="n">
        <v>37.48061332</v>
      </c>
      <c r="F23" s="20" t="n">
        <v>2.02925774</v>
      </c>
      <c r="G23" s="18" t="n">
        <v>61.21410524</v>
      </c>
      <c r="H23" s="20" t="n">
        <v>2.00856498</v>
      </c>
      <c r="I23" s="18" t="s">
        <v>105</v>
      </c>
      <c r="J23" s="20" t="s">
        <v>105</v>
      </c>
      <c r="K23" s="18" t="n">
        <v>0.26179211</v>
      </c>
      <c r="L23" s="20" t="n">
        <v>0.16987928</v>
      </c>
      <c r="M23" s="18" t="n">
        <v>0</v>
      </c>
      <c r="N23" s="20" t="n">
        <v>0</v>
      </c>
      <c r="O23" s="18" t="n">
        <v>0</v>
      </c>
      <c r="P23" s="20" t="n">
        <v>0</v>
      </c>
      <c r="Q23" s="18" t="n">
        <v>1.04348933</v>
      </c>
      <c r="R23" s="20" t="n">
        <v>0.41002728</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2700</v>
      </c>
      <c r="C29" s="18">
        <f>(2020.0/B29*100)</f>
        <v/>
      </c>
      <c r="D29" s="19" t="n">
        <v>680</v>
      </c>
      <c r="E29" s="18" t="n">
        <v>27.17149797</v>
      </c>
      <c r="F29" s="20" t="n">
        <v>1.46363296</v>
      </c>
      <c r="G29" s="18" t="n">
        <v>71.76784369000001</v>
      </c>
      <c r="H29" s="20" t="n">
        <v>1.42010611</v>
      </c>
      <c r="I29" s="18" t="s">
        <v>105</v>
      </c>
      <c r="J29" s="20" t="s">
        <v>105</v>
      </c>
      <c r="K29" s="18" t="n">
        <v>0.12826646</v>
      </c>
      <c r="L29" s="20" t="n">
        <v>0.13672156</v>
      </c>
      <c r="M29" s="18" t="n">
        <v>0</v>
      </c>
      <c r="N29" s="20" t="n">
        <v>0</v>
      </c>
      <c r="O29" s="18" t="n">
        <v>0</v>
      </c>
      <c r="P29" s="20" t="n">
        <v>0</v>
      </c>
      <c r="Q29" s="18" t="n">
        <v>0.93239188</v>
      </c>
      <c r="R29" s="20" t="n">
        <v>0.36510526</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2209</v>
      </c>
      <c r="C32" s="18">
        <f>(1356.0/B32*100)</f>
        <v/>
      </c>
      <c r="D32" s="19" t="n">
        <v>853</v>
      </c>
      <c r="E32" s="18" t="n">
        <v>32.99840086</v>
      </c>
      <c r="F32" s="20" t="n">
        <v>1.70451186</v>
      </c>
      <c r="G32" s="18" t="n">
        <v>66.44098498</v>
      </c>
      <c r="H32" s="20" t="n">
        <v>1.73519099</v>
      </c>
      <c r="I32" s="18" t="s">
        <v>105</v>
      </c>
      <c r="J32" s="20" t="s">
        <v>105</v>
      </c>
      <c r="K32" s="18" t="n">
        <v>0.24469358</v>
      </c>
      <c r="L32" s="20" t="n">
        <v>0.18098644</v>
      </c>
      <c r="M32" s="18" t="n">
        <v>0</v>
      </c>
      <c r="N32" s="20" t="n">
        <v>0</v>
      </c>
      <c r="O32" s="18" t="n">
        <v>0</v>
      </c>
      <c r="P32" s="20" t="n">
        <v>0</v>
      </c>
      <c r="Q32" s="18" t="n">
        <v>0.31592057</v>
      </c>
      <c r="R32" s="20" t="n">
        <v>0.18278738</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3035</v>
      </c>
      <c r="C34" s="18">
        <f>(2301.0/B34*100)</f>
        <v/>
      </c>
      <c r="D34" s="19" t="n">
        <v>734</v>
      </c>
      <c r="E34" s="18" t="n">
        <v>42.05672689</v>
      </c>
      <c r="F34" s="20" t="n">
        <v>2.08569577</v>
      </c>
      <c r="G34" s="18" t="n">
        <v>55.24864297</v>
      </c>
      <c r="H34" s="20" t="n">
        <v>2.18865957</v>
      </c>
      <c r="I34" s="18" t="s">
        <v>105</v>
      </c>
      <c r="J34" s="20" t="s">
        <v>105</v>
      </c>
      <c r="K34" s="18" t="n">
        <v>0.47838757</v>
      </c>
      <c r="L34" s="20" t="n">
        <v>0.29710161</v>
      </c>
      <c r="M34" s="18" t="n">
        <v>0</v>
      </c>
      <c r="N34" s="20" t="n">
        <v>0</v>
      </c>
      <c r="O34" s="18" t="n">
        <v>0</v>
      </c>
      <c r="P34" s="20" t="n">
        <v>0</v>
      </c>
      <c r="Q34" s="18" t="n">
        <v>2.21624258</v>
      </c>
      <c r="R34" s="20" t="n">
        <v>0.48146774</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3404</v>
      </c>
      <c r="C36" s="18">
        <f>(2531.0/B36*100)</f>
        <v/>
      </c>
      <c r="D36" s="19" t="n">
        <v>873</v>
      </c>
      <c r="E36" s="18" t="n">
        <v>40.93336793</v>
      </c>
      <c r="F36" s="20" t="n">
        <v>1.8995442</v>
      </c>
      <c r="G36" s="18" t="n">
        <v>57.30988579</v>
      </c>
      <c r="H36" s="20" t="n">
        <v>1.92200417</v>
      </c>
      <c r="I36" s="18" t="s">
        <v>105</v>
      </c>
      <c r="J36" s="20" t="s">
        <v>105</v>
      </c>
      <c r="K36" s="18" t="n">
        <v>0.20482263</v>
      </c>
      <c r="L36" s="20" t="n">
        <v>0.15657295</v>
      </c>
      <c r="M36" s="18" t="n">
        <v>0</v>
      </c>
      <c r="N36" s="20" t="n">
        <v>0</v>
      </c>
      <c r="O36" s="18" t="n">
        <v>0</v>
      </c>
      <c r="P36" s="20" t="n">
        <v>0</v>
      </c>
      <c r="Q36" s="18" t="n">
        <v>1.55192366</v>
      </c>
      <c r="R36" s="20" t="n">
        <v>0.45263201</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2854</v>
      </c>
      <c r="C41" s="18">
        <f>(2132.0/B41*100)</f>
        <v/>
      </c>
      <c r="D41" s="19" t="n">
        <v>722</v>
      </c>
      <c r="E41" s="18" t="n">
        <v>45.80873439</v>
      </c>
      <c r="F41" s="20" t="n">
        <v>1.91863032</v>
      </c>
      <c r="G41" s="18" t="n">
        <v>53.49098748</v>
      </c>
      <c r="H41" s="20" t="n">
        <v>1.86716283</v>
      </c>
      <c r="I41" s="18" t="s">
        <v>105</v>
      </c>
      <c r="J41" s="20" t="s">
        <v>105</v>
      </c>
      <c r="K41" s="18" t="n">
        <v>0</v>
      </c>
      <c r="L41" s="20" t="n">
        <v>0</v>
      </c>
      <c r="M41" s="18" t="n">
        <v>0</v>
      </c>
      <c r="N41" s="20" t="n">
        <v>0</v>
      </c>
      <c r="O41" s="18" t="n">
        <v>0</v>
      </c>
      <c r="P41" s="20" t="n">
        <v>0</v>
      </c>
      <c r="Q41" s="18" t="n">
        <v>0.70027812</v>
      </c>
      <c r="R41" s="20" t="n">
        <v>0.5092898</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12073</v>
      </c>
      <c r="C46" s="18">
        <f>(9426.0/B46*100)</f>
        <v/>
      </c>
      <c r="D46" s="19" t="n">
        <v>2647</v>
      </c>
      <c r="E46" s="18" t="n">
        <v>56.6086096</v>
      </c>
      <c r="F46" s="20" t="n">
        <v>1.25235468</v>
      </c>
      <c r="G46" s="18" t="n">
        <v>37.19065439</v>
      </c>
      <c r="H46" s="20" t="n">
        <v>1.23527945</v>
      </c>
      <c r="I46" s="18" t="s">
        <v>105</v>
      </c>
      <c r="J46" s="20" t="s">
        <v>105</v>
      </c>
      <c r="K46" s="18" t="n">
        <v>1.37663459</v>
      </c>
      <c r="L46" s="20" t="n">
        <v>0.27927225</v>
      </c>
      <c r="M46" s="18" t="n">
        <v>0</v>
      </c>
      <c r="N46" s="20" t="n">
        <v>0</v>
      </c>
      <c r="O46" s="18" t="n">
        <v>0</v>
      </c>
      <c r="P46" s="20" t="n">
        <v>0</v>
      </c>
      <c r="Q46" s="18" t="n">
        <v>4.82410142</v>
      </c>
      <c r="R46" s="20" t="n">
        <v>0.7080294</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4682</v>
      </c>
      <c r="C48" s="18">
        <f>(3492.0/B48*100)</f>
        <v/>
      </c>
      <c r="D48" s="19" t="n">
        <v>1190</v>
      </c>
      <c r="E48" s="18" t="n">
        <v>23.31235027</v>
      </c>
      <c r="F48" s="20" t="n">
        <v>1.76608867</v>
      </c>
      <c r="G48" s="18" t="n">
        <v>76.62313288999999</v>
      </c>
      <c r="H48" s="20" t="n">
        <v>1.76331878</v>
      </c>
      <c r="I48" s="18" t="s">
        <v>105</v>
      </c>
      <c r="J48" s="20" t="s">
        <v>105</v>
      </c>
      <c r="K48" s="18" t="n">
        <v>0.06451683</v>
      </c>
      <c r="L48" s="20" t="n">
        <v>0.06468586</v>
      </c>
      <c r="M48" s="18" t="n">
        <v>0</v>
      </c>
      <c r="N48" s="20" t="n">
        <v>0</v>
      </c>
      <c r="O48" s="18" t="n">
        <v>0</v>
      </c>
      <c r="P48" s="20" t="n">
        <v>0</v>
      </c>
      <c r="Q48" s="18" t="n">
        <v>0</v>
      </c>
      <c r="R48" s="20" t="n">
        <v>0</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3201</v>
      </c>
      <c r="C61" s="18">
        <f>(2357.0/B61*100)</f>
        <v/>
      </c>
      <c r="D61" s="19" t="n">
        <v>844</v>
      </c>
      <c r="E61" s="18" t="n">
        <v>45.96865129</v>
      </c>
      <c r="F61" s="20" t="n">
        <v>1.91857705</v>
      </c>
      <c r="G61" s="18" t="n">
        <v>50.87004747</v>
      </c>
      <c r="H61" s="20" t="n">
        <v>1.82593812</v>
      </c>
      <c r="I61" s="18" t="s">
        <v>105</v>
      </c>
      <c r="J61" s="20" t="s">
        <v>105</v>
      </c>
      <c r="K61" s="18" t="n">
        <v>0.17877593</v>
      </c>
      <c r="L61" s="20" t="n">
        <v>0.16098014</v>
      </c>
      <c r="M61" s="18" t="n">
        <v>0</v>
      </c>
      <c r="N61" s="20" t="n">
        <v>0</v>
      </c>
      <c r="O61" s="18" t="n">
        <v>0</v>
      </c>
      <c r="P61" s="20" t="n">
        <v>0</v>
      </c>
      <c r="Q61" s="18" t="n">
        <v>2.98252531</v>
      </c>
      <c r="R61" s="20" t="n">
        <v>0.76778202</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3460</v>
      </c>
      <c r="C67" s="18">
        <f>(2598.0/B67*100)</f>
        <v/>
      </c>
      <c r="D67" s="19" t="n">
        <v>862</v>
      </c>
      <c r="E67" s="18" t="n">
        <v>64.73668119</v>
      </c>
      <c r="F67" s="20" t="n">
        <v>1.79803764</v>
      </c>
      <c r="G67" s="18" t="n">
        <v>34.87943647</v>
      </c>
      <c r="H67" s="20" t="n">
        <v>1.81306069</v>
      </c>
      <c r="I67" s="18" t="s">
        <v>105</v>
      </c>
      <c r="J67" s="20" t="s">
        <v>105</v>
      </c>
      <c r="K67" s="18" t="n">
        <v>0</v>
      </c>
      <c r="L67" s="20" t="n">
        <v>0</v>
      </c>
      <c r="M67" s="18" t="n">
        <v>0</v>
      </c>
      <c r="N67" s="20" t="n">
        <v>0</v>
      </c>
      <c r="O67" s="18" t="n">
        <v>0</v>
      </c>
      <c r="P67" s="20" t="n">
        <v>0</v>
      </c>
      <c r="Q67" s="18" t="n">
        <v>0.38388234</v>
      </c>
      <c r="R67" s="20" t="n">
        <v>0.22436461</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3107</v>
      </c>
      <c r="C70" s="18">
        <f>(2322.0/B70*100)</f>
        <v/>
      </c>
      <c r="D70" s="19" t="n">
        <v>785</v>
      </c>
      <c r="E70" s="18" t="n">
        <v>38.97410525</v>
      </c>
      <c r="F70" s="20" t="n">
        <v>1.99427591</v>
      </c>
      <c r="G70" s="18" t="n">
        <v>60.00995287</v>
      </c>
      <c r="H70" s="20" t="n">
        <v>2.10656771</v>
      </c>
      <c r="I70" s="18" t="s">
        <v>105</v>
      </c>
      <c r="J70" s="20" t="s">
        <v>105</v>
      </c>
      <c r="K70" s="18" t="n">
        <v>0.23204311</v>
      </c>
      <c r="L70" s="20" t="n">
        <v>0.1652535</v>
      </c>
      <c r="M70" s="18" t="n">
        <v>0</v>
      </c>
      <c r="N70" s="20" t="n">
        <v>0</v>
      </c>
      <c r="O70" s="18" t="n">
        <v>0</v>
      </c>
      <c r="P70" s="20" t="n">
        <v>0</v>
      </c>
      <c r="Q70" s="18" t="n">
        <v>0.78389877</v>
      </c>
      <c r="R70" s="20" t="n">
        <v>0.38845317</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8.xml><?xml version="1.0" encoding="utf-8"?>
<worksheet xmlns="http://schemas.openxmlformats.org/spreadsheetml/2006/main">
  <sheetPr>
    <outlinePr summaryBelow="1" summaryRight="1"/>
    <pageSetUpPr/>
  </sheetPr>
  <dimension ref="A1:T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0">
      <c r="A1" s="4" t="s">
        <v>87</v>
      </c>
    </row>
    <row r="2" spans="1:20">
      <c r="A2" s="5" t="s">
        <v>206</v>
      </c>
    </row>
    <row customHeight="1" ht="30" r="4" spans="1:20">
      <c r="A4" s="6" t="n"/>
      <c r="B4" s="7" t="s">
        <v>89</v>
      </c>
      <c r="C4" s="7" t="s">
        <v>90</v>
      </c>
      <c r="D4" s="8" t="s">
        <v>89</v>
      </c>
      <c r="E4" s="9" t="s">
        <v>199</v>
      </c>
      <c r="F4" s="10" t="n"/>
      <c r="G4" s="9" t="s">
        <v>207</v>
      </c>
      <c r="H4" s="10" t="n"/>
      <c r="I4" s="9" t="s">
        <v>208</v>
      </c>
      <c r="J4" s="10" t="n"/>
      <c r="K4" s="9" t="s">
        <v>93</v>
      </c>
      <c r="L4" s="10" t="n"/>
      <c r="M4" s="9" t="s">
        <v>94</v>
      </c>
      <c r="N4" s="10" t="n"/>
      <c r="O4" s="9" t="s">
        <v>95</v>
      </c>
      <c r="P4" s="10" t="n"/>
      <c r="Q4" s="9" t="s">
        <v>96</v>
      </c>
      <c r="R4" s="10" t="n"/>
      <c r="S4" s="9" t="s">
        <v>97</v>
      </c>
      <c r="T4" s="10" t="n"/>
    </row>
    <row r="5" spans="1:20">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c r="S5" s="12" t="s">
        <v>101</v>
      </c>
      <c r="T5" s="11" t="s">
        <v>102</v>
      </c>
    </row>
    <row r="6" spans="1:20">
      <c r="A6" s="13" t="s">
        <v>103</v>
      </c>
      <c r="B6" s="14" t="n"/>
      <c r="C6" s="14" t="n"/>
      <c r="D6" s="15" t="n"/>
      <c r="E6" s="14" t="n"/>
      <c r="F6" s="15" t="n"/>
      <c r="G6" s="14" t="n"/>
      <c r="H6" s="15" t="n"/>
      <c r="I6" s="14" t="n"/>
      <c r="J6" s="15" t="n"/>
      <c r="K6" s="14" t="n"/>
      <c r="L6" s="15" t="n"/>
      <c r="M6" s="14" t="n"/>
      <c r="N6" s="15" t="n"/>
      <c r="O6" s="14" t="n"/>
      <c r="P6" s="15" t="n"/>
      <c r="Q6" s="14" t="n"/>
      <c r="R6" s="15" t="n"/>
      <c r="S6" s="14" t="n"/>
      <c r="T6" s="16" t="n"/>
    </row>
    <row r="7" spans="1:20">
      <c r="A7" s="15" t="s">
        <v>104</v>
      </c>
      <c r="B7" s="17" t="n">
        <v>7163</v>
      </c>
      <c r="C7" s="18">
        <f>(325.0/B7*100)</f>
        <v/>
      </c>
      <c r="D7" s="19" t="n">
        <v>6838</v>
      </c>
      <c r="E7" s="18" t="n">
        <v>29.77807472</v>
      </c>
      <c r="F7" s="20" t="n">
        <v>0.65019814</v>
      </c>
      <c r="G7" s="18" t="n">
        <v>17.12736675</v>
      </c>
      <c r="H7" s="20" t="n">
        <v>0.53964788</v>
      </c>
      <c r="I7" s="18" t="n">
        <v>50.23827565</v>
      </c>
      <c r="J7" s="20" t="n">
        <v>0.83398747</v>
      </c>
      <c r="K7" s="18" t="s">
        <v>105</v>
      </c>
      <c r="L7" s="20" t="s">
        <v>105</v>
      </c>
      <c r="M7" s="18" t="n">
        <v>0.39190136</v>
      </c>
      <c r="N7" s="20" t="n">
        <v>0.09934915</v>
      </c>
      <c r="O7" s="18" t="n">
        <v>0.009620770000000001</v>
      </c>
      <c r="P7" s="20" t="n">
        <v>0.00268893</v>
      </c>
      <c r="Q7" s="18" t="n">
        <v>0</v>
      </c>
      <c r="R7" s="20" t="n">
        <v>0</v>
      </c>
      <c r="S7" s="18" t="n">
        <v>2.45476075</v>
      </c>
      <c r="T7" s="20" t="n">
        <v>0.23688303</v>
      </c>
    </row>
    <row r="8" spans="1:20">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c r="S8" s="21" t="s">
        <v>107</v>
      </c>
      <c r="T8" s="22" t="s">
        <v>107</v>
      </c>
    </row>
    <row r="9" spans="1:20">
      <c r="A9" s="15" t="s">
        <v>108</v>
      </c>
      <c r="B9" s="17" t="n">
        <v>2795</v>
      </c>
      <c r="C9" s="18">
        <f>(2145.0/B9*100)</f>
        <v/>
      </c>
      <c r="D9" s="19" t="n">
        <v>650</v>
      </c>
      <c r="E9" s="18" t="n">
        <v>26.2527217</v>
      </c>
      <c r="F9" s="20" t="n">
        <v>1.76177807</v>
      </c>
      <c r="G9" s="18" t="n">
        <v>17.62186825</v>
      </c>
      <c r="H9" s="20" t="n">
        <v>1.38297402</v>
      </c>
      <c r="I9" s="18" t="n">
        <v>54.89628435</v>
      </c>
      <c r="J9" s="20" t="n">
        <v>1.78884804</v>
      </c>
      <c r="K9" s="18" t="s">
        <v>105</v>
      </c>
      <c r="L9" s="20" t="s">
        <v>105</v>
      </c>
      <c r="M9" s="18" t="n">
        <v>0</v>
      </c>
      <c r="N9" s="20" t="n">
        <v>0</v>
      </c>
      <c r="O9" s="18" t="n">
        <v>0.7870767</v>
      </c>
      <c r="P9" s="20" t="n">
        <v>0.30364863</v>
      </c>
      <c r="Q9" s="18" t="n">
        <v>0</v>
      </c>
      <c r="R9" s="20" t="n">
        <v>0</v>
      </c>
      <c r="S9" s="18" t="n">
        <v>0.442049</v>
      </c>
      <c r="T9" s="20" t="n">
        <v>0.21620439</v>
      </c>
    </row>
    <row r="10" spans="1:20">
      <c r="A10" s="15" t="s">
        <v>109</v>
      </c>
      <c r="B10" s="17" t="n">
        <v>6602</v>
      </c>
      <c r="C10" s="18">
        <f>(5012.0/B10*100)</f>
        <v/>
      </c>
      <c r="D10" s="19" t="n">
        <v>1590</v>
      </c>
      <c r="E10" s="18" t="n">
        <v>22.59314833</v>
      </c>
      <c r="F10" s="20" t="n">
        <v>1.61216326</v>
      </c>
      <c r="G10" s="18" t="n">
        <v>14.97293796</v>
      </c>
      <c r="H10" s="20" t="n">
        <v>1.23451208</v>
      </c>
      <c r="I10" s="18" t="n">
        <v>61.29103083</v>
      </c>
      <c r="J10" s="20" t="n">
        <v>1.77625512</v>
      </c>
      <c r="K10" s="18" t="s">
        <v>105</v>
      </c>
      <c r="L10" s="20" t="s">
        <v>105</v>
      </c>
      <c r="M10" s="18" t="n">
        <v>0.05336522</v>
      </c>
      <c r="N10" s="20" t="n">
        <v>0.03403918</v>
      </c>
      <c r="O10" s="18" t="n">
        <v>0.200774</v>
      </c>
      <c r="P10" s="20" t="n">
        <v>0.18642766</v>
      </c>
      <c r="Q10" s="18" t="n">
        <v>0</v>
      </c>
      <c r="R10" s="20" t="n">
        <v>0</v>
      </c>
      <c r="S10" s="18" t="n">
        <v>0.88874365</v>
      </c>
      <c r="T10" s="20" t="n">
        <v>0.32909255</v>
      </c>
    </row>
    <row r="11" spans="1:20">
      <c r="A11" s="15" t="s">
        <v>110</v>
      </c>
      <c r="B11" s="17" t="n">
        <v>3500</v>
      </c>
      <c r="C11" s="18">
        <f>(2608.0/B11*100)</f>
        <v/>
      </c>
      <c r="D11" s="19" t="n">
        <v>892</v>
      </c>
      <c r="E11" s="18" t="n">
        <v>42.52354</v>
      </c>
      <c r="F11" s="20" t="n">
        <v>2.05190694</v>
      </c>
      <c r="G11" s="18" t="n">
        <v>11.84919237</v>
      </c>
      <c r="H11" s="20" t="n">
        <v>1.18121767</v>
      </c>
      <c r="I11" s="18" t="n">
        <v>41.0080628</v>
      </c>
      <c r="J11" s="20" t="n">
        <v>1.95946379</v>
      </c>
      <c r="K11" s="18" t="s">
        <v>105</v>
      </c>
      <c r="L11" s="20" t="s">
        <v>105</v>
      </c>
      <c r="M11" s="18" t="n">
        <v>0.34590632</v>
      </c>
      <c r="N11" s="20" t="n">
        <v>0.23426987</v>
      </c>
      <c r="O11" s="18" t="n">
        <v>0.08246024</v>
      </c>
      <c r="P11" s="20" t="n">
        <v>0.06334798</v>
      </c>
      <c r="Q11" s="18" t="n">
        <v>0</v>
      </c>
      <c r="R11" s="20" t="n">
        <v>0</v>
      </c>
      <c r="S11" s="18" t="n">
        <v>4.19083827</v>
      </c>
      <c r="T11" s="20" t="n">
        <v>0.8329543700000001</v>
      </c>
    </row>
    <row r="12" spans="1:20">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c r="S12" s="21" t="s">
        <v>107</v>
      </c>
      <c r="T12" s="22" t="s">
        <v>107</v>
      </c>
    </row>
    <row r="13" spans="1:20">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c r="S13" s="21" t="s">
        <v>107</v>
      </c>
      <c r="T13" s="22" t="s">
        <v>107</v>
      </c>
    </row>
    <row r="14" spans="1:20">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c r="S14" s="21" t="s">
        <v>107</v>
      </c>
      <c r="T14" s="22" t="s">
        <v>107</v>
      </c>
    </row>
    <row r="15" spans="1:20">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c r="S15" s="21" t="s">
        <v>107</v>
      </c>
      <c r="T15" s="22" t="s">
        <v>107</v>
      </c>
    </row>
    <row r="16" spans="1:20">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c r="S16" s="21" t="s">
        <v>107</v>
      </c>
      <c r="T16" s="22" t="s">
        <v>107</v>
      </c>
    </row>
    <row r="17" spans="1:20">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c r="S17" s="21" t="s">
        <v>107</v>
      </c>
      <c r="T17" s="22" t="s">
        <v>107</v>
      </c>
    </row>
    <row r="18" spans="1:20">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c r="S18" s="21" t="s">
        <v>107</v>
      </c>
      <c r="T18" s="22" t="s">
        <v>107</v>
      </c>
    </row>
    <row r="19" spans="1:20">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c r="S19" s="21" t="s">
        <v>107</v>
      </c>
      <c r="T19" s="22" t="s">
        <v>107</v>
      </c>
    </row>
    <row r="20" spans="1:20">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c r="S20" s="21" t="s">
        <v>107</v>
      </c>
      <c r="T20" s="22" t="s">
        <v>107</v>
      </c>
    </row>
    <row r="21" spans="1:20">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c r="S21" s="21" t="s">
        <v>107</v>
      </c>
      <c r="T21" s="22" t="s">
        <v>107</v>
      </c>
    </row>
    <row r="22" spans="1:20">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c r="S22" s="21" t="s">
        <v>107</v>
      </c>
      <c r="T22" s="22" t="s">
        <v>107</v>
      </c>
    </row>
    <row r="23" spans="1:20">
      <c r="A23" s="15" t="s">
        <v>122</v>
      </c>
      <c r="B23" s="17" t="n">
        <v>5792</v>
      </c>
      <c r="C23" s="18">
        <f>(4450.0/B23*100)</f>
        <v/>
      </c>
      <c r="D23" s="19" t="n">
        <v>1342</v>
      </c>
      <c r="E23" s="18" t="n">
        <v>33.54034184</v>
      </c>
      <c r="F23" s="20" t="n">
        <v>1.94502988</v>
      </c>
      <c r="G23" s="18" t="n">
        <v>11.0162085</v>
      </c>
      <c r="H23" s="20" t="n">
        <v>1.3351138</v>
      </c>
      <c r="I23" s="18" t="n">
        <v>53.03996485</v>
      </c>
      <c r="J23" s="20" t="n">
        <v>2.28953737</v>
      </c>
      <c r="K23" s="18" t="s">
        <v>105</v>
      </c>
      <c r="L23" s="20" t="s">
        <v>105</v>
      </c>
      <c r="M23" s="18" t="n">
        <v>0.26186972</v>
      </c>
      <c r="N23" s="20" t="n">
        <v>0.16993253</v>
      </c>
      <c r="O23" s="18" t="n">
        <v>0</v>
      </c>
      <c r="P23" s="20" t="n">
        <v>0</v>
      </c>
      <c r="Q23" s="18" t="n">
        <v>0</v>
      </c>
      <c r="R23" s="20" t="n">
        <v>0</v>
      </c>
      <c r="S23" s="18" t="n">
        <v>2.1416151</v>
      </c>
      <c r="T23" s="20" t="n">
        <v>0.47073609</v>
      </c>
    </row>
    <row r="24" spans="1:20">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c r="S24" s="21" t="s">
        <v>107</v>
      </c>
      <c r="T24" s="22" t="s">
        <v>107</v>
      </c>
    </row>
    <row r="25" spans="1:20">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c r="S25" s="21" t="s">
        <v>107</v>
      </c>
      <c r="T25" s="22" t="s">
        <v>107</v>
      </c>
    </row>
    <row r="26" spans="1:20">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c r="S26" s="21" t="s">
        <v>107</v>
      </c>
      <c r="T26" s="22" t="s">
        <v>107</v>
      </c>
    </row>
    <row r="27" spans="1:20">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c r="S27" s="21" t="s">
        <v>107</v>
      </c>
      <c r="T27" s="22" t="s">
        <v>107</v>
      </c>
    </row>
    <row r="28" spans="1:20">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c r="S28" s="21" t="s">
        <v>107</v>
      </c>
      <c r="T28" s="22" t="s">
        <v>107</v>
      </c>
    </row>
    <row r="29" spans="1:20">
      <c r="A29" s="15" t="s">
        <v>128</v>
      </c>
      <c r="B29" s="17" t="n">
        <v>2700</v>
      </c>
      <c r="C29" s="18">
        <f>(2020.0/B29*100)</f>
        <v/>
      </c>
      <c r="D29" s="19" t="n">
        <v>680</v>
      </c>
      <c r="E29" s="18" t="n">
        <v>29.69862898</v>
      </c>
      <c r="F29" s="20" t="n">
        <v>1.8838143</v>
      </c>
      <c r="G29" s="18" t="n">
        <v>13.93848811</v>
      </c>
      <c r="H29" s="20" t="n">
        <v>1.305406</v>
      </c>
      <c r="I29" s="18" t="n">
        <v>56.10874084</v>
      </c>
      <c r="J29" s="20" t="n">
        <v>2.01490794</v>
      </c>
      <c r="K29" s="18" t="s">
        <v>105</v>
      </c>
      <c r="L29" s="20" t="s">
        <v>105</v>
      </c>
      <c r="M29" s="18" t="n">
        <v>0.12826646</v>
      </c>
      <c r="N29" s="20" t="n">
        <v>0.13672156</v>
      </c>
      <c r="O29" s="18" t="n">
        <v>0</v>
      </c>
      <c r="P29" s="20" t="n">
        <v>0</v>
      </c>
      <c r="Q29" s="18" t="n">
        <v>0</v>
      </c>
      <c r="R29" s="20" t="n">
        <v>0</v>
      </c>
      <c r="S29" s="18" t="n">
        <v>0.1258756</v>
      </c>
      <c r="T29" s="20" t="n">
        <v>0.11825873</v>
      </c>
    </row>
    <row r="30" spans="1:20">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c r="S30" s="21" t="s">
        <v>107</v>
      </c>
      <c r="T30" s="22" t="s">
        <v>107</v>
      </c>
    </row>
    <row r="31" spans="1:20">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c r="S31" s="21" t="s">
        <v>107</v>
      </c>
      <c r="T31" s="22" t="s">
        <v>107</v>
      </c>
    </row>
    <row r="32" spans="1:20">
      <c r="A32" s="15" t="s">
        <v>131</v>
      </c>
      <c r="B32" s="17" t="n">
        <v>2209</v>
      </c>
      <c r="C32" s="18">
        <f>(1356.0/B32*100)</f>
        <v/>
      </c>
      <c r="D32" s="19" t="n">
        <v>853</v>
      </c>
      <c r="E32" s="18" t="n">
        <v>23.13921969</v>
      </c>
      <c r="F32" s="20" t="n">
        <v>1.43394226</v>
      </c>
      <c r="G32" s="18" t="n">
        <v>20.92142146</v>
      </c>
      <c r="H32" s="20" t="n">
        <v>1.3710096</v>
      </c>
      <c r="I32" s="18" t="n">
        <v>54.75952244</v>
      </c>
      <c r="J32" s="20" t="n">
        <v>1.89658402</v>
      </c>
      <c r="K32" s="18" t="s">
        <v>105</v>
      </c>
      <c r="L32" s="20" t="s">
        <v>105</v>
      </c>
      <c r="M32" s="18" t="n">
        <v>0.24469358</v>
      </c>
      <c r="N32" s="20" t="n">
        <v>0.18098644</v>
      </c>
      <c r="O32" s="18" t="n">
        <v>0.49697506</v>
      </c>
      <c r="P32" s="20" t="n">
        <v>0.52915958</v>
      </c>
      <c r="Q32" s="18" t="n">
        <v>0</v>
      </c>
      <c r="R32" s="20" t="n">
        <v>0</v>
      </c>
      <c r="S32" s="18" t="n">
        <v>0.43816776</v>
      </c>
      <c r="T32" s="20" t="n">
        <v>0.22046871</v>
      </c>
    </row>
    <row r="33" spans="1:20">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c r="S33" s="21" t="s">
        <v>107</v>
      </c>
      <c r="T33" s="22" t="s">
        <v>107</v>
      </c>
    </row>
    <row r="34" spans="1:20">
      <c r="A34" s="15" t="s">
        <v>133</v>
      </c>
      <c r="B34" s="17" t="n">
        <v>3035</v>
      </c>
      <c r="C34" s="18">
        <f>(2301.0/B34*100)</f>
        <v/>
      </c>
      <c r="D34" s="19" t="n">
        <v>734</v>
      </c>
      <c r="E34" s="18" t="n">
        <v>26.29576304</v>
      </c>
      <c r="F34" s="20" t="n">
        <v>1.80248699</v>
      </c>
      <c r="G34" s="18" t="n">
        <v>27.2318096</v>
      </c>
      <c r="H34" s="20" t="n">
        <v>1.66475169</v>
      </c>
      <c r="I34" s="18" t="n">
        <v>44.19794014</v>
      </c>
      <c r="J34" s="20" t="n">
        <v>2.13236652</v>
      </c>
      <c r="K34" s="18" t="s">
        <v>105</v>
      </c>
      <c r="L34" s="20" t="s">
        <v>105</v>
      </c>
      <c r="M34" s="18" t="n">
        <v>0.47842658</v>
      </c>
      <c r="N34" s="20" t="n">
        <v>0.29714667</v>
      </c>
      <c r="O34" s="18" t="n">
        <v>0</v>
      </c>
      <c r="P34" s="20" t="n">
        <v>0</v>
      </c>
      <c r="Q34" s="18" t="n">
        <v>0</v>
      </c>
      <c r="R34" s="20" t="n">
        <v>0</v>
      </c>
      <c r="S34" s="18" t="n">
        <v>1.79606064</v>
      </c>
      <c r="T34" s="20" t="n">
        <v>0.41202615</v>
      </c>
    </row>
    <row r="35" spans="1:20">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c r="S35" s="21" t="s">
        <v>107</v>
      </c>
      <c r="T35" s="22" t="s">
        <v>107</v>
      </c>
    </row>
    <row r="36" spans="1:20">
      <c r="A36" s="15" t="s">
        <v>135</v>
      </c>
      <c r="B36" s="17" t="n">
        <v>3404</v>
      </c>
      <c r="C36" s="18">
        <f>(2534.0/B36*100)</f>
        <v/>
      </c>
      <c r="D36" s="19" t="n">
        <v>870</v>
      </c>
      <c r="E36" s="18" t="n">
        <v>37.3437178</v>
      </c>
      <c r="F36" s="20" t="n">
        <v>1.79012035</v>
      </c>
      <c r="G36" s="18" t="n">
        <v>14.98184992</v>
      </c>
      <c r="H36" s="20" t="n">
        <v>1.42641502</v>
      </c>
      <c r="I36" s="18" t="n">
        <v>45.25702728</v>
      </c>
      <c r="J36" s="20" t="n">
        <v>1.9198345</v>
      </c>
      <c r="K36" s="18" t="s">
        <v>105</v>
      </c>
      <c r="L36" s="20" t="s">
        <v>105</v>
      </c>
      <c r="M36" s="18" t="n">
        <v>0.20554385</v>
      </c>
      <c r="N36" s="20" t="n">
        <v>0.15714118</v>
      </c>
      <c r="O36" s="18" t="n">
        <v>0</v>
      </c>
      <c r="P36" s="20" t="n">
        <v>0</v>
      </c>
      <c r="Q36" s="18" t="n">
        <v>0</v>
      </c>
      <c r="R36" s="20" t="n">
        <v>0</v>
      </c>
      <c r="S36" s="18" t="n">
        <v>2.21186115</v>
      </c>
      <c r="T36" s="20" t="n">
        <v>0.46872666</v>
      </c>
    </row>
    <row r="37" spans="1:20">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c r="S37" s="21" t="s">
        <v>107</v>
      </c>
      <c r="T37" s="22" t="s">
        <v>107</v>
      </c>
    </row>
    <row r="38" spans="1:20">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c r="S38" s="21" t="s">
        <v>107</v>
      </c>
      <c r="T38" s="22" t="s">
        <v>107</v>
      </c>
    </row>
    <row r="39" spans="1:20">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c r="S39" s="21" t="s">
        <v>107</v>
      </c>
      <c r="T39" s="22" t="s">
        <v>107</v>
      </c>
    </row>
    <row r="40" spans="1:20">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c r="S40" s="21" t="s">
        <v>107</v>
      </c>
      <c r="T40" s="22" t="s">
        <v>107</v>
      </c>
    </row>
    <row r="41" spans="1:20">
      <c r="A41" s="15" t="s">
        <v>140</v>
      </c>
      <c r="B41" s="17" t="n">
        <v>2854</v>
      </c>
      <c r="C41" s="18">
        <f>(2132.0/B41*100)</f>
        <v/>
      </c>
      <c r="D41" s="19" t="n">
        <v>722</v>
      </c>
      <c r="E41" s="18" t="n">
        <v>37.79584335</v>
      </c>
      <c r="F41" s="20" t="n">
        <v>1.86150294</v>
      </c>
      <c r="G41" s="18" t="n">
        <v>12.92520224</v>
      </c>
      <c r="H41" s="20" t="n">
        <v>1.09804854</v>
      </c>
      <c r="I41" s="18" t="n">
        <v>48.096675</v>
      </c>
      <c r="J41" s="20" t="n">
        <v>2.14375554</v>
      </c>
      <c r="K41" s="18" t="s">
        <v>105</v>
      </c>
      <c r="L41" s="20" t="s">
        <v>105</v>
      </c>
      <c r="M41" s="18" t="n">
        <v>0.13632047</v>
      </c>
      <c r="N41" s="20" t="n">
        <v>0.13596894</v>
      </c>
      <c r="O41" s="18" t="n">
        <v>0</v>
      </c>
      <c r="P41" s="20" t="n">
        <v>0</v>
      </c>
      <c r="Q41" s="18" t="n">
        <v>0</v>
      </c>
      <c r="R41" s="20" t="n">
        <v>0</v>
      </c>
      <c r="S41" s="18" t="n">
        <v>1.04595894</v>
      </c>
      <c r="T41" s="20" t="n">
        <v>0.40328966</v>
      </c>
    </row>
    <row r="42" spans="1:20">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row>
    <row r="43" spans="1:20">
      <c r="A43" s="13" t="s">
        <v>142</v>
      </c>
      <c r="B43" s="14" t="n"/>
      <c r="C43" s="14" t="n"/>
      <c r="D43" s="15" t="n"/>
      <c r="E43" s="14" t="n"/>
      <c r="F43" s="15" t="n"/>
      <c r="G43" s="14" t="n"/>
      <c r="H43" s="15" t="n"/>
      <c r="I43" s="14" t="n"/>
      <c r="J43" s="15" t="n"/>
      <c r="K43" s="14" t="n"/>
      <c r="L43" s="15" t="n"/>
      <c r="M43" s="14" t="n"/>
      <c r="N43" s="15" t="n"/>
      <c r="O43" s="14" t="n"/>
      <c r="P43" s="15" t="n"/>
      <c r="Q43" s="14" t="n"/>
      <c r="R43" s="15" t="n"/>
      <c r="S43" s="14" t="n"/>
      <c r="T43" s="16" t="n"/>
    </row>
    <row r="44" spans="1:20">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c r="S44" s="21" t="s">
        <v>107</v>
      </c>
      <c r="T44" s="22" t="s">
        <v>107</v>
      </c>
    </row>
    <row r="45" spans="1:20">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c r="S45" s="21" t="s">
        <v>107</v>
      </c>
      <c r="T45" s="22" t="s">
        <v>107</v>
      </c>
    </row>
    <row r="46" spans="1:20">
      <c r="A46" s="15" t="s">
        <v>145</v>
      </c>
      <c r="B46" s="17" t="n">
        <v>12073</v>
      </c>
      <c r="C46" s="18">
        <f>(9516.0/B46*100)</f>
        <v/>
      </c>
      <c r="D46" s="19" t="n">
        <v>2557</v>
      </c>
      <c r="E46" s="18" t="n">
        <v>38.99094961</v>
      </c>
      <c r="F46" s="20" t="n">
        <v>1.29572567</v>
      </c>
      <c r="G46" s="18" t="n">
        <v>19.52278551</v>
      </c>
      <c r="H46" s="20" t="n">
        <v>0.9981228</v>
      </c>
      <c r="I46" s="18" t="n">
        <v>31.69854191</v>
      </c>
      <c r="J46" s="20" t="n">
        <v>1.34184659</v>
      </c>
      <c r="K46" s="18" t="s">
        <v>105</v>
      </c>
      <c r="L46" s="20" t="s">
        <v>105</v>
      </c>
      <c r="M46" s="18" t="n">
        <v>1.5500595</v>
      </c>
      <c r="N46" s="20" t="n">
        <v>0.31330562</v>
      </c>
      <c r="O46" s="18" t="n">
        <v>0</v>
      </c>
      <c r="P46" s="20" t="n">
        <v>0</v>
      </c>
      <c r="Q46" s="18" t="n">
        <v>0</v>
      </c>
      <c r="R46" s="20" t="n">
        <v>0</v>
      </c>
      <c r="S46" s="18" t="n">
        <v>8.237663469999999</v>
      </c>
      <c r="T46" s="20" t="n">
        <v>0.95711183</v>
      </c>
    </row>
    <row r="47" spans="1:20">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c r="S47" s="21" t="s">
        <v>107</v>
      </c>
      <c r="T47" s="22" t="s">
        <v>107</v>
      </c>
    </row>
    <row r="48" spans="1:20">
      <c r="A48" s="15" t="s">
        <v>147</v>
      </c>
      <c r="B48" s="17" t="n">
        <v>4682</v>
      </c>
      <c r="C48" s="18">
        <f>(3492.0/B48*100)</f>
        <v/>
      </c>
      <c r="D48" s="19" t="n">
        <v>1190</v>
      </c>
      <c r="E48" s="18" t="n">
        <v>25.62416818</v>
      </c>
      <c r="F48" s="20" t="n">
        <v>1.75436761</v>
      </c>
      <c r="G48" s="18" t="n">
        <v>16.1573637</v>
      </c>
      <c r="H48" s="20" t="n">
        <v>1.64549843</v>
      </c>
      <c r="I48" s="18" t="n">
        <v>58.02058134</v>
      </c>
      <c r="J48" s="20" t="n">
        <v>2.44313101</v>
      </c>
      <c r="K48" s="18" t="s">
        <v>105</v>
      </c>
      <c r="L48" s="20" t="s">
        <v>105</v>
      </c>
      <c r="M48" s="18" t="n">
        <v>0.06451709</v>
      </c>
      <c r="N48" s="20" t="n">
        <v>0.06468773999999999</v>
      </c>
      <c r="O48" s="18" t="n">
        <v>0</v>
      </c>
      <c r="P48" s="20" t="n">
        <v>0</v>
      </c>
      <c r="Q48" s="18" t="n">
        <v>0</v>
      </c>
      <c r="R48" s="20" t="n">
        <v>0</v>
      </c>
      <c r="S48" s="18" t="n">
        <v>0.13336969</v>
      </c>
      <c r="T48" s="20" t="n">
        <v>0.13383729</v>
      </c>
    </row>
    <row r="49" spans="1:20">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c r="S49" s="21" t="s">
        <v>107</v>
      </c>
      <c r="T49" s="22" t="s">
        <v>107</v>
      </c>
    </row>
    <row r="50" spans="1:20">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c r="S50" s="21" t="s">
        <v>107</v>
      </c>
      <c r="T50" s="22" t="s">
        <v>107</v>
      </c>
    </row>
    <row r="51" spans="1:20">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c r="S51" s="21" t="s">
        <v>107</v>
      </c>
      <c r="T51" s="22" t="s">
        <v>107</v>
      </c>
    </row>
    <row r="52" spans="1:20">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c r="S52" s="21" t="s">
        <v>107</v>
      </c>
      <c r="T52" s="22" t="s">
        <v>107</v>
      </c>
    </row>
    <row r="53" spans="1:20">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c r="S53" s="21" t="s">
        <v>107</v>
      </c>
      <c r="T53" s="22" t="s">
        <v>107</v>
      </c>
    </row>
    <row r="54" spans="1:20">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c r="S54" s="21" t="s">
        <v>107</v>
      </c>
      <c r="T54" s="22" t="s">
        <v>107</v>
      </c>
    </row>
    <row r="55" spans="1:20">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c r="S55" s="21" t="s">
        <v>107</v>
      </c>
      <c r="T55" s="22" t="s">
        <v>107</v>
      </c>
    </row>
    <row r="56" spans="1:20">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c r="S56" s="21" t="s">
        <v>107</v>
      </c>
      <c r="T56" s="22" t="s">
        <v>107</v>
      </c>
    </row>
    <row r="57" spans="1:20">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c r="S57" s="21" t="s">
        <v>107</v>
      </c>
      <c r="T57" s="22" t="s">
        <v>107</v>
      </c>
    </row>
    <row r="58" spans="1:20">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c r="S58" s="21" t="s">
        <v>107</v>
      </c>
      <c r="T58" s="22" t="s">
        <v>107</v>
      </c>
    </row>
    <row r="59" spans="1:20">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c r="S59" s="21" t="s">
        <v>107</v>
      </c>
      <c r="T59" s="22" t="s">
        <v>107</v>
      </c>
    </row>
    <row r="60" spans="1:20">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c r="S60" s="21" t="s">
        <v>107</v>
      </c>
      <c r="T60" s="22" t="s">
        <v>107</v>
      </c>
    </row>
    <row r="61" spans="1:20">
      <c r="A61" s="15" t="s">
        <v>160</v>
      </c>
      <c r="B61" s="17" t="n">
        <v>3201</v>
      </c>
      <c r="C61" s="18">
        <f>(2360.0/B61*100)</f>
        <v/>
      </c>
      <c r="D61" s="19" t="n">
        <v>841</v>
      </c>
      <c r="E61" s="18" t="n">
        <v>25.26458353</v>
      </c>
      <c r="F61" s="20" t="n">
        <v>1.61030241</v>
      </c>
      <c r="G61" s="18" t="n">
        <v>22.61053522</v>
      </c>
      <c r="H61" s="20" t="n">
        <v>1.65702144</v>
      </c>
      <c r="I61" s="18" t="n">
        <v>50.14709325</v>
      </c>
      <c r="J61" s="20" t="n">
        <v>2.16136256</v>
      </c>
      <c r="K61" s="18" t="s">
        <v>105</v>
      </c>
      <c r="L61" s="20" t="s">
        <v>105</v>
      </c>
      <c r="M61" s="18" t="n">
        <v>0.17939758</v>
      </c>
      <c r="N61" s="20" t="n">
        <v>0.16154911</v>
      </c>
      <c r="O61" s="18" t="n">
        <v>0</v>
      </c>
      <c r="P61" s="20" t="n">
        <v>0</v>
      </c>
      <c r="Q61" s="18" t="n">
        <v>0</v>
      </c>
      <c r="R61" s="20" t="n">
        <v>0</v>
      </c>
      <c r="S61" s="18" t="n">
        <v>1.79839042</v>
      </c>
      <c r="T61" s="20" t="n">
        <v>0.51147851</v>
      </c>
    </row>
    <row r="62" spans="1:20">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c r="S62" s="21" t="s">
        <v>107</v>
      </c>
      <c r="T62" s="22" t="s">
        <v>107</v>
      </c>
    </row>
    <row r="63" spans="1:20">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c r="S63" s="21" t="s">
        <v>107</v>
      </c>
      <c r="T63" s="22" t="s">
        <v>107</v>
      </c>
    </row>
    <row r="64" spans="1:20">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c r="S64" s="21" t="s">
        <v>107</v>
      </c>
      <c r="T64" s="22" t="s">
        <v>107</v>
      </c>
    </row>
    <row r="65" spans="1:20">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c r="S65" s="21" t="s">
        <v>107</v>
      </c>
      <c r="T65" s="22" t="s">
        <v>107</v>
      </c>
    </row>
    <row r="66" spans="1:20">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c r="S66" s="21" t="s">
        <v>107</v>
      </c>
      <c r="T66" s="22" t="s">
        <v>107</v>
      </c>
    </row>
    <row r="67" spans="1:20">
      <c r="A67" s="15" t="s">
        <v>166</v>
      </c>
      <c r="B67" s="17" t="n">
        <v>3460</v>
      </c>
      <c r="C67" s="18">
        <f>(2604.0/B67*100)</f>
        <v/>
      </c>
      <c r="D67" s="19" t="n">
        <v>856</v>
      </c>
      <c r="E67" s="18" t="n">
        <v>49.13578001</v>
      </c>
      <c r="F67" s="20" t="n">
        <v>1.80400858</v>
      </c>
      <c r="G67" s="18" t="n">
        <v>17.93717685</v>
      </c>
      <c r="H67" s="20" t="n">
        <v>1.32818204</v>
      </c>
      <c r="I67" s="18" t="n">
        <v>31.46314309</v>
      </c>
      <c r="J67" s="20" t="n">
        <v>1.76732343</v>
      </c>
      <c r="K67" s="18" t="s">
        <v>105</v>
      </c>
      <c r="L67" s="20" t="s">
        <v>105</v>
      </c>
      <c r="M67" s="18" t="n">
        <v>0</v>
      </c>
      <c r="N67" s="20" t="n">
        <v>0</v>
      </c>
      <c r="O67" s="18" t="n">
        <v>0</v>
      </c>
      <c r="P67" s="20" t="n">
        <v>0</v>
      </c>
      <c r="Q67" s="18" t="n">
        <v>0</v>
      </c>
      <c r="R67" s="20" t="n">
        <v>0</v>
      </c>
      <c r="S67" s="18" t="n">
        <v>1.46390006</v>
      </c>
      <c r="T67" s="20" t="n">
        <v>0.44185902</v>
      </c>
    </row>
    <row r="68" spans="1:20">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c r="S68" s="21" t="s">
        <v>107</v>
      </c>
      <c r="T68" s="22" t="s">
        <v>107</v>
      </c>
    </row>
    <row r="69" spans="1:20">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c r="S69" s="21" t="s">
        <v>107</v>
      </c>
      <c r="T69" s="22" t="s">
        <v>107</v>
      </c>
    </row>
    <row r="70" spans="1:20">
      <c r="A70" s="15" t="s">
        <v>169</v>
      </c>
      <c r="B70" s="17" t="n">
        <v>3107</v>
      </c>
      <c r="C70" s="18">
        <f>(2328.0/B70*100)</f>
        <v/>
      </c>
      <c r="D70" s="19" t="n">
        <v>779</v>
      </c>
      <c r="E70" s="18" t="n">
        <v>26.37981177</v>
      </c>
      <c r="F70" s="20" t="n">
        <v>1.58354774</v>
      </c>
      <c r="G70" s="18" t="n">
        <v>14.18116836</v>
      </c>
      <c r="H70" s="20" t="n">
        <v>1.62332774</v>
      </c>
      <c r="I70" s="18" t="n">
        <v>57.42787308</v>
      </c>
      <c r="J70" s="20" t="n">
        <v>2.52383281</v>
      </c>
      <c r="K70" s="18" t="s">
        <v>105</v>
      </c>
      <c r="L70" s="20" t="s">
        <v>105</v>
      </c>
      <c r="M70" s="18" t="n">
        <v>0.44049617</v>
      </c>
      <c r="N70" s="20" t="n">
        <v>0.16799843</v>
      </c>
      <c r="O70" s="18" t="n">
        <v>0</v>
      </c>
      <c r="P70" s="20" t="n">
        <v>0</v>
      </c>
      <c r="Q70" s="18" t="n">
        <v>0</v>
      </c>
      <c r="R70" s="20" t="n">
        <v>0</v>
      </c>
      <c r="S70" s="18" t="n">
        <v>1.57065061</v>
      </c>
      <c r="T70" s="20" t="n">
        <v>0.5604135</v>
      </c>
    </row>
    <row r="71" spans="1:20">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c r="S71" s="21" t="s">
        <v>107</v>
      </c>
      <c r="T71" s="22" t="s">
        <v>107</v>
      </c>
    </row>
    <row r="72" spans="1:20">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c r="S72" s="21" t="s">
        <v>107</v>
      </c>
      <c r="T72" s="22" t="s">
        <v>107</v>
      </c>
    </row>
    <row r="73" spans="1:20">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c r="S73" s="21" t="s">
        <v>107</v>
      </c>
      <c r="T73" s="22" t="s">
        <v>107</v>
      </c>
    </row>
    <row r="74" spans="1:20">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c r="S74" s="21" t="s">
        <v>107</v>
      </c>
      <c r="T74" s="22" t="s">
        <v>107</v>
      </c>
    </row>
    <row r="75" spans="1:20">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c r="S75" s="21" t="s">
        <v>107</v>
      </c>
      <c r="T75" s="22" t="s">
        <v>107</v>
      </c>
    </row>
    <row r="76" spans="1:20">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c r="S76" s="21" t="s">
        <v>107</v>
      </c>
      <c r="T76" s="22" t="s">
        <v>107</v>
      </c>
    </row>
    <row r="77" spans="1:20">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c r="S77" s="21" t="s">
        <v>107</v>
      </c>
      <c r="T77" s="22" t="s">
        <v>107</v>
      </c>
    </row>
    <row r="78" spans="1:20">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c r="S78" s="21" t="s">
        <v>107</v>
      </c>
      <c r="T78" s="22" t="s">
        <v>107</v>
      </c>
    </row>
    <row customHeight="1" ht="25" r="79" spans="1:20">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c r="S79" s="21" t="s">
        <v>107</v>
      </c>
      <c r="T79" s="22" t="s">
        <v>107</v>
      </c>
    </row>
    <row r="80" spans="1:20">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c r="S80" s="21" t="s">
        <v>107</v>
      </c>
      <c r="T80" s="22" t="s">
        <v>107</v>
      </c>
    </row>
    <row r="81" spans="1:20">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c r="S81" s="21" t="s">
        <v>107</v>
      </c>
      <c r="T81" s="22" t="s">
        <v>107</v>
      </c>
    </row>
    <row r="82" spans="1:20">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c r="S82" s="24" t="s">
        <v>181</v>
      </c>
      <c r="T82" s="24" t="s">
        <v>181</v>
      </c>
    </row>
    <row r="83" spans="1:20">
      <c r="A83" s="3" t="s">
        <v>182</v>
      </c>
    </row>
    <row r="84" spans="1:20">
      <c r="A84" s="25" t="s">
        <v>183</v>
      </c>
    </row>
    <row r="85" spans="1:20">
      <c r="A85" s="25" t="s">
        <v>184</v>
      </c>
    </row>
    <row customHeight="1" ht="30" r="86" spans="1:20">
      <c r="A86" s="25" t="s">
        <v>185</v>
      </c>
    </row>
    <row customHeight="1" ht="30" r="87" spans="1:20">
      <c r="A87" s="25" t="s">
        <v>181</v>
      </c>
    </row>
    <row customHeight="1" ht="30" r="88" spans="1:20">
      <c r="A88" s="25" t="s">
        <v>186</v>
      </c>
    </row>
    <row customHeight="1" ht="30" r="89" spans="1:20">
      <c r="A89" s="25" t="s">
        <v>187</v>
      </c>
    </row>
    <row customHeight="1" ht="30" r="90" spans="1:20">
      <c r="A90" s="25" t="s">
        <v>188</v>
      </c>
    </row>
    <row customHeight="1" ht="30" r="91" spans="1:20">
      <c r="A91" s="25" t="s">
        <v>189</v>
      </c>
    </row>
    <row customHeight="1" ht="30" r="92" spans="1:20">
      <c r="A92" s="25" t="s">
        <v>190</v>
      </c>
    </row>
    <row customHeight="1" ht="30" r="93" spans="1:20">
      <c r="A93" s="25" t="s">
        <v>191</v>
      </c>
    </row>
    <row customHeight="1" ht="30" r="94" spans="1:20">
      <c r="A94" s="25" t="s">
        <v>192</v>
      </c>
    </row>
    <row customHeight="1" ht="30" r="95" spans="1:20">
      <c r="A95" s="25" t="s">
        <v>193</v>
      </c>
    </row>
    <row customHeight="1" ht="30" r="96" spans="1:20">
      <c r="A96" s="25" t="s">
        <v>194</v>
      </c>
    </row>
    <row customHeight="1" ht="30" r="97" spans="1:20">
      <c r="A97" s="25" t="s">
        <v>195</v>
      </c>
    </row>
  </sheetData>
  <mergeCells count="24">
    <mergeCell ref="E4:F4"/>
    <mergeCell ref="G4:H4"/>
    <mergeCell ref="I4:J4"/>
    <mergeCell ref="K4:L4"/>
    <mergeCell ref="M4:N4"/>
    <mergeCell ref="O4:P4"/>
    <mergeCell ref="Q4:R4"/>
    <mergeCell ref="S4:T4"/>
    <mergeCell ref="A1:T1"/>
    <mergeCell ref="A2:T2"/>
    <mergeCell ref="A84:T84"/>
    <mergeCell ref="A85:T85"/>
    <mergeCell ref="A86:T86"/>
    <mergeCell ref="A87:T87"/>
    <mergeCell ref="A88:T88"/>
    <mergeCell ref="A89:T89"/>
    <mergeCell ref="A90:T90"/>
    <mergeCell ref="A91:T91"/>
    <mergeCell ref="A92:T92"/>
    <mergeCell ref="A93:T93"/>
    <mergeCell ref="A94:T94"/>
    <mergeCell ref="A95:T95"/>
    <mergeCell ref="A96:T96"/>
    <mergeCell ref="A97:T97"/>
  </mergeCells>
  <pageMargins bottom="1" footer="0.5" header="0.5" left="0.75" right="0.75" top="1"/>
</worksheet>
</file>

<file path=xl/worksheets/sheet9.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209</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7163</v>
      </c>
      <c r="C7" s="18">
        <f>(333.0/B7*100)</f>
        <v/>
      </c>
      <c r="D7" s="19" t="n">
        <v>6830</v>
      </c>
      <c r="E7" s="18" t="n">
        <v>15.23355577</v>
      </c>
      <c r="F7" s="20" t="n">
        <v>0.5465870900000001</v>
      </c>
      <c r="G7" s="18" t="n">
        <v>82.16014488</v>
      </c>
      <c r="H7" s="20" t="n">
        <v>0.59144919</v>
      </c>
      <c r="I7" s="18" t="s">
        <v>105</v>
      </c>
      <c r="J7" s="20" t="s">
        <v>105</v>
      </c>
      <c r="K7" s="18" t="n">
        <v>0.40559036</v>
      </c>
      <c r="L7" s="20" t="n">
        <v>0.09998818</v>
      </c>
      <c r="M7" s="18" t="n">
        <v>0</v>
      </c>
      <c r="N7" s="20" t="n">
        <v>0</v>
      </c>
      <c r="O7" s="18" t="n">
        <v>0</v>
      </c>
      <c r="P7" s="20" t="n">
        <v>0</v>
      </c>
      <c r="Q7" s="18" t="n">
        <v>2.20070899</v>
      </c>
      <c r="R7" s="20" t="n">
        <v>0.2116888</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2795</v>
      </c>
      <c r="C9" s="18">
        <f>(2145.0/B9*100)</f>
        <v/>
      </c>
      <c r="D9" s="19" t="n">
        <v>650</v>
      </c>
      <c r="E9" s="18" t="n">
        <v>24.29137349</v>
      </c>
      <c r="F9" s="20" t="n">
        <v>1.80154168</v>
      </c>
      <c r="G9" s="18" t="n">
        <v>73.86368471</v>
      </c>
      <c r="H9" s="20" t="n">
        <v>1.91025679</v>
      </c>
      <c r="I9" s="18" t="s">
        <v>105</v>
      </c>
      <c r="J9" s="20" t="s">
        <v>105</v>
      </c>
      <c r="K9" s="18" t="n">
        <v>0.14695218</v>
      </c>
      <c r="L9" s="20" t="n">
        <v>0.19809994</v>
      </c>
      <c r="M9" s="18" t="n">
        <v>0</v>
      </c>
      <c r="N9" s="20" t="n">
        <v>0</v>
      </c>
      <c r="O9" s="18" t="n">
        <v>0</v>
      </c>
      <c r="P9" s="20" t="n">
        <v>0</v>
      </c>
      <c r="Q9" s="18" t="n">
        <v>1.69798962</v>
      </c>
      <c r="R9" s="20" t="n">
        <v>0.5804831499999999</v>
      </c>
    </row>
    <row r="10" spans="1:18">
      <c r="A10" s="15" t="s">
        <v>109</v>
      </c>
      <c r="B10" s="17" t="n">
        <v>6602</v>
      </c>
      <c r="C10" s="18">
        <f>(5015.0/B10*100)</f>
        <v/>
      </c>
      <c r="D10" s="19" t="n">
        <v>1587</v>
      </c>
      <c r="E10" s="18" t="n">
        <v>12.30756572</v>
      </c>
      <c r="F10" s="20" t="n">
        <v>1.2174654</v>
      </c>
      <c r="G10" s="18" t="n">
        <v>86.76397854</v>
      </c>
      <c r="H10" s="20" t="n">
        <v>1.22458404</v>
      </c>
      <c r="I10" s="18" t="s">
        <v>105</v>
      </c>
      <c r="J10" s="20" t="s">
        <v>105</v>
      </c>
      <c r="K10" s="18" t="n">
        <v>0.05346194</v>
      </c>
      <c r="L10" s="20" t="n">
        <v>0.03410107</v>
      </c>
      <c r="M10" s="18" t="n">
        <v>0</v>
      </c>
      <c r="N10" s="20" t="n">
        <v>0</v>
      </c>
      <c r="O10" s="18" t="n">
        <v>0</v>
      </c>
      <c r="P10" s="20" t="n">
        <v>0</v>
      </c>
      <c r="Q10" s="18" t="n">
        <v>0.87499379</v>
      </c>
      <c r="R10" s="20" t="n">
        <v>0.34225179</v>
      </c>
    </row>
    <row r="11" spans="1:18">
      <c r="A11" s="15" t="s">
        <v>110</v>
      </c>
      <c r="B11" s="17" t="n">
        <v>3500</v>
      </c>
      <c r="C11" s="18">
        <f>(2608.0/B11*100)</f>
        <v/>
      </c>
      <c r="D11" s="19" t="n">
        <v>892</v>
      </c>
      <c r="E11" s="18" t="n">
        <v>29.44004988</v>
      </c>
      <c r="F11" s="20" t="n">
        <v>1.83825008</v>
      </c>
      <c r="G11" s="18" t="n">
        <v>64.82922902999999</v>
      </c>
      <c r="H11" s="20" t="n">
        <v>2.21517169</v>
      </c>
      <c r="I11" s="18" t="s">
        <v>105</v>
      </c>
      <c r="J11" s="20" t="s">
        <v>105</v>
      </c>
      <c r="K11" s="18" t="n">
        <v>0.34590632</v>
      </c>
      <c r="L11" s="20" t="n">
        <v>0.23426987</v>
      </c>
      <c r="M11" s="18" t="n">
        <v>0</v>
      </c>
      <c r="N11" s="20" t="n">
        <v>0</v>
      </c>
      <c r="O11" s="18" t="n">
        <v>0</v>
      </c>
      <c r="P11" s="20" t="n">
        <v>0</v>
      </c>
      <c r="Q11" s="18" t="n">
        <v>5.38481476</v>
      </c>
      <c r="R11" s="20" t="n">
        <v>0.91630843</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5792</v>
      </c>
      <c r="C23" s="18">
        <f>(4449.0/B23*100)</f>
        <v/>
      </c>
      <c r="D23" s="19" t="n">
        <v>1343</v>
      </c>
      <c r="E23" s="18" t="n">
        <v>40.2587935</v>
      </c>
      <c r="F23" s="20" t="n">
        <v>1.82946352</v>
      </c>
      <c r="G23" s="18" t="n">
        <v>55.0942908</v>
      </c>
      <c r="H23" s="20" t="n">
        <v>1.9173524</v>
      </c>
      <c r="I23" s="18" t="s">
        <v>105</v>
      </c>
      <c r="J23" s="20" t="s">
        <v>105</v>
      </c>
      <c r="K23" s="18" t="n">
        <v>0.26179211</v>
      </c>
      <c r="L23" s="20" t="n">
        <v>0.16987928</v>
      </c>
      <c r="M23" s="18" t="n">
        <v>0</v>
      </c>
      <c r="N23" s="20" t="n">
        <v>0</v>
      </c>
      <c r="O23" s="18" t="n">
        <v>0</v>
      </c>
      <c r="P23" s="20" t="n">
        <v>0</v>
      </c>
      <c r="Q23" s="18" t="n">
        <v>4.38512359</v>
      </c>
      <c r="R23" s="20" t="n">
        <v>0.80997363</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2700</v>
      </c>
      <c r="C29" s="18">
        <f>(2021.0/B29*100)</f>
        <v/>
      </c>
      <c r="D29" s="19" t="n">
        <v>679</v>
      </c>
      <c r="E29" s="18" t="n">
        <v>18.85514595</v>
      </c>
      <c r="F29" s="20" t="n">
        <v>1.53757032</v>
      </c>
      <c r="G29" s="18" t="n">
        <v>81.01644265</v>
      </c>
      <c r="H29" s="20" t="n">
        <v>1.53793775</v>
      </c>
      <c r="I29" s="18" t="s">
        <v>105</v>
      </c>
      <c r="J29" s="20" t="s">
        <v>105</v>
      </c>
      <c r="K29" s="18" t="n">
        <v>0.1284114</v>
      </c>
      <c r="L29" s="20" t="n">
        <v>0.13687837</v>
      </c>
      <c r="M29" s="18" t="n">
        <v>0</v>
      </c>
      <c r="N29" s="20" t="n">
        <v>0</v>
      </c>
      <c r="O29" s="18" t="n">
        <v>0</v>
      </c>
      <c r="P29" s="20" t="n">
        <v>0</v>
      </c>
      <c r="Q29" s="18" t="n">
        <v>0</v>
      </c>
      <c r="R29" s="20" t="n">
        <v>0</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2209</v>
      </c>
      <c r="C32" s="18">
        <f>(1356.0/B32*100)</f>
        <v/>
      </c>
      <c r="D32" s="19" t="n">
        <v>853</v>
      </c>
      <c r="E32" s="18" t="n">
        <v>11.52655171</v>
      </c>
      <c r="F32" s="20" t="n">
        <v>1.30519316</v>
      </c>
      <c r="G32" s="18" t="n">
        <v>87.31732220000001</v>
      </c>
      <c r="H32" s="20" t="n">
        <v>1.30466821</v>
      </c>
      <c r="I32" s="18" t="s">
        <v>105</v>
      </c>
      <c r="J32" s="20" t="s">
        <v>105</v>
      </c>
      <c r="K32" s="18" t="n">
        <v>0.24469358</v>
      </c>
      <c r="L32" s="20" t="n">
        <v>0.18098644</v>
      </c>
      <c r="M32" s="18" t="n">
        <v>0</v>
      </c>
      <c r="N32" s="20" t="n">
        <v>0</v>
      </c>
      <c r="O32" s="18" t="n">
        <v>0</v>
      </c>
      <c r="P32" s="20" t="n">
        <v>0</v>
      </c>
      <c r="Q32" s="18" t="n">
        <v>0.91143251</v>
      </c>
      <c r="R32" s="20" t="n">
        <v>0.30762595</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3035</v>
      </c>
      <c r="C34" s="18">
        <f>(2301.0/B34*100)</f>
        <v/>
      </c>
      <c r="D34" s="19" t="n">
        <v>734</v>
      </c>
      <c r="E34" s="18" t="n">
        <v>22.84883994</v>
      </c>
      <c r="F34" s="20" t="n">
        <v>1.39529202</v>
      </c>
      <c r="G34" s="18" t="n">
        <v>74.15157444</v>
      </c>
      <c r="H34" s="20" t="n">
        <v>1.55492827</v>
      </c>
      <c r="I34" s="18" t="s">
        <v>105</v>
      </c>
      <c r="J34" s="20" t="s">
        <v>105</v>
      </c>
      <c r="K34" s="18" t="n">
        <v>0.47842658</v>
      </c>
      <c r="L34" s="20" t="n">
        <v>0.29714667</v>
      </c>
      <c r="M34" s="18" t="n">
        <v>0</v>
      </c>
      <c r="N34" s="20" t="n">
        <v>0</v>
      </c>
      <c r="O34" s="18" t="n">
        <v>0</v>
      </c>
      <c r="P34" s="20" t="n">
        <v>0</v>
      </c>
      <c r="Q34" s="18" t="n">
        <v>2.52115904</v>
      </c>
      <c r="R34" s="20" t="n">
        <v>0.51670284</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3404</v>
      </c>
      <c r="C36" s="18">
        <f>(2534.0/B36*100)</f>
        <v/>
      </c>
      <c r="D36" s="19" t="n">
        <v>870</v>
      </c>
      <c r="E36" s="18" t="n">
        <v>17.1439522</v>
      </c>
      <c r="F36" s="20" t="n">
        <v>1.5430101</v>
      </c>
      <c r="G36" s="18" t="n">
        <v>80.37969457</v>
      </c>
      <c r="H36" s="20" t="n">
        <v>1.61624069</v>
      </c>
      <c r="I36" s="18" t="s">
        <v>105</v>
      </c>
      <c r="J36" s="20" t="s">
        <v>105</v>
      </c>
      <c r="K36" s="18" t="n">
        <v>0.20554385</v>
      </c>
      <c r="L36" s="20" t="n">
        <v>0.15714118</v>
      </c>
      <c r="M36" s="18" t="n">
        <v>0</v>
      </c>
      <c r="N36" s="20" t="n">
        <v>0</v>
      </c>
      <c r="O36" s="18" t="n">
        <v>0</v>
      </c>
      <c r="P36" s="20" t="n">
        <v>0</v>
      </c>
      <c r="Q36" s="18" t="n">
        <v>2.27080938</v>
      </c>
      <c r="R36" s="20" t="n">
        <v>0.47673606</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2854</v>
      </c>
      <c r="C41" s="18">
        <f>(2132.0/B41*100)</f>
        <v/>
      </c>
      <c r="D41" s="19" t="n">
        <v>722</v>
      </c>
      <c r="E41" s="18" t="n">
        <v>25.52975094</v>
      </c>
      <c r="F41" s="20" t="n">
        <v>2.04277899</v>
      </c>
      <c r="G41" s="18" t="n">
        <v>73.27781524</v>
      </c>
      <c r="H41" s="20" t="n">
        <v>2.04949968</v>
      </c>
      <c r="I41" s="18" t="s">
        <v>105</v>
      </c>
      <c r="J41" s="20" t="s">
        <v>105</v>
      </c>
      <c r="K41" s="18" t="n">
        <v>0.13632047</v>
      </c>
      <c r="L41" s="20" t="n">
        <v>0.13596894</v>
      </c>
      <c r="M41" s="18" t="n">
        <v>0</v>
      </c>
      <c r="N41" s="20" t="n">
        <v>0</v>
      </c>
      <c r="O41" s="18" t="n">
        <v>0</v>
      </c>
      <c r="P41" s="20" t="n">
        <v>0</v>
      </c>
      <c r="Q41" s="18" t="n">
        <v>1.05611335</v>
      </c>
      <c r="R41" s="20" t="n">
        <v>0.40940496</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12073</v>
      </c>
      <c r="C46" s="18">
        <f>(9494.0/B46*100)</f>
        <v/>
      </c>
      <c r="D46" s="19" t="n">
        <v>2579</v>
      </c>
      <c r="E46" s="18" t="n">
        <v>18.54941129</v>
      </c>
      <c r="F46" s="20" t="n">
        <v>1.08432885</v>
      </c>
      <c r="G46" s="18" t="n">
        <v>73.056034</v>
      </c>
      <c r="H46" s="20" t="n">
        <v>1.34326085</v>
      </c>
      <c r="I46" s="18" t="s">
        <v>105</v>
      </c>
      <c r="J46" s="20" t="s">
        <v>105</v>
      </c>
      <c r="K46" s="18" t="n">
        <v>1.87180813</v>
      </c>
      <c r="L46" s="20" t="n">
        <v>0.35547756</v>
      </c>
      <c r="M46" s="18" t="n">
        <v>0</v>
      </c>
      <c r="N46" s="20" t="n">
        <v>0</v>
      </c>
      <c r="O46" s="18" t="n">
        <v>0</v>
      </c>
      <c r="P46" s="20" t="n">
        <v>0</v>
      </c>
      <c r="Q46" s="18" t="n">
        <v>6.52274658</v>
      </c>
      <c r="R46" s="20" t="n">
        <v>0.84367094</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4682</v>
      </c>
      <c r="C48" s="18">
        <f>(3493.0/B48*100)</f>
        <v/>
      </c>
      <c r="D48" s="19" t="n">
        <v>1189</v>
      </c>
      <c r="E48" s="18" t="n">
        <v>24.32117094</v>
      </c>
      <c r="F48" s="20" t="n">
        <v>1.99119163</v>
      </c>
      <c r="G48" s="18" t="n">
        <v>75.61421776</v>
      </c>
      <c r="H48" s="20" t="n">
        <v>1.99432056</v>
      </c>
      <c r="I48" s="18" t="s">
        <v>105</v>
      </c>
      <c r="J48" s="20" t="s">
        <v>105</v>
      </c>
      <c r="K48" s="18" t="n">
        <v>0.06461131000000001</v>
      </c>
      <c r="L48" s="20" t="n">
        <v>0.06478119</v>
      </c>
      <c r="M48" s="18" t="n">
        <v>0</v>
      </c>
      <c r="N48" s="20" t="n">
        <v>0</v>
      </c>
      <c r="O48" s="18" t="n">
        <v>0</v>
      </c>
      <c r="P48" s="20" t="n">
        <v>0</v>
      </c>
      <c r="Q48" s="18" t="n">
        <v>0</v>
      </c>
      <c r="R48" s="20" t="n">
        <v>0</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3201</v>
      </c>
      <c r="C61" s="18">
        <f>(2360.0/B61*100)</f>
        <v/>
      </c>
      <c r="D61" s="19" t="n">
        <v>841</v>
      </c>
      <c r="E61" s="18" t="n">
        <v>17.43514971</v>
      </c>
      <c r="F61" s="20" t="n">
        <v>1.45506133</v>
      </c>
      <c r="G61" s="18" t="n">
        <v>80.41545001</v>
      </c>
      <c r="H61" s="20" t="n">
        <v>1.5353706</v>
      </c>
      <c r="I61" s="18" t="s">
        <v>105</v>
      </c>
      <c r="J61" s="20" t="s">
        <v>105</v>
      </c>
      <c r="K61" s="18" t="n">
        <v>0.33844726</v>
      </c>
      <c r="L61" s="20" t="n">
        <v>0.22934716</v>
      </c>
      <c r="M61" s="18" t="n">
        <v>0</v>
      </c>
      <c r="N61" s="20" t="n">
        <v>0</v>
      </c>
      <c r="O61" s="18" t="n">
        <v>0</v>
      </c>
      <c r="P61" s="20" t="n">
        <v>0</v>
      </c>
      <c r="Q61" s="18" t="n">
        <v>1.81095303</v>
      </c>
      <c r="R61" s="20" t="n">
        <v>0.51578097</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3460</v>
      </c>
      <c r="C67" s="18">
        <f>(2604.0/B67*100)</f>
        <v/>
      </c>
      <c r="D67" s="19" t="n">
        <v>856</v>
      </c>
      <c r="E67" s="18" t="n">
        <v>27.0172449</v>
      </c>
      <c r="F67" s="20" t="n">
        <v>1.50151708</v>
      </c>
      <c r="G67" s="18" t="n">
        <v>71.52587628000001</v>
      </c>
      <c r="H67" s="20" t="n">
        <v>1.53125874</v>
      </c>
      <c r="I67" s="18" t="s">
        <v>105</v>
      </c>
      <c r="J67" s="20" t="s">
        <v>105</v>
      </c>
      <c r="K67" s="18" t="n">
        <v>0</v>
      </c>
      <c r="L67" s="20" t="n">
        <v>0</v>
      </c>
      <c r="M67" s="18" t="n">
        <v>0</v>
      </c>
      <c r="N67" s="20" t="n">
        <v>0</v>
      </c>
      <c r="O67" s="18" t="n">
        <v>0</v>
      </c>
      <c r="P67" s="20" t="n">
        <v>0</v>
      </c>
      <c r="Q67" s="18" t="n">
        <v>1.45687882</v>
      </c>
      <c r="R67" s="20" t="n">
        <v>0.40704861</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3107</v>
      </c>
      <c r="C70" s="18">
        <f>(2329.0/B70*100)</f>
        <v/>
      </c>
      <c r="D70" s="19" t="n">
        <v>778</v>
      </c>
      <c r="E70" s="18" t="n">
        <v>15.83947908</v>
      </c>
      <c r="F70" s="20" t="n">
        <v>1.95416585</v>
      </c>
      <c r="G70" s="18" t="n">
        <v>82.94311853000001</v>
      </c>
      <c r="H70" s="20" t="n">
        <v>1.99867227</v>
      </c>
      <c r="I70" s="18" t="s">
        <v>105</v>
      </c>
      <c r="J70" s="20" t="s">
        <v>105</v>
      </c>
      <c r="K70" s="18" t="n">
        <v>0.44079521</v>
      </c>
      <c r="L70" s="20" t="n">
        <v>0.16813234</v>
      </c>
      <c r="M70" s="18" t="n">
        <v>0</v>
      </c>
      <c r="N70" s="20" t="n">
        <v>0</v>
      </c>
      <c r="O70" s="18" t="n">
        <v>0</v>
      </c>
      <c r="P70" s="20" t="n">
        <v>0</v>
      </c>
      <c r="Q70" s="18" t="n">
        <v>0.77660719</v>
      </c>
      <c r="R70" s="20" t="n">
        <v>0.39105662</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44</vt:i4>
      </vt:variant>
    </vt:vector>
  </ns0:HeadingPairs>
  <ns0:TitlesOfParts>
    <vt:vector xmlns:vt="http://schemas.openxmlformats.org/officeDocument/2006/docPropsVTypes" baseType="lpstr" size="44">
      <vt:lpstr>Table of Contents</vt:lpstr>
      <vt:lpstr>CF009Q02S</vt:lpstr>
      <vt:lpstr>CF110Q01S</vt:lpstr>
      <vt:lpstr>CF001Q01S</vt:lpstr>
      <vt:lpstr>DF054Q01C</vt:lpstr>
      <vt:lpstr>DF028Q02C</vt:lpstr>
      <vt:lpstr>CF028Q03S</vt:lpstr>
      <vt:lpstr>DF082Q01C</vt:lpstr>
      <vt:lpstr>CF082Q02S</vt:lpstr>
      <vt:lpstr>DF068Q01C</vt:lpstr>
      <vt:lpstr>CF031Q01S</vt:lpstr>
      <vt:lpstr>CF031Q02S</vt:lpstr>
      <vt:lpstr>CF012Q01S</vt:lpstr>
      <vt:lpstr>CF012Q02S</vt:lpstr>
      <vt:lpstr>CF010Q01S</vt:lpstr>
      <vt:lpstr>CF010Q02S</vt:lpstr>
      <vt:lpstr>DF201Q01C</vt:lpstr>
      <vt:lpstr>DF036Q01C</vt:lpstr>
      <vt:lpstr>DF103Q01C</vt:lpstr>
      <vt:lpstr>CF097Q01S</vt:lpstr>
      <vt:lpstr>DF200Q01C</vt:lpstr>
      <vt:lpstr>CF105Q01S</vt:lpstr>
      <vt:lpstr>CF105Q02S</vt:lpstr>
      <vt:lpstr>CF102Q01S</vt:lpstr>
      <vt:lpstr>DF102Q02C</vt:lpstr>
      <vt:lpstr>DF058Q01C</vt:lpstr>
      <vt:lpstr>CF006Q02S</vt:lpstr>
      <vt:lpstr>CF069Q01S</vt:lpstr>
      <vt:lpstr>DF051Q01C</vt:lpstr>
      <vt:lpstr>DF051Q02C</vt:lpstr>
      <vt:lpstr>CF062Q01S</vt:lpstr>
      <vt:lpstr>CF052Q01S</vt:lpstr>
      <vt:lpstr>DF106Q01C</vt:lpstr>
      <vt:lpstr>CF106Q02S</vt:lpstr>
      <vt:lpstr>DF024Q02C</vt:lpstr>
      <vt:lpstr>CF033Q01S</vt:lpstr>
      <vt:lpstr>CF033Q02S</vt:lpstr>
      <vt:lpstr>CF202Q01S</vt:lpstr>
      <vt:lpstr>CF035Q01S</vt:lpstr>
      <vt:lpstr>CF075Q02S</vt:lpstr>
      <vt:lpstr>CF095Q01S</vt:lpstr>
      <vt:lpstr>CF095Q02S</vt:lpstr>
      <vt:lpstr>DF004Q03C</vt:lpstr>
      <vt:lpstr>DF203Q01C</vt:lpstr>
    </vt:vector>
  </ns0:TitlesOfParts>
</ns0:Properties>
</file>

<file path=docProps/core.xml><?xml version="1.0" encoding="utf-8"?>
<cp:coreProperties xmlns:cp="http://schemas.openxmlformats.org/package/2006/metadata/core-properties">
  <dc:creator xmlns:dc="http://purl.org/dc/elements/1.1/">openpyxl</dc:creator>
  <dc:title xmlns:dc="http://purl.org/dc/elements/1.1/"/>
  <dc:description xmlns:dc="http://purl.org/dc/elements/1.1/"/>
  <dc:subject xmlns:dc="http://purl.org/dc/elements/1.1/"/>
  <dc:identifier xmlns:dc="http://purl.org/dc/elements/1.1/"/>
  <dc:language xmlns:dc="http://purl.org/dc/elements/1.1/"/>
  <dcterms:created xmlns:dcterms="http://purl.org/dc/terms/" xmlns:xsi="http://www.w3.org/2001/XMLSchema-instance" xsi:type="dcterms:W3CDTF">2017-02-16T15:22:21Z</dcterms:created>
  <dcterms:modified xmlns:dcterms="http://purl.org/dc/terms/" xmlns:xsi="http://www.w3.org/2001/XMLSchema-instance" xsi:type="dcterms:W3CDTF">2017-02-16T15:22:21Z</dcterms:modified>
  <cp:lastModifiedBy/>
  <cp:category/>
  <cp:contentStatus/>
  <cp:version/>
  <cp:revision/>
  <cp:keywords/>
</cp:coreProperties>
</file>